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Edxxl9KTDwt68LddMF2WnwXvVYg=="/>
    </ext>
  </extLst>
</workbook>
</file>

<file path=xl/sharedStrings.xml><?xml version="1.0" encoding="utf-8"?>
<sst xmlns="http://schemas.openxmlformats.org/spreadsheetml/2006/main" count="7011" uniqueCount="2687">
  <si>
    <t>note</t>
  </si>
  <si>
    <t>auteur</t>
  </si>
  <si>
    <t>avis</t>
  </si>
  <si>
    <t>assureur</t>
  </si>
  <si>
    <t>produit</t>
  </si>
  <si>
    <t>type</t>
  </si>
  <si>
    <t>date_publication</t>
  </si>
  <si>
    <t>date_exp</t>
  </si>
  <si>
    <t>avis_en</t>
  </si>
  <si>
    <t>avis_cor</t>
  </si>
  <si>
    <t>avis_cor_en</t>
  </si>
  <si>
    <t>stf-78421</t>
  </si>
  <si>
    <t>bien je n ai jaimais eu a m en plaindre.
cepandant attention a la protaction du conducteur c est un peu flou.
pour ce qui est du reste apres 7 ans d assurance moto et encore plus en voiture c est une tres bonne assurance.</t>
  </si>
  <si>
    <t>MACIF</t>
  </si>
  <si>
    <t>moto</t>
  </si>
  <si>
    <t>test</t>
  </si>
  <si>
    <t>14/08/2019</t>
  </si>
  <si>
    <t>01/08/2019</t>
  </si>
  <si>
    <t>marc-vt-76602</t>
  </si>
  <si>
    <t xml:space="preserve">10 ans de permis voiture sans un accident, j'essaie de me faire assurer chez la MACIF pour ma moto et je me fais traité comme un moins que rien parce que je suis jeune permis moto. Ils "daignent" m'assurer seulement si je rapatrie mon assurance habitation chez eux.  Honteux! </t>
  </si>
  <si>
    <t>08/06/2019</t>
  </si>
  <si>
    <t>01/06/2019</t>
  </si>
  <si>
    <t>brochet-75625</t>
  </si>
  <si>
    <t>assurance a eviter 2 ans que je doit leur demander en en sont t'il avec l'accident que mon fils a eu en moto ils en ont rien a foutre ils trouve toujours des excuses a chaque fois .meme avec leur banque nous avons des problemes cela fait 20 ans que je suis chez eux mais cela ne les empeches pas de me prendre pour un imbecile</t>
  </si>
  <si>
    <t>05/05/2019</t>
  </si>
  <si>
    <t>01/05/2019</t>
  </si>
  <si>
    <t>bebert-75256</t>
  </si>
  <si>
    <t>il faut quemander pour avoir une remise(186euro sur un total de 531 euro)ce qui n'est pas negligeable si on ne dit rien on paye le prix fort</t>
  </si>
  <si>
    <t>19/04/2019</t>
  </si>
  <si>
    <t>01/04/2019</t>
  </si>
  <si>
    <t>250wrf-71076</t>
  </si>
  <si>
    <t>Assuré pour 3 motos, contrat habitation multirisque et couverture accident de la vie. Je viens d avoir un contact avec mon service client. Prise en charge très rapide courrier reçu 3 jours après. Rien a dire je conseil avec plaisir.</t>
  </si>
  <si>
    <t>11/02/2019</t>
  </si>
  <si>
    <t>01/02/2019</t>
  </si>
  <si>
    <t>ouled-68936</t>
  </si>
  <si>
    <t xml:space="preserve">la macif ses un bonne assurance vous payer toutsva bien deque vous aver une bricoles ca change touts moie jai attendu plus de 3 moies pour recuperet somme  derrisoire ma voiture je les fait moi meme et je sui assure touts risque </t>
  </si>
  <si>
    <t>27/11/2018</t>
  </si>
  <si>
    <t>01/11/2018</t>
  </si>
  <si>
    <t>nul85-65441</t>
  </si>
  <si>
    <t>A la Macif on vous dit que votre équipement est prix en charge à 100%, il avait que 2 mois mon équipement quand j'ai eu mon accident. Résultat remboursé à 60%. De plus, entre la macif, l'expert et le garage personne ne savait où était ma moto ! 
Résultat : aucune remboursement corporel pour les frais d'hôpitaux, aucun suivi sérieux, procédure très très longue, équipement neuf non remboursé à 100%.</t>
  </si>
  <si>
    <t>12/07/2018</t>
  </si>
  <si>
    <t>01/07/2018</t>
  </si>
  <si>
    <t>abdel-64109</t>
  </si>
  <si>
    <t xml:space="preserve">LA MACIF A FUIR 
LA MACIF grand spécialiste du foutage de figure
J’ai eu un sinistre filmé, (je roule a moto avec une camera)
Je me fais rentré dedans par derrière et ils ont osé classer mon sinistre en 50/50
Des dizaines de courrier n’ont rien changé a la situation, il aurait fallu que je fasse appel au médiateur mais j’avais déjà passé des mois a tenter de faire valoir mes droits que j’ai fini par lâcher l’affaire.
Mon accident :
Je me fais percuter a l’arrière par un coco qui change de file, j’ai un film qui ne montre pas le choc mais sur lequel on voit le blaireau déboiter et moi qui roule toujours sur la même file.
Ils n’ont rien voulu entendre, si ca ce n’est pas de la mauvaise foie en raison des accords qu’ils ont entre assurance je me demande bien ce que c’est 
JE VOUS DÉCONSEILLE VIVEMENT CETTE COMPAGNIE
Aller chez n’importe laquelle mais pas chez ces épiciers </t>
  </si>
  <si>
    <t>21/05/2018</t>
  </si>
  <si>
    <t>01/05/2018</t>
  </si>
  <si>
    <t>margote-56730</t>
  </si>
  <si>
    <t xml:space="preserve">Très insatisfaite de la MACIF que je déconseille fortement.
Les conditions d'assurance vol moto sont entre autres, le gravage et avoir un garage. 
Quand j'ai pris un contrat chez eux il y a un an, j'ai pris l'option vol. Je n'avais pas de garage et n'ai donc pas fait graver mon scooter, pensant le faire dès que je déménagerais. J'ai ensuite emmenagé dans un appart avec garage, mais on a volé mon scooter dans le garage 3 semaines après l'emménagement !!! Je n'avais pas pris le temps de le faire graver, plus occupée à emménager. La MACIF n'a pas tenu compte une seule seconde des circonstances malheureuses ! Je n'ai plus aucune confiance et cherche donc une nouvelle assurance. </t>
  </si>
  <si>
    <t>18/12/2017</t>
  </si>
  <si>
    <t>01/12/2017</t>
  </si>
  <si>
    <t>leet4260-58182</t>
  </si>
  <si>
    <t>La Macif est un assureur proche de ses sociétaires. Suite au vol de ma moto j'ai eu un remboursement qui m'a permis de racheter rapidement la même moto et je n'ai pas eu d'augmentation de tarif. Je recommande cette assurance, seul point négatif le tarif de base est intéressant mais monte rapidement suivant les options et les garanties supplémentaires.</t>
  </si>
  <si>
    <t>18/10/2017</t>
  </si>
  <si>
    <t>01/10/2017</t>
  </si>
  <si>
    <t>dylan3317-55853</t>
  </si>
  <si>
    <t>je trouve que la macif fais mal son boulot 
il devrais vérifier les garagistes homologué ,ont ma traiter de Menteur  , l'assurance car un réparateur de moto a mal fais sont travail (vole de piéces )</t>
  </si>
  <si>
    <t>06/07/2017</t>
  </si>
  <si>
    <t>01/07/2017</t>
  </si>
  <si>
    <t>yoofes-52683</t>
  </si>
  <si>
    <t>Assuré moto à la Macif, j'ai eu un accident non responsable avec mon scooter : une voiture sur Paris qui me coupe la route en ne respectant pas la priorité à droite. La démarche a été objective, professionnelle et transparente, jugé économiquement irréparable on m'a dédommagé rapidement de la valeur au kilométrage moins la franchise qui devrait être versée par la partie adverse. La démarche est longue me dit-on (peut être 6 mois), et ils relancent automatiquement chaque fin de mois la partie adverse. On verra si c'est effectivement le cas et qu'on ne m'oubliera pas, mais j'ai cependant confiance.</t>
  </si>
  <si>
    <t>23/02/2017</t>
  </si>
  <si>
    <t>01/02/2017</t>
  </si>
  <si>
    <t>cirdec490-127245</t>
  </si>
  <si>
    <t xml:space="preserve">Victime d'un sinistre dont je suis victime ....  un chauffeur qui ma faucher or que j'avais la priorité.... numero de plaque + marque, couleur et model de la voiture du conducteur chauffard + description physique du conducteur + plainte et certificat expert et hôpital + numero et dépôt de main courante de temoin et j'en passe .... La Mutuelle des motards depuis MAI 2018 ne ma pas encore indemniser ni corporellement ni matériellement.... En sachant que j'habite a l'île de la REUNION pour les contacter c'est très difficile!!!! Pour cela je déconseille fortement cette organisme car je pence que c'est un manque de respect envers leur sociétaire quand surtout ont paie toujours notre cotisation mais quand arrive le sinistre plus rien pour vous rembourser!!  FORTEMENT DECONSEILLER DE MA PART... un motard frustrer et en colère!!! </t>
  </si>
  <si>
    <t>Mutuelle des Motards</t>
  </si>
  <si>
    <t>09/08/2021</t>
  </si>
  <si>
    <t>01/08/2021</t>
  </si>
  <si>
    <t>crossfit-123233</t>
  </si>
  <si>
    <t xml:space="preserve">Bonjour,
Je souhaitais tirer mon chapeau et remercier vivement la personne de l'assurance Mutuelle des Motards (service assistance dépannage) qui s'est occupée de moi le venbredi 18 juin dernier, suite à une panne de batterie dans le Vercors, entre Valence et Gap. 
Sans elle, qui s'est occupée de tout pour m'envoyer rapidement le dépanneur et me rechercher le garage le plus proche qui pourrait me remplacer la batterie de ma moto Honda X Crosstourer 1200 rapidement. 
Je n'aurai pas réussi à prendre le ferry à 17h30 à Toulon, pour me rendre en Corse.
Alors je dis Bravo! L'assurance mutuelle des motards.
FT
</t>
  </si>
  <si>
    <t>12/07/2021</t>
  </si>
  <si>
    <t>01/07/2021</t>
  </si>
  <si>
    <t>quentin-117856</t>
  </si>
  <si>
    <t xml:space="preserve">Insatisfait de La Mutuelle des Motards pour plusieurs raisons :
- Le prix, même si le prix n'est pas excessif, j'ai eut la mauvaise surprise de voir ma facture augmenter de 11% cette année. Quand on sait le peu de km parcourue, on est en droit de se poser des questions. Une augmentation peut se comprendre mais de plus de 10% les explications doivent être pertinentes, et c'est la qu'arrive la deuxième raison d'insatisfaction.
- L'amabilité limité de certains interlocuteurs. Quand vous appelez pour des explications et discuter d'une offre commerciale, on vous répond sèchement que rien ne peut être fait et que les tarifs sont inchangeables. Si vous avez le malheur de demander pourquoi, on vous explique que "c'est comme ça", ce qui est flou et incomplet pour un service que l'on paie tous les ans.
Je ne peux juger le niveau de service en cas d'accident n'ayant jamais eut de soucis en moto, toutefois d'un point de vue commerciale et relationnel je garde un très mauvais souvenir et je déconseille La Mutuelle des Motards que j'ai quitté suite à ce problème. </t>
  </si>
  <si>
    <t>22/06/2021</t>
  </si>
  <si>
    <t>01/06/2021</t>
  </si>
  <si>
    <t>motardu14-117636</t>
  </si>
  <si>
    <t xml:space="preserve">Eu toutes les explications à mes interrogations et très bien conseillé. Le petit plus : le gars de la mutuelle des motards est motard, on a pu échanger sur notre passion commune. Note maxi ! </t>
  </si>
  <si>
    <t>19/06/2021</t>
  </si>
  <si>
    <t>coco-116162</t>
  </si>
  <si>
    <t xml:space="preserve">Assurance totalement inutile en tout risque je me suis fait voler ma moto il y a 1 ans et demi et je n'ai jamais était rembourser et je continuer de payer l'assurance jusqu'à il y a peu de temps, alors que je les avait bien prévenu du vol. Et ne comptez pas sur eux pour avoir des informations.
Totalement insatisfait je ne recommande absolument cet assurance. </t>
  </si>
  <si>
    <t>06/06/2021</t>
  </si>
  <si>
    <t>pierrot87-74833</t>
  </si>
  <si>
    <t>avis d'échéance 2021 recu, une grosse augmentation ,sans vraiment de justification, si, je téléphone, et un discours dedaigneux et moralisateur sur l'augmentation dûe a des accidents corporels graves et plus couteux avec en prime un exemple , que je trouve déplacé au passage.
ca reste une année exceptionnelle, ils auraient pu faire une exception sur les prix. a voir des bilans comptables plutot corrects, rien ne justifie une telle augmentation. 
Autre rancœur, j'ai déjà eut un accident non responsable, faute admise par l'autre partie , et consta fait proprement. ayant engendré des dommages corporels, pas de prise en charge, au bout de deux semaines pour eux j'etais guerri, passé 2 mois avec des béquilles, pas d'expertise médicale missionné, et pas de prise en compte des analyses de mes médecins, maintenant j'ai l'arthrite aux genoux d'un cycliste retraité, et je n'ai que n'avais que 26 ans...et des mois pour traiter la partie matérielle. j'ai dû faire une partie de leur boulot a leur place...
En bref depuis quelques années ils ne valent guerre mieux que des courtiers...</t>
  </si>
  <si>
    <t>20/05/2021</t>
  </si>
  <si>
    <t>01/05/2021</t>
  </si>
  <si>
    <t>chav-112901</t>
  </si>
  <si>
    <t xml:space="preserve">Comme j ai lu dans d autres commentaires j’ai reçu également une augmentation de cinq euros courant de l’année 2021 pour soi-disant trop d’accidents sont survenus pendant cette même année alors que nous sommes en Covid et que la plupart des gens ont sorti que très peu leur moto voilà l’explication !
Aucune donnée former prouve leur dire je suis scandalisé!
au moment de la résiliation de mon contrat ils m’ont encaissé une somme et ils m’ont remboursé une moins importante sans me donner d’explications
Au revoir la MDM </t>
  </si>
  <si>
    <t>06/05/2021</t>
  </si>
  <si>
    <t>franck83000-110289</t>
  </si>
  <si>
    <t>Bonjour, idem que les autres 20% d'augmentation sans raison réel à mon avis.
Je change de braquet on verra si l'herbe et plus verte ailleurs.
Les assurances en générale ils sont bien tant qu'on a pas besoin d'eux.
A la mutuel des motards j'ai eu un super accueil en 2019 et un prix correct mais pas eu besoin d'eux depuis le début en dehors de la carte verte.
affaire à suivre.</t>
  </si>
  <si>
    <t>13/04/2021</t>
  </si>
  <si>
    <t>01/04/2021</t>
  </si>
  <si>
    <t>annesoho-62443</t>
  </si>
  <si>
    <t xml:space="preserve">Nos scooter et motos sont assuré a la Mutuelle des Motards depuis plus d'un an. J'ai été très bien conseillée, par quelqu'un qui savait de quoi il parlait, qui m'a fait un contrat adapté à mes besoins et sans me pousser à la conso ! A première vue ce ne sont pas les moins chers mais quand on y regarde de plus près je m'y retrouvé largement avec tous les avantages inclus !! </t>
  </si>
  <si>
    <t>12/04/2021</t>
  </si>
  <si>
    <t>scordexx-109085</t>
  </si>
  <si>
    <t xml:space="preserve">wooa quelle surprise plus de 100 euros de hausse de tarif pour ma deuxième année chez la mutuelle des motard ouf j'ai 0;50 ! il nous fond payer cher le covide  on a pas rouler avec le confinement pour ma part mon assurance voiture la MAIF qui est une mutuel elle ma rembourser les trop perçue est na pas augmenter ces prix pour autant  du au confinement vous être pas les seule sur le marches mon choix est fait moi est mon fils on quitte la boutique ne vous fatiguer pas a répondre comme j,ai pu voir vos réponse copier coller qui ne justifie pas une augmentations  aussi importante 
ps la mutuelle des motard a salis sa réputation  </t>
  </si>
  <si>
    <t>03/04/2021</t>
  </si>
  <si>
    <t>jps-109048</t>
  </si>
  <si>
    <t xml:space="preserve">sociétaire depuis 25 ans 
jamais d'accident
4 contrats auto et moto
et cette année +20% d'augmentation ...ce qui n'est pas acceptable
je vais changer de boutique à contre cœur
</t>
  </si>
  <si>
    <t>lo20166-108760</t>
  </si>
  <si>
    <t>Je suis très satisfait de mon assureur. Après une très mauvaise expérience chez AMV (tout va bien jusqu'à que vous ayez une sinistre), j'ai fais le choix de rejoindre la Mutuelle Des Motards. Les conseillers en assurances connaissent la moto et nous proposent les garanties adaptées à notre moto et notre usage.
Pour avoir eu un sinistre à la Mutuelle des Motards et chez AMV je peux vous dire qu'il n'y a pas photo!!! A la mutuelle des motards nous avons en fasse de nous un expert qui a été labellisé pour sa connaissance moto et qui n'oublie rien sur son rapport d'expertise.
Je recommande cette Mutuelle :-)</t>
  </si>
  <si>
    <t>marie-79903</t>
  </si>
  <si>
    <t>Bonjour, pas de surprise, mon avis va rejoindre les autres ! C'est une honte !  Motards avec 20 ans d'expérience et un bonus à 0.50. En 2 ans, j'ai presque 20% d'augmentation de mon tarif d'assurance !
Leur excuse : Ils sont une mutuelle ! Ce qui est certain, C'est qu'au moment de la souscription du contrat, à aucun moment, il ne m'a été expliqué que ma cotisation allait augmenter "sans raison" parce qu'ils sont une mutuelle ! 
Et le coup de la lettre d'explication accompagnant l'avis d'échéance est encore plus pathétique ! 
Conductrice prudente et attentive, je ne comprends pas le principe de payer pour ceux qui ne le sont pas !
D'ailleurs, n'adhérant pas à ce mode de fonctionnement, je suis en quête d'une autre assurance. 
Bien sur, je partage mon expérience mutuelle des motards avec mon entourage motard...
"Assurance à fuir!"</t>
  </si>
  <si>
    <t>17/03/2021</t>
  </si>
  <si>
    <t>01/03/2021</t>
  </si>
  <si>
    <t>anthime-106506</t>
  </si>
  <si>
    <t xml:space="preserve">Comme beaucoup d'entre vous, je suis assuré depuis plusieurs années et constate que l'échéance 2021/2022 s'est envolée alors que les confinements successifs ont immobilisé nos engins. Nombreuses les assurances qui ont rétrocédé une part de cotisation lié au Covid. A l'inverse la MDM n'a rien fait malgré ma demande écrite d'un geste commercial mais plus encore elle augmente scandaleusement ses cotisations. C'est une honte. Je vais rechercher une autre assurance.  </t>
  </si>
  <si>
    <t>13/03/2021</t>
  </si>
  <si>
    <t>suzan943-106476</t>
  </si>
  <si>
    <t xml:space="preserve">Pendant 16 ans j'ai été assuré auprès de cette compagnie. Je n'ai eu aucun sinistre donc très peu de contacts avec eux si ce n'est le courrier pour recevoir mon certificat d'assurance (et leur demande de paiement). Lorsque j'ai reçu par email mon attestation cette année, j'ai décidé de changer de compagnie car après recherche j'ai trouvé un assureur qui me couvrait pour les mêmes garanties mais 40% moins cher. J'ai essayé de joindre la MDM: après quatre tentatives et 25 minutes d'attentes, j'ai abandonné l'idée. Je me suis rendue sur leur site, sur mon espace particulier pour leur faire la demande d'un relevé de situation. Le scetche: il est mentionné que la demande doit se faire par téléphone au numéro que j'avais précédemment appelé. Résultat: courrier en AR ce jour pour le leur demander, invoquer la loi Chatel pour résilier.. </t>
  </si>
  <si>
    <t>legeek-106161</t>
  </si>
  <si>
    <t>Alors OK, il y a eu une augmentation cette année qui est difficilement entendable... En fait, pour ceux qui vont aux AG, le problème est tout bête : La MdM est déficitaire... notamment du fait des charges d’acquisition et d’administration qui représentent près de 30% des cotisations acquises (là ou dans d’autres mutuelles on est à 15%).
Je vois des commentaires indiquant qu’en cas de pluralité de véhicule, la MdM n’en tient pas compte, c’est faux : il y a une réduction multi-véhicule. Sans compter une réduction de près de 20% à vis lorsque l’on fait un stage de perfectionnement moto, ce que ne font pas beaucoup d’assureurs.
Du point de vue satisfaction : une protection juridique au top, et sérieusement vu les déboires que l’on peut avoir avec certains concessionnaires, c’est un sacré plus, une hotline réactive, bref. 
J’ai hésité à aller voir ailleurs en découvrant une hausse de 9% sur mon contrat, mais honnêtement, par rapport au service rendu, je ne cherche pas.</t>
  </si>
  <si>
    <t>10/03/2021</t>
  </si>
  <si>
    <t>p-105083</t>
  </si>
  <si>
    <t xml:space="preserve">50% de bonus - client depuis 30 ans - en comparant les tarifs a bonus et conditions identiques voire meilleures de garanties le tarif est deux fois plus cher. de surcroit lors d'un sinistre NON RESPONSABLE il y a 3 ans impossibilité de faire assurer le véhicule de pret fourni par l'assureur ( immobilisation 3 semaines en janvier 2018. la franchise de 400 euros est du double de celle des autres compagnies interrogées. il faut etre maso d'ailleurs pour rester dans cette mutuelle qui je le parie va encore nous annoncer des augmentations tarifaires en avril parfaitement injustifiées sauf par des allégations à venir au dernier moment obscures et imprécises dans un courrier de son gérant  un conseil consulter  notamment la maaf la gmf axa allianz generali et vous vverrez que j'ai raison </t>
  </si>
  <si>
    <t>02/03/2021</t>
  </si>
  <si>
    <t>titou-104496</t>
  </si>
  <si>
    <t xml:space="preserve">Bonjour augmentation 2021 plus de 10% assurance devenu trop cher il m’on appâté les deux première année et ensuite c est la douloureuse je précise aucun sinistre est en plus période Covid </t>
  </si>
  <si>
    <t>19/02/2021</t>
  </si>
  <si>
    <t>01/02/2021</t>
  </si>
  <si>
    <t>marc-104463</t>
  </si>
  <si>
    <t>C'est très cher et il est surement facile de trouver moins cher ailleurs .C'est très cher et il est surement facile de trouver moins cher ailleurs ...</t>
  </si>
  <si>
    <t>roadglide-101266</t>
  </si>
  <si>
    <t xml:space="preserve">
Assuré depuis 2015 pour 2 motos à la mutuelle des motards, J'ai eu un sinistre non responsable en juillet 2019 (il n'y avait pas encore le COVID) avec une Road Glide CVO. 6 mois après le sinistre, l'incompétence dans la gestion des réparations couronnée par l'incorrection au téléphone de certaines personnes de cette assurance m'ont conduit à résilier mes 2 contrats en avril 2020 malgré le sinistre en cours. Aucune envie de continuer à payer pour un service aussi médiocre. 
Le litige n'étant toujours pas réglé à l'heure où j'écris ce commentaire, soit 17 mois après le sinistre, j'ai eu par la suite l'occasion de constater à plusieurs reprises la mauvaise foi des personnes travaillant pour cette assurance. 
Cette assurance, qui surfe sur l'esprit motard uniquement pour engranger des contrats mais qui est incapable de dédommager correctement pour un garde boue arrière et un réservoir un assuré disposant de toutes les garanties et à jour de ses cotisations, pour un sinistre non responsable est sans aucun doute la plus mauvaise que j'ai connue en 42 ans d'assurance moto. J'ai mis 1 au niveau satisfaction uniquement parce que je ne peux pas mettre 0. 
</t>
  </si>
  <si>
    <t>10/12/2020</t>
  </si>
  <si>
    <t>01/12/2020</t>
  </si>
  <si>
    <t>lili-98421</t>
  </si>
  <si>
    <t xml:space="preserve">Je suis assurer chez eux depuis décembre et c’est déjà du n’importe quoi je cherche à aller ailleurs, à fuir il me retire pas pendant un mois sans savoir pourquoi et ensuite il décide de m augmenter par la suite passer de 80€ à 110€ par mois sa pique!!! 
Il sont difficilement joignable, et se renvoie tous la balle au téléphone. 
Pas un pour rattraper l’autre! 
J’ai essayer de demander une résiliation  pour décembre bien évidement il me l’on refuser! 
</t>
  </si>
  <si>
    <t>06/10/2020</t>
  </si>
  <si>
    <t>01/10/2020</t>
  </si>
  <si>
    <t>askell-93736</t>
  </si>
  <si>
    <t xml:space="preserve">une mutuelle  à fuir   qui cache ses incompétences derrière le mot motards  ne vous laissez pas piéger le  service est déplorable </t>
  </si>
  <si>
    <t>10/07/2020</t>
  </si>
  <si>
    <t>01/07/2020</t>
  </si>
  <si>
    <t>audnouk-92057</t>
  </si>
  <si>
    <t>client pendant 25 ans  auto moto et juridique le jour ou non en tort une voiture a embouti ma moto  sans corporel cela a été la croix et la banière pour justifier de l'indemnisation car la personne n'avait pas de permis!</t>
  </si>
  <si>
    <t>24/06/2020</t>
  </si>
  <si>
    <t>01/06/2020</t>
  </si>
  <si>
    <t>jonhpepito31-90441</t>
  </si>
  <si>
    <t xml:space="preserve">Comme pas mal d'avis en ce moment l'assurance reste injoignable, cela fait maintenant 3 mois que ma moto est sinistré, PERSONNE de la mutuelle des motards est disponible. Les sociétaires nous sommes SEUL. </t>
  </si>
  <si>
    <t>11/06/2020</t>
  </si>
  <si>
    <t>daood33-90269</t>
  </si>
  <si>
    <t>Bonjour effectivement je rejoins l'ensemble des avis impossible de joindre l'assurance j'ai revendu un de mes véhicules en avril et j'attends toujours le remboursement de celui-ci de la part de la mutuelle des motards en revanche pas de problème pour me prélever les 2 autres véhicules, on se connecte sur le site pour être rappelé délai 1semaines. Ça fait 3 semaines et toujours pas d'appel de leur part le COVID est une énorme excuse pour tout le monde en revanche les prélèvements sont toujours effectué même quand on a pas utilisé sont véhicules pendant 2 mois même pas une remise, mais comme tout sociétaires un mail reçu histoire de ce dédouaner je ne pensez vraiment ça de cette assurance très déçu je pense sincèrement enlever les 2 autres véhicules encore assurer chez eux, la c'est vraiment limite.</t>
  </si>
  <si>
    <t>05/06/2020</t>
  </si>
  <si>
    <t>sargo34-89928</t>
  </si>
  <si>
    <t>Impossibilité de joindre la mutuelle pendant le confinement du COVID (relativement compréhensible) ni après le confinement -&gt; INADMISSIBLE car les conseillers font du télétravail</t>
  </si>
  <si>
    <t>26/05/2020</t>
  </si>
  <si>
    <t>01/05/2020</t>
  </si>
  <si>
    <t>nathou-89764</t>
  </si>
  <si>
    <t xml:space="preserve">J'ai eu le malheur d'assurer ma moto pendant cette période de confinement.
Nous ne pouvons pas joindre les conseillers directement mais malheureusement la faute à la crise.
Je demande à me faire rappeler, sous deux jours les délais sont plus que correct.
J'ai donc souscrit mon assurance au téléphone, mais ait bêtement raccrocher avant de m'assurer d'avoir reçu les éléments par mail !! 
Depuis mon compte a été débité par la mutuelle des motards, mais je n'ai rien reçu !!
Je demande à me faire rappeler depuis, et la bizarrement ça fait deux semaines et pas de nouvelles !!!!
L'attestation d'assurance devait aussi arriver par courrier mais rien non plus !!
</t>
  </si>
  <si>
    <t>19/05/2020</t>
  </si>
  <si>
    <t>er51-89708</t>
  </si>
  <si>
    <t>Ok recue,il y a eu confinement mais pas de carte verte, un justificatif envoyé par mail péréimé depuis le 15/05, des demandes en ligne de carte verte sans résultat: au total plus d'assurance bien que payée, pas  de réponse de la mutuelle,</t>
  </si>
  <si>
    <t>18/05/2020</t>
  </si>
  <si>
    <t>markus-89521</t>
  </si>
  <si>
    <t>difficilement joignables , assistance juridique factice , tarifs elevés , franchise elevée . Manque de professionnalisation . absence totale pendant confinement , meme pas de hot line ; assurés laissés a l'abandon ...</t>
  </si>
  <si>
    <t>11/05/2020</t>
  </si>
  <si>
    <t>ggpzt-85470</t>
  </si>
  <si>
    <t>A FUIR ! J'ai été victime du vol de mon scooter au mois d'avril, et on refuse de m'indemniser pour cause de neiman non fracturé.  Les auteurs du vol ont portant été arrêtés par la police, mais apparemment cela ne suffit pas comme preuve vol. Ma parole et visiblement celle des policiers assermentés est donc mise en doute, puisqu'on m'a répondu que j'avais du laisser un 3eme jeux de clés sur le contact (facile...).
Il y a des dizaines de tutos, de forums sur internet qui expliquent comment démarrer un scooter en peu de temps sans clés et le guidon bloqué.
De victime, je passe pour une personne de mauvaise foi. Il n'y a aucune bienveillance, aucune empathie, aucune aide et aucun soutien de leur part. 
Par contre aucune gêne à me prélever tout les mois 78 euros de cotisation. J'attend évidemment d'être indemnisée pour pouvoir me racheter un véhicule.
J'espère rendre service  en publiant mon expérience et j'espère décourager les éventuels futurs adhérents.</t>
  </si>
  <si>
    <t>03/01/2020</t>
  </si>
  <si>
    <t>01/01/2020</t>
  </si>
  <si>
    <t>kawa-80138</t>
  </si>
  <si>
    <t>Le 02/10/2019 par téléphone je demande s'il est possible de suspendre mon contrat pour l'hiver.Le conseiller raccroche,je rappel,une autre conseillère me rie au nez en disant que cela n'existe pas....Je précise que je suis assuré moto depuis 1982 et que j'ai été moi même agent général d'assurance et jamais je me serai permis de répondre de la sorte à mes clients.Son conseil a été de résilier le contrat et de me réassurer ailleurs au printemps .Je trouve cette attitude pas professionnel du tout.</t>
  </si>
  <si>
    <t>17/10/2019</t>
  </si>
  <si>
    <t>01/10/2019</t>
  </si>
  <si>
    <t>cecile44-78560</t>
  </si>
  <si>
    <t xml:space="preserve">Aucune défense de ses clients, aucun dialogue, considération INEXISTANTE, sensation d'être un porte monnaie
</t>
  </si>
  <si>
    <t>20/08/2019</t>
  </si>
  <si>
    <t>gyz-75636</t>
  </si>
  <si>
    <t xml:space="preserve">assurer depuis des année a la mutuel des motard sans avoir jamais aucun sinistres je me retrouve en conflit avec eux car il refuse d arrêter mon assurance pour une moto qui est en pièce détacher je refuse donc de payer et me dirige vers une autre assurance afin d assurer ma nouvelle moto et la la mutuel des motard refuse de me remettre mon relever d information alors que c'est une obligation légal. </t>
  </si>
  <si>
    <t>06/05/2019</t>
  </si>
  <si>
    <t>speedtriple-75136</t>
  </si>
  <si>
    <t>Idem à d'autres commentaires: tarifs progressifs au fur et à mesure des années. N'ayant j'aimais eu de sinistre (tant voiture que moto), après une première augmentation de ma cotisation annuelle j'ai contacté le service réclamation pour signifier mon étonnement de voir mes cotisation augmenter d'une centaine d'euros malgré une amélioration de mon bonus. Je leur ai également signifié mon étonnement de voir l'écart de prix entre les cotisations que je devais payer et celles que j'obtenais lors de la réalisation de dévis sur leur site comme si j'étais nouveau client. La personne m'a poliment expliquée que malgré mon profil de bon conducteur elle ne pouvait rien y faire. Je viens tout juste de changer d'assureur suite à une nouvelle augmentation de mes cotisations pour un assureur deux fois moins cher ... Dommages les personnes en agences sont aimables et parfois motardes.</t>
  </si>
  <si>
    <t>17/04/2019</t>
  </si>
  <si>
    <t>pierrot-75110</t>
  </si>
  <si>
    <t>Le côté humain est à revoir...</t>
  </si>
  <si>
    <t>16/04/2019</t>
  </si>
  <si>
    <t>regis44-71357</t>
  </si>
  <si>
    <t>Je déconseille fortement cette assurance pour tous les motards qui sont hors de la france métropolitaine. Une seule adresse mail comme contact en cas de préjudice!! Suite à mon accident, aucun retour de leur part pour la gestion du dossier, aucun retour pour savoir s'ils avaient pris en compte le dossier d'accident avec toutes les pièces justificatives, l'expert à débarqué du jour au lendemain chez mon mécano alors que lui non plus n'avait aucune nouvelle malgré plusieurs relances de sa part!! Suite au passage de l'expert la moto est restée immobilisée car aucun signe de vie de la part de l'assurance. J'attends encore le versement du remboursement de mes équipements plus de 4 mois après mon accident!
Bref une gestion calamiteuse de leur part  pour un simple accident de la circulation avec tous les éléments envoyés en temps et en heure sur leur adresse mail.
Je suis tout simplement dégouté de leur manque de professionnalisme car sans un super mécano je serai encore à pieds aujourd'hui!</t>
  </si>
  <si>
    <t>16/02/2019</t>
  </si>
  <si>
    <t>zarmix-68083</t>
  </si>
  <si>
    <t xml:space="preserve">A éviter voir même à fuir
Je gère une grosse asso de motard et suite à l'incident 50 ont déjà résiliés
</t>
  </si>
  <si>
    <t>26/10/2018</t>
  </si>
  <si>
    <t>01/10/2018</t>
  </si>
  <si>
    <t>pat07-66553</t>
  </si>
  <si>
    <t>une assurance humaine ça vaut le coup de le faire savoir !</t>
  </si>
  <si>
    <t>03/09/2018</t>
  </si>
  <si>
    <t>01/09/2018</t>
  </si>
  <si>
    <t>fahd-65423</t>
  </si>
  <si>
    <t>Une assurance pas militante du tout. leur cabinet d'expertise en IDF est rempli d'incompétent et 2 accidents non responsable ou je dois payer de ma poche les réparations car l'expert n'a jamais vu cela auparavant.</t>
  </si>
  <si>
    <t>11/07/2018</t>
  </si>
  <si>
    <t>toto-64104</t>
  </si>
  <si>
    <t>Mutuelle des motards Marseille :
j'ai remplaçé mon scooter honda 125 par un  autre scooter honda 125 , ils en ont profité pour  m'augmenter de  80 euros pour les mêmes garanties
et jamais eu de sinistres,n'ayant pas encore vendu l'ancien  ils m'obligeaient à toujours l'assurer en plus du nouveau scooter</t>
  </si>
  <si>
    <t>20/05/2018</t>
  </si>
  <si>
    <t>totototo-63784</t>
  </si>
  <si>
    <t>D après eux esprit motard
Pour d autres esprit tocard
Ils vivent sur un discours on est motard comme vous mais la pratique c est rien jamais
Ils se sont développés quand les assurances ne s intéressaient pas aux motards et ils sont pires qu eux maintenant</t>
  </si>
  <si>
    <t>04/05/2018</t>
  </si>
  <si>
    <t>kvnlmr-62772</t>
  </si>
  <si>
    <t>C'etait ma premiere assurance moto car les prix étaient compétitif avec ma premiere moto une vielle BMW R80RT et pas trop mal, enfin dans la moyenne avec ma moto d’après une YAM MT 07 tout risque. 
Maintenant je suis en sportive et les prix sont devenues complètement hors du marché, 1600€ en tier/ vol avec des franchises partout, (450 voir 1350€ de franchise) et des plafonds de remboursement accessoires très bas. Je les quitte pour un concurrent, les prix sont 2x moins chere avec un rachat de franchise, une corporel renforce et un plafond de remboursement accessoire 2x plus élevé.. j’espère ne pas être déçu. Le service client était pas mal mais les prix c'est importe quoi</t>
  </si>
  <si>
    <t>29/03/2018</t>
  </si>
  <si>
    <t>01/03/2018</t>
  </si>
  <si>
    <t>monolith-62420</t>
  </si>
  <si>
    <t>J'ai pris cet assureur pour le côté militant motard, assureur plébiscité par ma moto école, la belle blague !En plus d'avoir des tarifs exorbitants pour les jeunes permis moto, mon versys 650 grand tourer n'a pas ses équipements de série pris en charge, car considérés comme de l'accessoire par leur expert (modification du modèle d'origine à 1700€ quand même...). En équivalent BAR, ça ferai du style "on vous répare la carrosserie mais on la repeint pas car la peinture métallisée c'est de l'accessoire!". On se garde bien de me le communiquer lors de la souscription du contrat... ça fait 1 mois que ma moto est accidentée, déposée chez le réparateur 2 jours après (il a transmis le devis le lendemain!). Moto toujours pas réparée. J'en ai pour 1000€ d'équipement de ma poche, et les yeux pour pleurer. Je change d'assureur dès que possible.</t>
  </si>
  <si>
    <t>16/03/2018</t>
  </si>
  <si>
    <t>hareld-60641</t>
  </si>
  <si>
    <t>Assurance trop cher pour les jeunes permis, niveau tarifaire très déçu, je suis celui qui paye le plus cher de tout mon entourage. Je pense donc changer rapidement .
Pour fidéliser sa jeune clientèle, ce n'est pas la meilleure solution.
Dommage car bonne assurance dans l'ensemble.</t>
  </si>
  <si>
    <t>19/01/2018</t>
  </si>
  <si>
    <t>01/01/2018</t>
  </si>
  <si>
    <t>finiderire-26709</t>
  </si>
  <si>
    <t>Semble incapable d'atteindre les standards modernes.</t>
  </si>
  <si>
    <t>28/11/2017</t>
  </si>
  <si>
    <t>01/11/2017</t>
  </si>
  <si>
    <t>nemiras-58832</t>
  </si>
  <si>
    <t>Assurance qui ment sur ces tarifs en augmentant la cotisation une fois le contrat signé sans vous prévenir et cela même si vous avez fait une déclaration honnête lors de la souscription !</t>
  </si>
  <si>
    <t>15/11/2017</t>
  </si>
  <si>
    <t>egaby-57252</t>
  </si>
  <si>
    <t xml:space="preserve">Je me suis fait avoir par la MM. Mon scooter a été volé. J'avais mis un antivol et j'ai fait une déclaration de police. Mais ils ne veulent pas me rembourser car je n'ai pas mis le neyman. Alors que ce n'est pas marqué dans le devis et dans les conditions particulières que j'ai reçu après. Conditions que la plupart des autres compagnies ne demandent pas. De plus, il est difficile de le mettre dans les emplacements 2 roues car pas assez de place. </t>
  </si>
  <si>
    <t>11/09/2017</t>
  </si>
  <si>
    <t>01/09/2017</t>
  </si>
  <si>
    <t>gilles-54015</t>
  </si>
  <si>
    <t>suite à un accident corporel je demande  à la mutuelle de  suspendre provisoirement mon assurance au minimum puisque je ne peut conduire,le conseiller me suspend mon contrat.la surprise vient alors que je remet en route mon contrat celui ci ne peut plus être validé car j ai un ancien contrat  qui n existe plus pourtant l on m avait certifié qu il n y aurait aucune conséquence, résultat des courses augmentation de 200€ et prise en otage du sociétaire, belle façon de remerçier  votre fidélité .</t>
  </si>
  <si>
    <t>14/05/2017</t>
  </si>
  <si>
    <t>01/05/2017</t>
  </si>
  <si>
    <t>vince-52591</t>
  </si>
  <si>
    <t>Je déconseille fortement les motards de s'y inscrire. N'a de motard que le nom !
Un ami assuré chez la Macif et victime d'un vol, a bouclé son dossier en 10j alors qu'apès 6 semaines on me réclame tjs un papier de plus.</t>
  </si>
  <si>
    <t>20/02/2017</t>
  </si>
  <si>
    <t>jonathan-51777</t>
  </si>
  <si>
    <t>Aucuns sinistres à déclarer depuis 2006 à la mutuelle mais à chaque question une réponse. Roulant en moto de plus de 15ans les tarifs sont vraiment très abordables avec un niveau élevé de garantie grâce aux "conducteurs renforcée et optimale"</t>
  </si>
  <si>
    <t>28/01/2017</t>
  </si>
  <si>
    <t>01/01/2017</t>
  </si>
  <si>
    <t>pierre3147-50049</t>
  </si>
  <si>
    <t>Suite à un enchainement de sinistre (accident suivi d'un vol), l'assurance n'a pas su me défendre auprès des experts ! Ma moto à malheureusement été volé pendant les réparations de ce fait aucun expert n'a pu valide les réparations effectué et malgré un grand nombre de factures elle a été évalué au prix de l'épave !! Une honte ils ne m'ont même pas remboursé les frais engagé ... assurance à éviter de très bon vendeur mais incapable de gérer une situation insolite !!</t>
  </si>
  <si>
    <t>08/12/2016</t>
  </si>
  <si>
    <t>01/12/2016</t>
  </si>
  <si>
    <t>milo-49421</t>
  </si>
  <si>
    <t>Je vais rester prudent sur la qualité des garanties en tant que nouvel assuré et dieu merci n'ayant pas encore eu d'accident , je touche du bois, mais 
1: tarifs HYPER chers. 
2: au moment de la souscription on a juste  le droit de payer et  aucune explication ni aucun detail des sommes demandées. 
3: je me suis risqué à passer un coup de fil à leur hotline pour en savoir un peu plus:  conseiller HYPER malaimable.. D'entrée de jeu j'ai pas envie de rester à cette mutuelle...</t>
  </si>
  <si>
    <t>21/11/2016</t>
  </si>
  <si>
    <t>01/11/2016</t>
  </si>
  <si>
    <t>olivier-guy-114157</t>
  </si>
  <si>
    <t>Je connais bien l'assurance y ayant travaillé. La Maaf a le meilleur rapport garanties prix pour mon profil. C'est de plus très facile de les contacter avec un bon site internet.</t>
  </si>
  <si>
    <t>MAAF</t>
  </si>
  <si>
    <t>18/05/2021</t>
  </si>
  <si>
    <t>moto--106324</t>
  </si>
  <si>
    <t xml:space="preserve">J’ai arrêté mon auto il mon augmenter de 140 euros la moto je suis très déçu et je suis tombé sur une personne par téléphone il ne connaissait rien de son assurance </t>
  </si>
  <si>
    <t>12/03/2021</t>
  </si>
  <si>
    <t>cathyt-81993</t>
  </si>
  <si>
    <t>Pas de souci tant que j'avais plusieurs assurances (assurance habitation et autres produits)mais il ne faut pas avoir la seule assurance auto et avoir 2 accidents en 14 mois sinon on vous demande d'aller voir ailleurs.</t>
  </si>
  <si>
    <t>16/12/2019</t>
  </si>
  <si>
    <t>01/12/2019</t>
  </si>
  <si>
    <t>cl83-70453</t>
  </si>
  <si>
    <t xml:space="preserve">3 sinistres dont 2 bris de glace et 1 accident à responsabilite partagee en 2 ans et on vous resilie alors que vous n aviez rien eu auparavant, que vos parents y sont depuis plus de 20 ans. On paye une assurance et si on a pas de pb tout va bien et le jour ou on a besoin on se fait resilier... Génial le service...
Tant pis vous aller perdre 4 assurances du coup </t>
  </si>
  <si>
    <t>22/01/2019</t>
  </si>
  <si>
    <t>01/01/2019</t>
  </si>
  <si>
    <t>roar-69210</t>
  </si>
  <si>
    <t>Nuls, ils n'y connaissent rien en 2 roues. Après un accident de scooter, ils m'informent qu'ils n'ont pas de garage 2 roues agréé. Dans le camion de pompier, j'ai du négocier moi même avec le remorqueur pour qu'il le laisse à son dépôt puis j'ai du payer pour qu'ils le ramène chez moi. 
Par la suite, la gestion du sinistre a été une catastrophe. J'ai joué le rôle de filet dans une partie de ping-pong entre l'assureur et l'expert. Aucun des 2 n'a été capable de bien m'expliquer les options que j'avais alors que mon scooter avait été jugé non économiquement réparable.
Mon équipement (gants, blouson, casque) était couvert pourtant j'ai du réclamer à l'assurance le remboursement de mes gants abimés lors de l'accident et 1 jour avant l'intervention de l'expert, ils me répondent que c'est à moi de les présenter à l'expert le jour de son intervention...j'étais en train de faire mes examens médicaux à l'hopital. Au final, j'ai acheté de nouveaux gants à mes frais, la MAAF n'a rien pris en charge.
J'ai été extremement déçu par leur gestion. Je suis assuré à la MAAF aussi pour ma voiture et ils n'avaient pas été aussi mauvais pour un précédent accident.</t>
  </si>
  <si>
    <t>07/12/2018</t>
  </si>
  <si>
    <t>01/12/2018</t>
  </si>
  <si>
    <t>kinougo-66888</t>
  </si>
  <si>
    <t>Après plus de 10 ans d'assurance auto + habitation chez MAAF, je reçois un courrier de résiliation de mon contrat!  la raison: deux accidents en 3 ans dont un non responsable,Bravo la MAAF et merci pour votre fidélité!</t>
  </si>
  <si>
    <t>17/09/2018</t>
  </si>
  <si>
    <t>bobor-59213</t>
  </si>
  <si>
    <t xml:space="preserve">Mal reçue sur l agence de bois colombes (92270) j avais l impression de deranger,  sa donne pas du tout envie de rester et surtout en aucun cas je conseillerais la MAAF... 
Je reste juste pour une histoire de prix , quoi que j ai trouvé moins chere de 10€ ailleur </t>
  </si>
  <si>
    <t>29/11/2017</t>
  </si>
  <si>
    <t>mc-mak-50800</t>
  </si>
  <si>
    <t>Lamentable, la seul assurance qui demande de payer avant de voir le devis</t>
  </si>
  <si>
    <t>30/12/2016</t>
  </si>
  <si>
    <t>nat-49724</t>
  </si>
  <si>
    <t xml:space="preserve">une résiliation de votre part (1 sinistre connu) me ferme la porte aux autres compagnies d'assurance. J'ai l'impression d'être une mauvaise conductrice avec vous alors que je suis 50 % de bonus depuis plus de 20 ans </t>
  </si>
  <si>
    <t>30/11/2016</t>
  </si>
  <si>
    <t>tanguoss-111037</t>
  </si>
  <si>
    <t xml:space="preserve">J'ai un sinistre qui dure depuis 3 ans. Ils se foute du monde et de leurs clients! impossible de les avoir au telephone, aucune nouvelle malgrés mes relances... à fuir! </t>
  </si>
  <si>
    <t>AssurOnline</t>
  </si>
  <si>
    <t>20/04/2021</t>
  </si>
  <si>
    <t>jean-jacques-102098</t>
  </si>
  <si>
    <t xml:space="preserve">Du moment où vous n'avez pas d accident sa vas mais dès l instant où vous avez un sinistre c est la que sa ce compliqué très fortement surtout si vous avez un accident grave moi cela fait un an et toujours rien reçu ont me répond toujours la même chose je déconseille </t>
  </si>
  <si>
    <t>02/01/2021</t>
  </si>
  <si>
    <t>01/01/2021</t>
  </si>
  <si>
    <t>etessier-98180</t>
  </si>
  <si>
    <t>Un process de souscription interminable avec demandes sans fin de documents justificatif.... je regrette deja d’avoir fait appel a eux... je paierai un peu plus cher l’année prochaine s’il le faut, mais cela fait plus d’un mois que j’ai souscris une assurance et il leur manque toujours un papier, des photos, un justificatif.... on s’epuise</t>
  </si>
  <si>
    <t>30/09/2020</t>
  </si>
  <si>
    <t>01/09/2020</t>
  </si>
  <si>
    <t>papy62-96993</t>
  </si>
  <si>
    <t>bonjour, oui j'ai obtenu une assurance scooter en ligne, ok, tous les documents expédiés, cela fait 2 fois que l'on me réclame par mail, &amp; j'ai déjà envoyé 2 fois les documents a saint quentin, de plus cet assureur est impossible a contacter au téléphone. désolé mais je suis déçu.</t>
  </si>
  <si>
    <t>03/09/2020</t>
  </si>
  <si>
    <t>peter2808-80009</t>
  </si>
  <si>
    <t xml:space="preserve">Fuyez cet assureur
Assuré depuis 2 ans l'assurance révèle toute ces limites comme pr hasard la première fois que je m'en sers.
Le service client me donne une fausse information du coup je n'obtient aucun remboursement. Je demande explication et ca se trouve j'ai mal compris les informations.
J'étais au contraire très attentif lors des explication comme il fallait dépenser 700 euros.
En somme je déconseille vraiment cette assurance !
Passez votre chemin. </t>
  </si>
  <si>
    <t>14/10/2019</t>
  </si>
  <si>
    <t>jackni-78608</t>
  </si>
  <si>
    <t>apres 3 mois d attente suite a un avp materiel dont je ne suis pas responsable apres de multiples appels toujours aucune nouvelle de mon remboursement sauf faites reparer et avancez la franchise on vous remboursera plus tard quand??? la seule reponse cela peut durer un an une honte aucun courrier aucune nouvelle a fuir systematiquement des amateurs pas des assureurs j envisage meme de deposer plainte pour publicite mensongere et non respect de contrat</t>
  </si>
  <si>
    <t>22/08/2019</t>
  </si>
  <si>
    <t>fl0044-74823</t>
  </si>
  <si>
    <t>Sinistre intervenu le 8 janvier 2019, aucune nouvelle depuis, malgré un dossier mentionné complet sur l'appli dès le 12 janvier, et... 5 relances. Inadmissible. 
Depuis lors je continue à payer les cotisations pendant que  mon scooter est immobilisé au parking. 
Seul retour à chaque fois que j'adresse un email : la réponse automatique pseudo-personnalisée du service clients : 
Bonjour,
Nous vous confirmons la bonne réception de votre message par notre Service Clients.
Nous mettons tout en oeuvre pour y répondre dans les meilleurs délais.
A très vite,
Paul du Service Courrier Clients.</t>
  </si>
  <si>
    <t>13/04/2019</t>
  </si>
  <si>
    <t>celia-63403</t>
  </si>
  <si>
    <t>HONTEUX ! Surtout ne pas aller chez eux ! Leur slogan, quelque chose comme "la réactivité et l'assurance sont notre satisfaction". Un gros zéro pointé en réactivité. Aout 2017 je souscris un pré-contrat pour un potentiel achat de véhicule en occasion. Je ne prend finalement pas ce véhicule. Je demande donc le remboursement de la cotisation versée d'avance (2mois versés). Suite à une erreur d'orthographe sur mon nom par LES FURETS.com et par une dame insuffisamment francophone pour assurer un bon service client (surtout merci de n'y voir aucun racisme, juste un manque de compétence réquise et nécessaire pour un tel job), je signale l’erreur aux conseillères (d'ailleurs très aimable rien à redire là dessus) et tout est sensé rentrer dans l'ordre. Nous sommes en avril 2018 et je n'ai toujours pas reçu mon remboursement..................... 8 mois depuis ma pré-souscription......Ca prend 3 minutes pour vous prendre de l'argent et 8 mois pour vous le rendre (ou pas). En plus c'est souvent compliqué pour les joindre et ce sont d'incroyable violoniste qui vous disent des mensonges uniquement pour mieux faire avaler la pillule. Une honte ! Le suivi est inexistant puisque rien n'est noté des entretiens téléphoniques précedents et des promesses que l'on me fait: "Ah mais madame je ne sais pas ce qu'elle vous a dit, je ne la connais pas et je ne suis pas au même endroit !" ???????! et sinon le suivi ??? Conclusion : ne souscrivez JAMAIS à une télé-assurance. Toujours avoir un interlocuteur en face. Merci Assuronline pour la leçon :) . Je ne souscrirai jamais chez vous et vous déconseillerai aux autres avec tout mon coeur et ma hardiesse !
J'ai également posté un avis sur google, bientôt sur facebook. Ha non on ne peut pas, l'évaluation est bloquée et il est affiché une fausse évaluation de 4,5 étoiles, ce qui est très étonnant vu les avis google...</t>
  </si>
  <si>
    <t>19/04/2018</t>
  </si>
  <si>
    <t>01/04/2018</t>
  </si>
  <si>
    <t>alexandre-55367</t>
  </si>
  <si>
    <t>après le renvois de ma carte verte , de l'avenant de résiliation , de la cession de vente du véhicule , du justificatif de déclaration de vente a l'AGENCE NATIONALE DES TITRES SÉCURISÉS DÉPENDANT DU MINISTÈRE DE L' INTÉRIEUR toujours aucun remboursement je vais faire comme pour direct assurance je saisi un médiateur d'assurance</t>
  </si>
  <si>
    <t>05/11/2017</t>
  </si>
  <si>
    <t>runaway13-50839</t>
  </si>
  <si>
    <t>Bonjour je vous explique ma situation ayant acheter un fz6 en aout 2015, 1ans d'assurance sans problème, après les 1ans déjà l'assurance augmente déjà je trouve sa louche, ensuite ayant un accident le 23 juillet 2016 en étant tout risque, la moto a la casse et moi j'ai perdu 2 doigt dans l'accident, on est le 2 janvier 2017 toujours pas de remboursement pour ma moto et encore moins pour mon corporel malgres que j'appelle 2 fois par semaine on me dit que le traitement et en cours après que le remboursement n'a pas marcher a 2 fois faut arrêter de prendre des gens pour des débiles ( on ne peut pas dire de gros mots sur ce site sous peine de problème)   et des vache a lait seul option je pence prendre un avocat.</t>
  </si>
  <si>
    <t>02/01/2017</t>
  </si>
  <si>
    <t>dada13013-49305</t>
  </si>
  <si>
    <t xml:space="preserve">Bonjour voila j'ai eu un accident en raison en date du 31 août 2016 et depuis mon scooter et au garage car il n'a toujour pas reçu sont règlement et quand je les appelle il me disent que la facture a etait traite le 2 novembre 2016 et nous somme le 17 toujour rien il me disent encore d'attendre le courant de la semaine prochaine le garage a sa prise en charge vous pouvez récupérer votre scooter mes malheureusement il n'a pas confiance peux t'on angagee une procédure de plainte pour ces fait en leur encontre et est ce un motif de résiliation </t>
  </si>
  <si>
    <t>17/11/2016</t>
  </si>
  <si>
    <t>bburban-125479</t>
  </si>
  <si>
    <t>Bonjour,
Mon fils a été victime d'un accident en Février 2021, un véhicule conduit par un anglais lui ayant refuse la priorité, Bilan 100 Jrs D'ITT.
Pas un appel de l'assurance, des contacts difficiles à établir, de multiples interlocuteurs méconnaissant le dossier, et ce malgré l'envoi de tous les documents ( Destruction du scooter, Expertises, Constat de police...). Je connais d'autres cas  ou l'assurance assure un service de soutient et de prise. Le prélèvement mensuel se faisait très bien, il semble que l'informatique rencontre des problèmes lorsqu'il faut accompagner un dossier sinistre. Sont-ils compétents ?
Bref UNE ASSURANCE INEXISTANTE EN CAS D'ACCIDENT , Pas le moindre service, des attentes sans fins au téléphone, lorsqu'ils ne mettent pas fin à l'attente... (heureusement pour eux que l'assurance est obligatoire)</t>
  </si>
  <si>
    <t>Euro-Assurance</t>
  </si>
  <si>
    <t>29/07/2021</t>
  </si>
  <si>
    <t>piou-121936</t>
  </si>
  <si>
    <t xml:space="preserve">Bonjour ,je recommande a personne cette assurance .mon fils à eu un accident de moto le 30/09/2020 a ce jour aucun expert ni réparation ont été effectués.ils ne veulent rien s avoir .ATTENTION </t>
  </si>
  <si>
    <t>pilloni-116558</t>
  </si>
  <si>
    <t>Oyé oyé brave gens, des incompétents. Pour ma part, ils m'ont fait payer l'assurance trajet travail alors que j'habite sur les lieux même de mon travail et la tarification d'un véhicule stationné sur la voie publique alors que mon véhicule est stationné en un lieu hermétiquement clos. J'habite dans un collège et vu le plan vigipirate renforcé du moment mon véhicule est "en sécurité" . 
Alors dès lors que vous demandez pourquoi ? Ils vous répondent que ces critères n'interviennent en rien sur l'établissement du tarif ce qui est faux.
Voilà pour faire bref, mais je peux prouver ce que j'avance !!!!!</t>
  </si>
  <si>
    <t>10/06/2021</t>
  </si>
  <si>
    <t>lahmarabd1-105026</t>
  </si>
  <si>
    <t>A fuire, contrat signé et paiement effectué, au bout de 10 jours une lettre avec AR de résiliation pour soit disant j'ai une société de coursier (depuis plus d'un an) et je vais utiliser pour livraison alors que c'est totalement faux.
J'ai pas encore été remboursé pour la période cotisée mais pas encore remboursé mais je ne lacherai pas.</t>
  </si>
  <si>
    <t>bomb-97546</t>
  </si>
  <si>
    <t>Vol de mon véhicule le 1er juin dossier renvoyé complet 5 jours après, mais plus de 3  mois après et une vingtaine d'appels, je ne suis tjrs pas indemnisé !
À FUIR</t>
  </si>
  <si>
    <t>18/09/2020</t>
  </si>
  <si>
    <t>mb2803-90260</t>
  </si>
  <si>
    <t>Ne surtout pas prendre cette assurance!!! Plus de 3 mois d'attente pour une simple autorisation expertise d'un véhicule par un concessionaire agréer. Ensuite il faut pas être presser pour le remboursement. Par contre prélevement à l'heure tous les 5 du mois pendant ces 4 mois d'attente d'expertise... Pour au final s'apercevoir que le véhicule est soit disant irréparable. Et ne comptez pas sur le remboursement des 4 mois injustements prélever. FUYEZ!!!!</t>
  </si>
  <si>
    <t>freefly-75423</t>
  </si>
  <si>
    <t>LAMENTABLE. Ils séquestrent votre argent pendant 3 mois après avoir demandé la résiliation. Et bien sur ils ne répondent à aucune des sollicitations effectuées entre temps. La personne au téléphone n'en n'avait absolument rien à faire. A fuir.</t>
  </si>
  <si>
    <t>26/04/2019</t>
  </si>
  <si>
    <t>mutt-74671</t>
  </si>
  <si>
    <t xml:space="preserve">fuyez aussi vite que vous pouvez! préférez les assurances avec agences physiques. Ils veulent vous faire payer des frais d'inscription exorbitants, menacez de ne pas signer et ils les annulent... </t>
  </si>
  <si>
    <t>02/04/2019</t>
  </si>
  <si>
    <t>dani95-71735</t>
  </si>
  <si>
    <t>A fuir,  facturée 50% au bout de 3 jour pour une rétractation</t>
  </si>
  <si>
    <t>28/02/2019</t>
  </si>
  <si>
    <t>marcel2006-71640</t>
  </si>
  <si>
    <t xml:space="preserve">suite à un vol de moto le 12.11.2018 assureur partenaire la parisienne sinistre num 402915  je suis toujours sans aucune nouvelle le dossier n avance pas j appel chaque semaine on me dit encore 48 h cela fais 2 mois qu on me ballade sos svp </t>
  </si>
  <si>
    <t>25/02/2019</t>
  </si>
  <si>
    <t>gibrit58-70436</t>
  </si>
  <si>
    <t>Difficile de partir....ils ne comprennent pas qu on veux les quitter... Donc ils continuent les prélèvements bancaires.... Les coups de fil et les mails pleuvent.... Alors qu ils ont donné le relevé d information selon la loi hamelin</t>
  </si>
  <si>
    <t>21/01/2019</t>
  </si>
  <si>
    <t>opra7-67214</t>
  </si>
  <si>
    <t xml:space="preserve">A éviter. Plusieurs clients dont moi sommes concernés. J'ai réuni tout mes docs, j'ai payé 3mois d assurance comptant, renvoyer tout les docs qu'ils fallaient, je reçois ma confirmation que le contrat d assurance est OK. Puis un mois après, je reçois une résiliation pr motif comme quoi il manque des documents, donc je rappelle ils me disent Qu ils ne savent pas la raison, un conseiller vs rappelera mais rien. J'appelle ts les jours. et je me bat pr le remboursement dont un conseiller A osé me dire, ce sera impossible à 100%.  </t>
  </si>
  <si>
    <t>30/09/2018</t>
  </si>
  <si>
    <t>charlie2812-65844</t>
  </si>
  <si>
    <t xml:space="preserve">Sur 3 contrats pour des 2 roues je demande 2 résiliations l'un pour vol l autre pour vente,  je me retrouve avec tous les contrats résiliés ! Après de multiples mail pour savoir le pourquoi du comment concernant la résiliation de ce 3eme contrat qui n etait concerne par aucune demande de ma part, aucune réponse de leur part durant 2 mois !  j ai donc logiquement souscrit un contrat ailleurs pour ce 2 roues. Et le 13 juillet réveil d euro assurance qui remettent en route le contrat en m'annonçant par mail le prélèvement de 118 euros (pourquoi une telle somme pour une mensualité qui était de max 39 euros ? aucune explication bien sur) le 5 aout ! Ils gèrent donc vos contrats seul comme bon leur semble vous trouve des montants comme cela leur conviennent ne vous contacte en rien et abusent largement de leur position ! Assureur a fuir et à éviter car au final les prix sont quasi identique chez certains de leur concurrent ! </t>
  </si>
  <si>
    <t>28/07/2018</t>
  </si>
  <si>
    <t>bc75-65358</t>
  </si>
  <si>
    <t>Scooter Citystar de Peugeot acheté neuf en Septembre 2014 à plus de 2.500€, avec des accessoires en suppléments (dosseret, jupe). Entrenu deux fois par an, aucun accident, ni rayure. 15.000KM au moment du vol de mon scooter, il fonctionnait parfaitement et sortait de révision (un mois auparavant). Montant de l'indemnisation au titre de la "vétusté" et de la franchise? 770€. Une blague. Même pas 30% de la valeur du scooter acheté. En occasion aujourd'hui, le scooter ne se trouve pas à moins de 1.500€ à kilométrage comparable.</t>
  </si>
  <si>
    <t>09/07/2018</t>
  </si>
  <si>
    <t>cacoun-63469</t>
  </si>
  <si>
    <t>Incroyable . suite à un accident moto pour lequel je n’étais pas responsable. Il a fallu que je me justifie à plusieurs reprises. J’avais l’impression qu’euro Assurance travaillait pour l’automobiliste qui m’était rentré dedans. Au total  peu d’écoute et beaucoup d’incompétence. J’ai bien sûr résilié très vite.</t>
  </si>
  <si>
    <t>22/04/2018</t>
  </si>
  <si>
    <t>oli-53020</t>
  </si>
  <si>
    <t xml:space="preserve">Prix exorbitants, extrême lenteur quand vous avez besoin d'eux, et méthodes plus que douteuses...
J'ai été assuré pour mon scooter. Dans mon contrat signé, il est écrit qu'il faut au minimum deux protections pour assurer le scooter (Antivol agrée, ok, gravage, ok). Ce que j'ai fait. On m'a volé le scooter, il a été retrouvé. Après plainte, l'assurance se "déclenche", là, premièrement on me dit que l'on me recontactera sous 48h. 48h après, pas de contact. J'appelle. C'est la première fois que ça m'arrive, je cherche à être assuré et rassuré, je tombe sur quelqu'un qui me prend de haut et qui me dit d'attendre avant de parler d'un éventuel dédommagement (lui est peut-être coutumier, moi pas). Je note que les échanges changent complétement maintenant que j'ai besoin d'aide.
On dit donc traiter mon dossier, que l'on m'envoie des documents à remplir. Deux semaines après toujours rien. Je rappel donc. Suite à cet appel, on m'envoie enfin les documents en 3 minutes. (Quand on parle de lenteur, voilà un exemple concret, c'est à moi d'appeler deux fois pour que les choses bougent).
Au final, je reçois une lettre me disant que la garantie ne marche pas, car sur les 3 des points nécessaires à la garantie, 1 n'est pas effectué.
Je rappel, disant que sur mon contrat, il est écrit 2 points de protections minimum. Là on me dit que dans les conditions générale, un troisième point est écrit (bloquer la direction)...
Comment appeler ses méthodes ? Douteuses ? 
On vous indique sur votre contrat une chose, pour indiquer une autre différente dans les "conditions générales". 
Résultat, aucunes prises en charges pour la réparation de mon scooter. Le dialogue a complétement changé quand j'appelle, et j'ai eu le droit à une lenteur extrême sur mon dossier après que le vol est eu lieu, c'était à moi d'appeler sans cesse pour faire bouger les choses.
Je passe donc chez la concurrence, et parlerai longtemps autour de moi d'euro-assurance. Pas en bien, vous vous en doutez. Sentiment de m'être fait extrêmement avoir et de n'avoir eu aucun soutien quand j'en avais besoin en plus de devoir appeler pour que les employés fasse leur travail et s'occupe de mon dossier.
On vous dit une chose dans le contrat pour indiquer autre chose dans les conditions générales... "Deux protections minimum" je cite mon contrat, que j'ai respecté. Pour au final en indiquer une troisième, mais dans les conditions générales (je cite la dame que j'ai eu au téléphone). Comment appel t-on cela ? Quel est ce contrat, vu que ce qui y est écrit n'est pas valide et qu'il faut le compléter par les conditions générales ?
J'ai signé ce contrat, j'ai respecté ce qui y est écrit, et je me fais complétement léser. </t>
  </si>
  <si>
    <t>07/03/2017</t>
  </si>
  <si>
    <t>01/03/2017</t>
  </si>
  <si>
    <t>kiki-51348</t>
  </si>
  <si>
    <t>Suite à un premier sinistre soit disant responsable depuis plus de 10 ans dont je nies la responsabilité euroassurance me donne 25% de malus.en sortant de chez moi un automobiste s arête pour me laisser passer . Une conductrice en deux roues qui double sur une ligne blanche me percute et pour cela on me donne 100% de responsabilité ???????</t>
  </si>
  <si>
    <t>16/01/2017</t>
  </si>
  <si>
    <t>marou-138373</t>
  </si>
  <si>
    <t>je n'ai pas encore d'avis sur Santiane car je n'ai pas encore utilisé la mutuelle. 
En revanche, j'ai appelé le service administratif et j'ai eu une personne, RAWANE qui a été très sympathique et très professionnel, il m'a de suite écouté sur mon besoin et aussitôt a pu m'éclairer.
Merci à vous Rawane !</t>
  </si>
  <si>
    <t>Santiane</t>
  </si>
  <si>
    <t>sante</t>
  </si>
  <si>
    <t>27/10/2021</t>
  </si>
  <si>
    <t>01/10/2021</t>
  </si>
  <si>
    <t>younath-138363</t>
  </si>
  <si>
    <t>Les entretiens avec Meriem ont été constructifs et elle reste très à l'écoute du besoin du client et oriente comme il se doit et ce même si mon problème n'est pas encore résolu.</t>
  </si>
  <si>
    <t>jcm-137822</t>
  </si>
  <si>
    <t xml:space="preserve">Après un problème pour activer mon espace client, le support sur le site m’a envoyé 3 fois le même message pour activer le compte avec chaque fois le même message d’erreur. Après dix minutes d’attente et une discussion avec le support technique le problème a vite été résolu. </t>
  </si>
  <si>
    <t>19/10/2021</t>
  </si>
  <si>
    <t>laura-137787</t>
  </si>
  <si>
    <t>Mise en relation avec le conseiller Daouda il a su répondre entièrement et rapidement à mes questions. En ayant la gentillesse de me renvoyer directement un document important égarés dans mes mails.</t>
  </si>
  <si>
    <t>dodo-76-137758</t>
  </si>
  <si>
    <t xml:space="preserve">Merci à Mariama , ses renseignements étaient précis et ont répondu à ma demande ...son .efficacité et son ...amabilité étaient au rendez-vous ...cordialement à tous </t>
  </si>
  <si>
    <t>jacqueline--137687</t>
  </si>
  <si>
    <t xml:space="preserve">Sokhna. 
Bon acceuil
Bonne disponibilité.
Renseignements donnés.
Je suis satisfaite des informations recues et du professionnalisme de mon interlocuteur </t>
  </si>
  <si>
    <t>18/10/2021</t>
  </si>
  <si>
    <t>emmanuellito-137526</t>
  </si>
  <si>
    <t xml:space="preserve"> jai eu affaire a une interlocutrice tres agreable  elle  a solutionné rapidement mon problème d'acces a mon espace client ( nom de la conseillère widad) merci </t>
  </si>
  <si>
    <t>15/10/2021</t>
  </si>
  <si>
    <t>jamal-137427</t>
  </si>
  <si>
    <t xml:space="preserve">Appel ce jour (le 14/10/2021) Mariama  comme interlocuteur, agréable et professionnel pour les explications reçues. Tout y a été très clair et compréhensif, je valide 5 etoile pour Mariama </t>
  </si>
  <si>
    <t>14/10/2021</t>
  </si>
  <si>
    <t>domro86-137339</t>
  </si>
  <si>
    <t xml:space="preserve">Appel ce jour (le 13) M. ABO comme interlocuteur, agréable et professionnel pour les explications reçues. Tout y a été très clair et compréhensif, je valide 5*
 Cordialement
D.R </t>
  </si>
  <si>
    <t>13/10/2021</t>
  </si>
  <si>
    <t>abdelouahed-137163</t>
  </si>
  <si>
    <t>avec l'interlocuteur que j'ai eu au téléphone franchement c'est une personne sympa est a fait pour le mieux pour que je puisse avoir tous les informations est m'aider à régler mon problème. excellent amadou</t>
  </si>
  <si>
    <t>12/10/2021</t>
  </si>
  <si>
    <t>agassi68y-137126</t>
  </si>
  <si>
    <t>Bonjour, je viens d’avoir une conversation téléphonique avec Daouda qui s’est très bien passée. Très à l’écoute et très professionnel ??
Merci Daouda ??</t>
  </si>
  <si>
    <t>bernard--136947</t>
  </si>
  <si>
    <t xml:space="preserve">Je viens d avoir une conversation avec Amanata  très professionnel bien à l écoute elle résolue le problème depuis  juin je n avais de connexion entre la sécurité sociale et la mutuelle  donc je recevais aucun remboursement pourtant c est pas la première fois que je vous appelle  merci a vous  Aminata </t>
  </si>
  <si>
    <t>11/10/2021</t>
  </si>
  <si>
    <t>pat-136650</t>
  </si>
  <si>
    <t xml:space="preserve">Merci Alassane pour le temps pris pour comprendre avec moi les "couacs"  qui apparaissaient sur mon espace adhérent. Merci de me rappeler et de m accompagner pour m aider à me connecter. 
Tout est rentré dans l'ordre. 
Patience, efficacité. Bravo ! 
</t>
  </si>
  <si>
    <t>08/10/2021</t>
  </si>
  <si>
    <t>mfede--136595</t>
  </si>
  <si>
    <t xml:space="preserve">Peu sérieux dans la formulation des devis. Avant acte chirurgicale, j'ai demandé un devis à Santiane professionnels de santé. On m'a assuré un remboursement de 100,00€. Après trois mois de réclamations de ma part, ils m'ont d'abord confirmé la prise en charge des 100,00€ avant qu'ils ne se rétractent en m'explicant qu'ils venaient de réaliser que j'avais épuisé mon quotas d'actes non remboursés par la sécurité sociale. 
Pas de geste commercial, pas d'excuses non plus. </t>
  </si>
  <si>
    <t>01/09/2021</t>
  </si>
  <si>
    <t>grand7-136579</t>
  </si>
  <si>
    <t>Service client très réactif et très professionnel. Nouveau client, j'ai contacté ce service pour un petit problème de carte non reçue. Problème résolu. Merci Alassane.</t>
  </si>
  <si>
    <t>marie-136484</t>
  </si>
  <si>
    <t>J'ai été accueillie par Mariama il y avait un petit problème technique et m'a promis de me rappeler dans le courant de la matinée ce qu'elle a fait et a très bien résolu mon problème donc je n'ai que de la satisfaction cordialement</t>
  </si>
  <si>
    <t>07/10/2021</t>
  </si>
  <si>
    <t>zouet-136441</t>
  </si>
  <si>
    <t>j'ai eu un petit soucis avec l'écriture de mon nom j'ai été accueillie par un Monsieur nommé Larbi quelqu'un de très gentilqui a su me donner tous les renseignements que j'attendais</t>
  </si>
  <si>
    <t>herve-136240</t>
  </si>
  <si>
    <t>Les renseignements que m’a donnés Alassane aujourd’hui étaient extrêmement précis. Il a passé beaucoup de temps avec moi qui ne suis pas très à l’aise avec mon ordinateur, j’ai beaucoup apprécié. Il en effet fait preuve de beaucoup de patience et de professionnalisme…</t>
  </si>
  <si>
    <t>06/10/2021</t>
  </si>
  <si>
    <t>jojo-136179</t>
  </si>
  <si>
    <t xml:space="preserve">J'ai eu un problème de boite courrier sur mon espace client résolu par Ramata, qui a envoyé mes documents en pièce jointe sur ma boite mail, ce qui m'a permis de pouvoir les consulter
Satisfait de sa prestation.
</t>
  </si>
  <si>
    <t>jojo89-136007</t>
  </si>
  <si>
    <t>Mon échange téléphonique avec Thérèse concernant la validation de mon espace adhérent m'a donné entière satisfaction.
excellent accueil de sa part-très aimable-bonne écoute et des réponses claires</t>
  </si>
  <si>
    <t>05/10/2021</t>
  </si>
  <si>
    <t>marie-135882</t>
  </si>
  <si>
    <t>Mon échange téléphonique avec Therese concernant mon inscription à votre Mutuelle fut très cordial qui m'a donné entière satisfaction. Etant nouvellement inscrite, je n'ai pas d'avis à donner dans l'immédiat.</t>
  </si>
  <si>
    <t>04/10/2021</t>
  </si>
  <si>
    <t>janet-135442</t>
  </si>
  <si>
    <t xml:space="preserve">C’est mon premier contact - le conseiller au téléphone était très aimable et a su me rassurer tout de suite par rapport à mes questions. Le menu téléphonique est plutôt long par contre </t>
  </si>
  <si>
    <t>isiatoon-134455</t>
  </si>
  <si>
    <t xml:space="preserve">Bonjour
Je recommande cette mutuelle bien moins onéreuse que les autres , LARBI est d'une gentillesse et d'une compétence  rare
Instruction et transmission à la clinique de notre dossier en vue d'une opération prévue le 8 Octobre en moins de temps qu'il ne faut pour le dire
Félicitations </t>
  </si>
  <si>
    <t>25/09/2021</t>
  </si>
  <si>
    <t>titin--134117</t>
  </si>
  <si>
    <t xml:space="preserve">J’ai eu un bon contact avec une opératrice khadiatou qui m’a bien expliqué .Elle m’a fourni tous les renseignements nécessaires pour comprendre éléments pour transmettre des documents . Merci </t>
  </si>
  <si>
    <t>23/09/2021</t>
  </si>
  <si>
    <t>gilonne-133897</t>
  </si>
  <si>
    <t>Suite à un erreur d un hôpital, il réclame 287€ à ma mère alors qu ils nous pas fait de demande de prise en charge.
Suite à mon échange j ai eu toutes les infos par Mariama qui va suivre le dossier et s  occuper le la PEC.
Merci à l équipe.</t>
  </si>
  <si>
    <t>22/09/2021</t>
  </si>
  <si>
    <t>mamichele--133861</t>
  </si>
  <si>
    <t xml:space="preserve">Après conversation téléphonique très bien renseigner auprès de Mariama. En espérant que le problème de connexion a mon espace client sera résolu on me dit inconnu  lorsque que j essaie de me connecter </t>
  </si>
  <si>
    <t>21/09/2021</t>
  </si>
  <si>
    <t>aucun-133235</t>
  </si>
  <si>
    <t>Bonjour
Je suis très satisfaite de Mr Therno Deme, il a été à mon écoute, il m'a bien conseillé sur la manière de réaliser ce que j'avais à exécuter avec mon ordinateur.
Je l'en remercie vivement</t>
  </si>
  <si>
    <t>17/09/2021</t>
  </si>
  <si>
    <t>melike--132796</t>
  </si>
  <si>
    <t>Très bonne prise en charge téléphonique par le personnel qui se nomme Khadidiatou, très utile et très claire dans ces propos 
Je la remercie pour cette aide,
Cordialement.</t>
  </si>
  <si>
    <t>14/09/2021</t>
  </si>
  <si>
    <t>jmy-132791</t>
  </si>
  <si>
    <t>Bonjour
J’ai appelé plusieurs fois santiane depuis mon adhésion j’ai été très bien renseigné min interlocuteur très professionnel et courtois 
Merci encore je ne regrette aucunement mon adhésion prix et prestations 
Cordialement mr lebigre morel</t>
  </si>
  <si>
    <t>calimero-132788</t>
  </si>
  <si>
    <t>Très bon accueil au téléphone Rawane mon conseiller a su répondre efficacement  à mes questions et m'accompagner pour activer mon espace client j'ai pris mon adhésion samedi et tout est allé très vite j'ai déjà ma carte provisoire pour l'instant je suis très satisfaite .</t>
  </si>
  <si>
    <t>fragment-132035</t>
  </si>
  <si>
    <t xml:space="preserve">je viens de téléphoner pour un renseignement, et une personne absolument charmante du nom de Widad, m'a guidé pour que je puisse envoyer un document.
Personne très chaleureuse, courtoise et pas glacial, comme chez sfr par exemple.
Je n'ai pas trouvé mieux comme comparatif. 
</t>
  </si>
  <si>
    <t>09/09/2021</t>
  </si>
  <si>
    <t>nicole-131684</t>
  </si>
  <si>
    <t>MARIAMA mon interlocutrice a été réactive et très sympathique.
Réponse rapide à mes questions. J'ai été satisfaite de cette conversation.
Je recommande.</t>
  </si>
  <si>
    <t>07/09/2021</t>
  </si>
  <si>
    <t>zakia-131564</t>
  </si>
  <si>
    <t>Maria une conseillère très à l'écoute, elle a pris en charge ma demande de remboursement, accueillante et souriante .
Prise en charge rapide de mon appel.</t>
  </si>
  <si>
    <t>06/09/2021</t>
  </si>
  <si>
    <t>flo-130785</t>
  </si>
  <si>
    <t xml:space="preserve">Le premier contact téléphonique a été professionnel et agréable car je me suis sentie écouté et comprise dans mes besoins concernant le choix d'une mutuelle santé.
Puis j'ai eu des soucis sur le site internet car je n'avais pas de réponse aux mails envoyés (changement de RIB, demande de carte de Tiers Payant...), alors j'ai appelé le standard de Santiane et j'ai eu Mariama au téléphone qui a été très patiente et compréhensive, et a répondu à toutes les questions que j'avais. </t>
  </si>
  <si>
    <t>02/09/2021</t>
  </si>
  <si>
    <t>kadkad-129536</t>
  </si>
  <si>
    <t xml:space="preserve">Bonjour 
Merci mariama très gentil 
Le service client me plaît pour l’instant rien à dire tout va très bien
J’espère que ça va va durer ????
Bonne continuation </t>
  </si>
  <si>
    <t>26/08/2021</t>
  </si>
  <si>
    <t>patt-129366</t>
  </si>
  <si>
    <t>Bonjour, 
Nouveau client chez Santiane je remercie  Lissa pour son aide sur l'ouverture de mon espace. Temps d'attente téléphonique  très  honnête, et opératrice  agréable. 
Patrick</t>
  </si>
  <si>
    <t>25/08/2021</t>
  </si>
  <si>
    <t>dabo-129116</t>
  </si>
  <si>
    <t xml:space="preserve">Bonjour, Lamia que j'ai eu au téléphone a été très patiente, efficace dans mes demandes, et très professionnelle pour me conseiller. Merci encore pour sa patience et son professionnalisme,
bon début de semaine,
Mme. DABO Eva-Marie
</t>
  </si>
  <si>
    <t>23/08/2021</t>
  </si>
  <si>
    <t>josefa-128657</t>
  </si>
  <si>
    <t>INTERLOCUTRICE LISSA TRES AGREABLE ET A L ECOUTE
PRIX CONVENABLE 
LES PRISES EN CHARGE POUR LES HOSPITALISATIONS SONT TRES LONGUES, CE QUI BLOQUE LES RENDUS DE CHEQUE CAUTION</t>
  </si>
  <si>
    <t>19/08/2021</t>
  </si>
  <si>
    <t>sachas-128359</t>
  </si>
  <si>
    <t xml:space="preserve"> emeline conseillere efficace tres jolie voix qui connait parfaitement son metier je la remercie encore de ses explications et conseils pour mon dossier</t>
  </si>
  <si>
    <t>17/08/2021</t>
  </si>
  <si>
    <t>x-128184</t>
  </si>
  <si>
    <t>Je viens d'avoir un contact avec AMINATA , je tiens à préciser la disponibilité de cette personne et l'aide qu'elle m'a donné pour la résolution de mon contrat
Merci pour tout</t>
  </si>
  <si>
    <t>16/08/2021</t>
  </si>
  <si>
    <t>just-127839</t>
  </si>
  <si>
    <t>J'ai contacté Aminata au service client ce matin afin d'obtenir de l'aide à la connexion pour transmettre un relevé CPAM qui n'était pas passé en télétransmission. J'ai obtenu toutes les réponses à mes questions et l'aide demandée. Une dame agréable et très rapide pour les renseignements. Si tous les conseillers réagissent ainsi alors les différents problèmes peuvent être résolus rapidement.</t>
  </si>
  <si>
    <t>13/08/2021</t>
  </si>
  <si>
    <t>ds-127559</t>
  </si>
  <si>
    <t xml:space="preserve">Tout d'abord,  je remercie, "Emeline" l'hôtesse avec qui nous avons échangé par téléphone concernant ma demande de prise en charge "OPTIQUE" et l'ajout d'un bénéficiaire sur la carte de tiers payants. Les informations ont été claires et précises. </t>
  </si>
  <si>
    <t>11/08/2021</t>
  </si>
  <si>
    <t>javier-127552</t>
  </si>
  <si>
    <t xml:space="preserve"> Rawane qui a répondu à mon appel téléphonique a été très serviable, à l'écoute de ma demande. Très satisfait de l'accueil téléphonique et j'ai reçu les documents dont j'avais besoin</t>
  </si>
  <si>
    <t>mariethe-127360</t>
  </si>
  <si>
    <t>Emmeline qui a répondu à mon appel téléphonique a été très serviable, à l'écoute de ma demande. Très satisfaite de l'accueil téléphonique, c'est empressée de me faire parvenir les documents demandés</t>
  </si>
  <si>
    <t>10/08/2021</t>
  </si>
  <si>
    <t>papy-pompier-126673</t>
  </si>
  <si>
    <t>un peu long a la détente, les nouvelles cartes de mutuelle un peu en retard ,j'ai appeler j'en est reçu 11?? sauf que ma femme n'était pas dessus, nouvel  appel une jeune a vue l'erreur et l'a corriger; galère depuis 2 mois ,super sympa au tel.
eric</t>
  </si>
  <si>
    <t>05/08/2021</t>
  </si>
  <si>
    <t>christine-126606</t>
  </si>
  <si>
    <t>Très bon accueil téléphonique de chanice ...tout autant que anass 
Réponses aux questions posées avec beaucoup de disponibilité.
Très satisfaite des interlocuteurs compétents pour ma mutuelle Santiane.</t>
  </si>
  <si>
    <t>houdebert123-123834</t>
  </si>
  <si>
    <t xml:space="preserve">rien à redire, accueil convenable, réponse claire
de bons professionnels
tarif intéressants
pour la gestion, j'espère qu'il sera à la hauteur des apprésiations présédentes </t>
  </si>
  <si>
    <t>19/07/2021</t>
  </si>
  <si>
    <t>jeson-122895</t>
  </si>
  <si>
    <t>Trés bonne conseillère qui a su répondre d'une façon très aimable et courtois a mes questions et qui a pris son temps , grâce a Nisrine j'ai pu avoir une belle image de Santiane.</t>
  </si>
  <si>
    <t>09/07/2021</t>
  </si>
  <si>
    <t>jridder-122030</t>
  </si>
  <si>
    <t>Problème non résolu. Après 33 minutes avec un conseiller, toujours pas de solutions pour a connection au site de l'assureur. Pourtant je suis utilisateur internet confirmé. Je crois que l'on ne m'a pas compris</t>
  </si>
  <si>
    <t>iman-121854</t>
  </si>
  <si>
    <t>Saliha a été très à l'écoute et m'a parfaitement conseillée.
Elle avait promis de me rappeler suite à prise d'informations et elle s'y est tenue en me donnant toutes les réponses à mes questions.
Merci encore, top</t>
  </si>
  <si>
    <t>30/06/2021</t>
  </si>
  <si>
    <t>annettetcassou--117988</t>
  </si>
  <si>
    <t xml:space="preserve">Très bonne mutuelle et conseillers à l’écoute et réactifs ?? merci à salhia pour avoir réglé mes questionnements du jour Conseillère au top ???? ???? Et Bons tarifs </t>
  </si>
  <si>
    <t>23/06/2021</t>
  </si>
  <si>
    <t>alain-117779</t>
  </si>
  <si>
    <t xml:space="preserve">Merci à Émeline qui m’a répondu au téléphone ce jour
Obtenu tous les renseignements demandés 
Personne très agréable et efficace 
Merci beaucoup 
Alain Lohmann </t>
  </si>
  <si>
    <t>21/06/2021</t>
  </si>
  <si>
    <t>kinie71-117097</t>
  </si>
  <si>
    <t>excellent echange avec Emeline de Santiane une aide précieuse et accueil sympathique  certains centres d'appel feraient bien d'en prendre de la graine..</t>
  </si>
  <si>
    <t>15/06/2021</t>
  </si>
  <si>
    <t>sergio-116430</t>
  </si>
  <si>
    <t xml:space="preserve">J ai appelé. Maria m a aidé à résoudre mon problème de connexion.Et elle a patienté au téléphone le temps que je fasse les manipulations sur mon PC. Merci </t>
  </si>
  <si>
    <t>09/06/2021</t>
  </si>
  <si>
    <t>mamikou-116335</t>
  </si>
  <si>
    <t>Très  bon accueil de lamia, agréable,  j'ai  eu les réponses aux questions posées. Lamia a même répondu à  d'autres  questions posées pouf les lunettes.</t>
  </si>
  <si>
    <t>08/06/2021</t>
  </si>
  <si>
    <t>rakoto-116315</t>
  </si>
  <si>
    <t xml:space="preserve">je suis satisfais de l’accueil et du service, toutes mes questions ont obtenues réponses et conseilles sur les remboursements de frais d'optique, l’hôtesse a été efficace et prompt à répondre sur mes questionnements.  </t>
  </si>
  <si>
    <t>poutou-115938</t>
  </si>
  <si>
    <t>J'ai été reçu par une charmante dame qui a pris son temps pour m'expliquer la formule choisi, je la conseille à toute personne. Je la remercie du temps passé avec moi. Elle est très professionnelle.</t>
  </si>
  <si>
    <t>04/06/2021</t>
  </si>
  <si>
    <t>cc66-115868</t>
  </si>
  <si>
    <t>Bon accueil avec Widad qui m'a donné une réponse assez claire et précise. Le contact professionnel est agréable et rapide, je recommande cette mutuelle.</t>
  </si>
  <si>
    <t>03/06/2021</t>
  </si>
  <si>
    <t>isa-115584</t>
  </si>
  <si>
    <t>Je suis très satisfaite de l'amabilité, des explications et de l'assistance de Maria qui m'a  bien aidé (difficultés à créer mon compte)
Merci à  elle</t>
  </si>
  <si>
    <t>mado-115499</t>
  </si>
  <si>
    <t xml:space="preserve">Très bon accueil. La dernière communication avec Widad était à la foi chaleureuse, claire et très disponible. Elle était à l écoute de mes préoccupations et a su gerer mes attentes. </t>
  </si>
  <si>
    <t>archange93-114502</t>
  </si>
  <si>
    <t xml:space="preserve">Un très bon service client merci Widad j’ai reçu les documents que je voulais très rapidement. un gain de temps et d’argent pour le moment je suis très satisfait </t>
  </si>
  <si>
    <t>21/05/2021</t>
  </si>
  <si>
    <t>mmage-114344</t>
  </si>
  <si>
    <t xml:space="preserve">Je remercie vivement LÉA, pour sa gentillesse, sa compréhension et la résolution de ma demande. Sinon au niveau des prestations, mon avis est un peu moins enthousiaste. </t>
  </si>
  <si>
    <t>laborde--114186</t>
  </si>
  <si>
    <t xml:space="preserve">Bon contact professionnel gentillesse  compréhensible au téléphone merci à Léa qui m'a permis de ne pas regretter d'avoir changé de mutuelle mr Laborde </t>
  </si>
  <si>
    <t>19/05/2021</t>
  </si>
  <si>
    <t>thierrydicule-113356</t>
  </si>
  <si>
    <t xml:space="preserve">inscription par telephone , dossier monté en 10 mn . de tres bonne explications simple et contrai 11.05 une appel a pour des renseignements tres tres bonne accueil. de bonne explications de la part de Laura     </t>
  </si>
  <si>
    <t>11/05/2021</t>
  </si>
  <si>
    <t>--110633</t>
  </si>
  <si>
    <t xml:space="preserve">Aide très efficace de la conseillère Emeline qui m'a bien conseillée   pour ma 1ere  connexion à mon espace client. Elle est très agréable et pertinente dans ses réponses </t>
  </si>
  <si>
    <t>16/04/2021</t>
  </si>
  <si>
    <t>natacha-110603</t>
  </si>
  <si>
    <t>Bonjour,
Bon accueille téléphonique avec alimatou qui m'a aide a active mon compte pour accéder à celui-ci
En vous souhaitant bonne réception 
bonne journée</t>
  </si>
  <si>
    <t>pop-110542</t>
  </si>
  <si>
    <t xml:space="preserve">Excellent accueil téléphonique d'une personne prénommée Angélique qui a su répondre avec efficacité à mes demandes, en prenant le temps des explications. </t>
  </si>
  <si>
    <t>15/04/2021</t>
  </si>
  <si>
    <t>nikki-110501</t>
  </si>
  <si>
    <t xml:space="preserve">Éméline la conseillère santiane à très bien répondue à mes questions elle a été parfaitement claire et avenante sur les questions et réponses que je lui est demandée merci encore pour votre patience </t>
  </si>
  <si>
    <t>mamiechacha-110251</t>
  </si>
  <si>
    <t xml:space="preserve">Angélique a répondu avec compétence et amabilité à mes demandes. 
je suis très satisfaite de son intervention.
Ses renseignements correspondaient à ce que j'attendais.  </t>
  </si>
  <si>
    <t>bena--110213</t>
  </si>
  <si>
    <t xml:space="preserve"> A fuite absolument  nul comme mutuelle on leur fournir plusieurs fois les décomptes les facture acquittée alors soit il on pas les documents soit sa met plus d un Mois pour un Simple remboursement alors que cets en télétransmission J imagine même pas si sa serait sans quand au service client ni fait ni à faire entre le fait qu’il comprenne pas les demandes ou qu’il répondent toujours la même chose il faut patienté...:.. </t>
  </si>
  <si>
    <t>joselito--109313</t>
  </si>
  <si>
    <t xml:space="preserve">Bjr
J ai été reçu par une dame « Lamia » ses réponses ont été claires et de surcroît très à l écoute 
Compétente 
Excellente 
Très satisfait de notre conversation 
</t>
  </si>
  <si>
    <t>06/04/2021</t>
  </si>
  <si>
    <t>courtines--108930</t>
  </si>
  <si>
    <t xml:space="preserve">J'ai comparé et je trouve les prix un peu trop élevés par rapport à la concurrence il faudra revoir à l'avenir pour une réduction d'environ 15% à garanties identiques </t>
  </si>
  <si>
    <t>02/04/2021</t>
  </si>
  <si>
    <t>paty-108712</t>
  </si>
  <si>
    <t xml:space="preserve">Une aimable  conseillère prénommée Khadija  a su écouter et apporter les réponses que j'attendais. Hyper réactive en rien de temps elle a mis en place les solutions pour résoudre mon problème.
Bon début j'espère que cela continue as ainsi. Je recommande lSantiane
</t>
  </si>
  <si>
    <t>31/03/2021</t>
  </si>
  <si>
    <t>domi-108360</t>
  </si>
  <si>
    <t xml:space="preserve">Bonjour.
Je tiens à remercier Éméline pour son efficacité et son professionnalisme ainsi que sa gentillesse.
Cordialement.
Madame lenorry Dominique. 
PS: je n'en dirai pas autant d oliane santé. </t>
  </si>
  <si>
    <t>29/03/2021</t>
  </si>
  <si>
    <t>boubarik-108100</t>
  </si>
  <si>
    <t>Mon interlocuteur pape m’a très bien renseigné a été très clair et surtout très disponible merci à lui et à son travail.. il A été très courtois et a répondu à toutes mes questions tout a été très clair il il a été absolument compétent</t>
  </si>
  <si>
    <t>26/03/2021</t>
  </si>
  <si>
    <t>bm-107990</t>
  </si>
  <si>
    <t xml:space="preserve">bon accueil 
réponse claire et répondant à mes attentes 
seul bémol "le nombre de réponses a taper sur le téléphone pour avoir un interlocuteur"
sinon une fois en contact j'ai eu très bon accueil
</t>
  </si>
  <si>
    <t>25/03/2021</t>
  </si>
  <si>
    <t>valou-107830</t>
  </si>
  <si>
    <t>Nouvelle adhérente, je n'ai pas suffisamment de recul pour transmettre un avis.
Cependant, malgré l'attente au téléphone, mon interlocutrice Oumou s'est montrée très claire et très courtoise. La réponse à ma question a été résolue en 2 minutes.</t>
  </si>
  <si>
    <t>24/03/2021</t>
  </si>
  <si>
    <t>val-107821</t>
  </si>
  <si>
    <t>Je remercie Emeline qui a su me donner des explications claires et qui a répondu à ma demande.
Très professionnelle très à l'écoute et courtoise Merci</t>
  </si>
  <si>
    <t>mpo-107461</t>
  </si>
  <si>
    <t>cliente depuis le 14 janvier 2021 depuis que des problèmes .
aucune réponses a mes demandes . je pensais avoir a faire a un groupe compétant. malheureusement très déçu de ce groupe .
j'espère que je n'aurai pas une année de galère avec vous ...</t>
  </si>
  <si>
    <t>22/03/2021</t>
  </si>
  <si>
    <t>moncef24-107188</t>
  </si>
  <si>
    <t>pour mon 1er coup de fil à santiane j'ai eu houria au téléphone, personne très sympa et agréable elle été à l'écoute. un grand merci à elle.
j'espère que mon souci sera réglé le plus rapidement possible.</t>
  </si>
  <si>
    <t>19/03/2021</t>
  </si>
  <si>
    <t>gilou-107059</t>
  </si>
  <si>
    <t>Pour un 1er contact Aya a été courtoise et professionnelle 
J ai ouvert mon compte et m a suivi pas à pas
J espère à l avenir avoir un correspondant aussi pro</t>
  </si>
  <si>
    <t>18/03/2021</t>
  </si>
  <si>
    <t>yvette-106731</t>
  </si>
  <si>
    <t>Merci à EMELINE. Très compétente, agréable, consciencieuse, dévouée. Cela fait du bien
J'ai appelé pour un problème de transmission de documents qui a été résolu avec courtoisie.</t>
  </si>
  <si>
    <t>16/03/2021</t>
  </si>
  <si>
    <t>marc--106674</t>
  </si>
  <si>
    <t xml:space="preserve">Suite a la conversation téléphonique avec monsieur Othman qui et serviable et sérieux et de surcroît sympathique a répondu a mes attentes merci  cordialement 
</t>
  </si>
  <si>
    <t>15/03/2021</t>
  </si>
  <si>
    <t>emmanuel-106488</t>
  </si>
  <si>
    <t>Mr Pape Codé est très compétent et aussi très aimable. Il va soumettre mon problème de connexion aux services  technique informatique pour résoudre le problème. Je l'en remercie vivement.</t>
  </si>
  <si>
    <t>gassama-106380</t>
  </si>
  <si>
    <t>Je remercie Khadija, très a l'écoute, explication clair et compréhension totale. Résolution du problème,  o top, dommage que cetais pour résilier mon contrat mais si je devais rester chez cette mutuelle, j'aurais eu plaisir à avoir encore Khadija au téléphone. Un 20/20 pour elle</t>
  </si>
  <si>
    <t>marc-106231</t>
  </si>
  <si>
    <t xml:space="preserve">conseillers à l'écoute de nos demandes, disponibles (moyennant un temps d'attente téléphonique un peu long et une musique d'attente ne facilitant pas le calme au bout de quelques minutes). Une volonté non feinte à résoudre le problème posé. </t>
  </si>
  <si>
    <t>11/03/2021</t>
  </si>
  <si>
    <t>quiqui-105350</t>
  </si>
  <si>
    <t>J'ai contacté ce jour néoliane santé suite à des remboursements non effectués. J'ai très bien été conseillé par Hajar qui a fait preuve de patiente et d'écoute, mais je ne suis pas satisfait de cette assurance. Nous avons un mal fou à les contacter soit par mail ou téléphone. Je pense changer d'assureur à la fin de mon contrat.</t>
  </si>
  <si>
    <t>03/03/2021</t>
  </si>
  <si>
    <t>m-b-104700</t>
  </si>
  <si>
    <t>Cette assurance mérite un large détour un conseil à fuir ...
J’ai été sollicité par téléphone pour souscrire un contrat d’assurance maladie il y a un an actuellement j’ai réussi à l’interrompre grâce à un courtier sans cela je n’aurai pas pu le faire.
Actuellement je m’aperçois qu’ils continent à me prélever une assurance invalidité que je n’ai pas demandé 
Ils m’ont envoyé plusieurs papiers à signer à l’époque et parmi il y avait cette fameuse assurance qui ne sert à rien lorsque par ailleurs vous avez des assurances vies .
C’est purement et simplement honteux de constater ça et même si j’ai été trop confiante ce n’est pas juste de tenir en otage les clients si par malheur ils veulent résilier le contrat après un an .</t>
  </si>
  <si>
    <t>24/02/2021</t>
  </si>
  <si>
    <t>vick-103920</t>
  </si>
  <si>
    <t>C’est extraordinaire chez Santiane, je vous pose des questions par mails et vous êtes injoignable par téléphone depuis novembre pas de réponse donc je viens d’envoyer une lettre recommandé mais je mets un avis défavorable, vous répondez tout de suite....</t>
  </si>
  <si>
    <t>10/02/2021</t>
  </si>
  <si>
    <t>sam-103915</t>
  </si>
  <si>
    <t>À fuir, mais absolument ! 
Cela fait plusieurs fois que j'envoie des e-mail avec et sans lettres en pièce jointe pour demander une résiliation infra-annuelle à cette mutuelle. Les employés prennent à  chaque fois une semaine voire plus pour me répondre par avis négatif, sous prétexte qu'il faut rédiger la lettre à  la main et la signer. Je trouve qu'ils abusent largement et le font exprès pour faire perdre le plus de temps possible à leurs client et empocher plus d'argent possible, surtout que la nouvelle loi de résiliation, entrée en vigueur en décembre 2020 autorise la demande de résiliation par tout support durable, que ce soit par e-mail ou voie digitale et tout autre moyen utilisé à la base pour signer le contrat. Hier, J'ai encore reçu  un e-mail, de trop, de leur part me disant que mon contrat a été reconduit pour la deuxième année et qu'il me faut envoyer un préavis de deux moi avant la fin de  la seconde année avant de pouvoir le résilier!!! Je pense qu'il faut absolument dénoncer cette pseudo mutuelle. Santiane est à fuir absolument! Je vais me renseigner plus pour entamer une action judiciaire contre eux. J'attends vos conseils s'il vous plait. Une cliente plus qu'en colère et exaspérée par la mauvaise foie de Santiane</t>
  </si>
  <si>
    <t>riri-103820</t>
  </si>
  <si>
    <t>J’ai souscrit a une mutuelle par le biais de Santiane au mois de décembre après plusieurs appels insistants de leur part. Mais en regardant les avis négatifs, je me suis vite rétractée. Sauf qu’un premier prélèvement a été opéré sur mon compte. J'ai demandé un remboursement et bloqué le créancier. Et la je viens de recevoir un courrier de relance car leur prélèvement a été bloqué. Même si mon contrat n’est pas effectif, ils continuent d’essayer de me prélever. Fuyez! Fuyez</t>
  </si>
  <si>
    <t>08/02/2021</t>
  </si>
  <si>
    <t>nath74-103725</t>
  </si>
  <si>
    <t>J’ai pris cette mutuelle il y a un an car elle me semblait intéressante, mais le niveau de remboursement n’est pas du tout satisfaisant. Lorsque j’ai appelé pour augmenter mes garanties pour un remboursement de lunettes un peu élevé, on m’a dit que cela n’était pas possible parce que le changement prendrait du temps. Et lorsque j’ai voulu résilier mon contrat, on m’annonce que je dois attendre le mois anniversaire !!!!! Me voilà donc coincée pendant encore un an !!!! Je ne conseille pas du tout cette mutuelle !!!! Je suis furax !!!</t>
  </si>
  <si>
    <t>05/02/2021</t>
  </si>
  <si>
    <t>nono-103006</t>
  </si>
  <si>
    <t xml:space="preserve">- une augmentation de plus de 37€par mois depuis janvier!
- impossible de les avoir au téléphone
- devis dentiste envoyé depuis 1 semaine, pas de réponse!
</t>
  </si>
  <si>
    <t>21/01/2021</t>
  </si>
  <si>
    <t>julo-101795</t>
  </si>
  <si>
    <t>la conseillere Lamia tres bien ,à l'écoute,calme et efficace
Les prix difficile de juger trop de propositions .Cela reste satisfaisant puisque nous restons
un bon 14 sur 20</t>
  </si>
  <si>
    <t>23/12/2020</t>
  </si>
  <si>
    <t>duonc-101569</t>
  </si>
  <si>
    <t>démarchage téléphonique intrusif : 5 appels en moins d'une heure hier, 3 appels ce jour à l'heure du repas et l'intervenant SANTIANE eclate de rire quand je lui ai fait remarquer le nombre d'appels
Bande de charlots !</t>
  </si>
  <si>
    <t>17/12/2020</t>
  </si>
  <si>
    <t>pat-taurinya-101208</t>
  </si>
  <si>
    <t xml:space="preserve">Bonjour,
Très mécontente. J'ai résilié ma mutuelle chez eux car j'ai souscrit la mutuelle de mon entreprise. Là pas de soucis la résiliation a été prise en compte. J'avais dans ce même contrat, un contrat pour l'IJH qu'ils n'ont pas prise en compte dans la résiliation.
Je leur ai donc envoyé une LRAR par voie électronique le 20/10/20 pour résilier ce contrat à échéance le 31/12/20. Ils l'ont reçue le 22/10/20.
Le 09/12/20 Santiane me répond qu'ils ne peuvent pas y donner une suite favorable car la signature électronique doit être originale ou accompagnée d'un certificat de signature électronique. 
</t>
  </si>
  <si>
    <t>kikapata--101204</t>
  </si>
  <si>
    <t xml:space="preserve">Sauvez vous !! FUYEZ,  donnez votre argent a une mutuelle qui en ait vraiment une !!
Un service client inexistant, par contre pour vous prélever de l'argent et augmenter vos tarifs ils sont là !! Aucune résolution des problèmes, on se balance la balle de service en service.
Je vous explique, j'ai accouché le 14 juillet 2020, j'ai mis à jour ma carte, Santiane a biensur augmenté mon tarif dès le mois suivant 150€/mois , ils m'envoient un carte provisoire jusqu'au 10 octobre 2020(je n'ai toujours pas de carte définitive) entre temps mon bébé subit une opération,  et  il est hospitalisé. 
En faisant l'admission à l'hôpital la secrétaire se rend compte que ma carte est valable jusqu'au 10/10/2020.
J'appelle Santiane, car j'ai besoin de ma carte de mutuelle,  le SUPER  Service client #ironie m'envoie directement une carte mais a la date du jour au 23 novembre. 
Ma fille a eu des soins de chirurgie entre le 10 octobre et le 23 novembre !! Impossible pour eux de m'envoyer une prise en charge, ou de m editer une carte de mutuelle qui commence au 10 octobre ! On me demande d'avancer des frais alors qu'on me prélève 150€ par mois !!
Aucune prise en charge de mes soins ne sera effectuer entre le 10 octobre et le 23 novembre car c'est à moi de réclamer ma carte de mutuelle dans les temps d'après le service client ! Nous sommes le 10 décembre je n'ai toujours rien reçu !! On n'exige que je paie des soins, des chirurgies et que je leurs envoies les factures,  aucune avance de frais sera effectué de mon côté car jevpaye 150€ par mois pour un service inexistant !
D'après le service client c'est à moi de relancer pour demander une carte provisoire non a eux de me l'envoyer en temps et en heures. Dans ce sens et comme on me l'a dit je n'ai pas fait mon travail de relance !! Ils ne m'enverront aucun document ni aucune prise en charge, par contre les prélèvements sont effectués. 
j'ai décidé de porter plainte , et bien évidemment je résilie mon contrat et bloque les prélèvements jusqu'à ce qu'une personne e compétente et qui comprend le françaisme rappelle!!
En plus d'avoir un service client avec des gens qui vous raconte des conneries, on ne vous passe jamais les services demandés( service des carte ou des réclamations).
FUYEZ  CETTE  MUTUELLE  !!! Ce ne sont que des incompétents qui se renvoient la balle, avec un service client plus que médiocre,  donnez votre argent ailleurs
</t>
  </si>
  <si>
    <t>elvis-101108</t>
  </si>
  <si>
    <t>KADI, hôtesse d'accueil très agréable, à l'écoute de l'adhérent, très professionnelle, très rassurante, très souriante. Excellente conversation.
Bravo!! Tout est dit!!</t>
  </si>
  <si>
    <t>08/12/2020</t>
  </si>
  <si>
    <t>ray-100409</t>
  </si>
  <si>
    <t>Un mois que j' attends un remboursement (frais dentaires) de 84,98 € je vais quitter cette mutuelle .</t>
  </si>
  <si>
    <t>21/11/2020</t>
  </si>
  <si>
    <t>01/11/2020</t>
  </si>
  <si>
    <t>marinecamille1-86590</t>
  </si>
  <si>
    <t xml:space="preserve">Fuyez cette mutuelle, le suivi des clients est totalement inexistant. Ils ne sont ni joignables par téléphone ni par mail. Je souhaite résilier mon contrat avec eux car nouvelle mutuelle avec mon entreprise et ils font la sourde oreille. </t>
  </si>
  <si>
    <t>18/11/2020</t>
  </si>
  <si>
    <t>ferrando-100099</t>
  </si>
  <si>
    <t xml:space="preserve">Quasiment impossible à joindre au téléphone et lorsque vous avez la chance d'être en relation avec un conseiller il ne saura pas répondre à une demande de renseignement concernant une prise en charge de dépassement d'honoraire.
Pas plus de réponse à ma demande par mail...
J'ai donc résilié mon contrat Santiane à la date anniversaire le 7/07/2020.... et depuis je suis prélevé de 14.40€ chaque mois car il fallait envoyer deux demandes de résiliation :
- une à Santiane
- une à Linéa Hospi'accident
Conséquence je vais être prélevé de 14.40 € par mois pendant un an de plus...FUYEZ cette compagnie. </t>
  </si>
  <si>
    <t>14/11/2020</t>
  </si>
  <si>
    <t>sara539--99699</t>
  </si>
  <si>
    <t xml:space="preserve">Bonjour 
Achraf est un interlocuteur  très  attentif , aimable , perspicace et efficace surtout !!!! il a su m'écouter et je le remercie pour son sérieux.
</t>
  </si>
  <si>
    <t>05/11/2020</t>
  </si>
  <si>
    <t>coco-99698</t>
  </si>
  <si>
    <t xml:space="preserve">adhérente depuis le 01/01/2020, je viens de recevoir mon échéancier pour 2021 et quelle stupeur , une augmentation de 20 % - quelle honte !!!   surtout que cette année, j'ai dû avoir 3 remboursements de consultations de médecin - j'ai envoyé un mail de réclamation mais bien entendu, aucune réponse pour explication - j'ai hâte de démissionner de cette mutuelle, surtout que les garanties sont minimes par rapport à la cotisation </t>
  </si>
  <si>
    <t>papoupou-99327</t>
  </si>
  <si>
    <t>suite à une consultation internet pour voir un tableau de garantie nous avons été contacté à 3 reprises avec une insistance de trés mauvais goût . Ce courtier en assurance nous expliquant que nous étions stupides et que nous allions nous faire avoir si nous allions ailleurs que chez eux!!!! Cela s'appelle du harcèlement téléphonique  BRAVO</t>
  </si>
  <si>
    <t>28/10/2020</t>
  </si>
  <si>
    <t>lou-99212</t>
  </si>
  <si>
    <t>Contrats pas clairs , service clients déplorable , manque d’informations ( ou informations erronées). Attention à la résiliation car ils séparent les contrats , vous pensez avoir résilié votre contrat mais la prévoyance est un deuxième contrat . À éviter absolument. J’ai mis une étoile mais en fait est 0 étoile !</t>
  </si>
  <si>
    <t>26/10/2020</t>
  </si>
  <si>
    <t>fouzia--98462</t>
  </si>
  <si>
    <t xml:space="preserve">A FUIR!!!! Absolument à fuir! Surtout, ne commettez pas la même erreur que moi! Avant d’adhérer, le courtier est présent, même omniprésent a appeler et rappeler. Mais...une fois l’adhésion faite, Ouh la la! Il n’y a plus personne! J’ai envoyé plusieurs devis mais aucune réponse! Rien! C’est super frustrant </t>
  </si>
  <si>
    <t>07/10/2020</t>
  </si>
  <si>
    <t>rokhaya-98459</t>
  </si>
  <si>
    <t xml:space="preserve">Je suis tombée sur la conseillère prénommé Lamia et j’en suis très satisfaite personne a l’écoute et m’a accompagnée dans la démarche demandée 
</t>
  </si>
  <si>
    <t>portejoie-98447</t>
  </si>
  <si>
    <t xml:space="preserve">Commentaire pour Lamia
Personne très gentille qui m'a bien expliqué et très patiente, merci!
Elle a prit le temps de regarder ma situation et de m'expliquer!
</t>
  </si>
  <si>
    <t>hawa94-97208</t>
  </si>
  <si>
    <t xml:space="preserve">J’ai posé mes question à la personne super et a bien répondu à mes question en m’expliquant bien est en étant aimable super Khalid surtout avec moi faut bien expliquer c’est important </t>
  </si>
  <si>
    <t>09/09/2020</t>
  </si>
  <si>
    <t>moimeme-96863</t>
  </si>
  <si>
    <t xml:space="preserve">suite a un un échange téléphonique avec lamia
cette personne a eté trés agréable et ma trés bien renseigné
sur ma demande
trés pro 
trés agréable et trés gentille
merci lamia pour cette échange </t>
  </si>
  <si>
    <t>31/08/2020</t>
  </si>
  <si>
    <t>01/08/2020</t>
  </si>
  <si>
    <t>gambart-96851</t>
  </si>
  <si>
    <t xml:space="preserve">après avoir eu beaucoup de mal à avoir un interlocuteur,la boite vocal c'est un horreur,  j ai eu Houria en interlocuteur et elle a répondu à toutes mes questions avec gentillesse et professionnalisme </t>
  </si>
  <si>
    <t>cot-96775</t>
  </si>
  <si>
    <t>PARFAIT DANS LA COMMUNICATION ET DANS LA PRECISION ; JE SUIS PAR CONSEQUENT SATISFAIT PAR LES REPONSES QUE J'AI RECUES DE KHALID ET PRET A RECOMMANDER SANTIANE A MON ENTOURAGE</t>
  </si>
  <si>
    <t>28/08/2020</t>
  </si>
  <si>
    <t>charles-87734</t>
  </si>
  <si>
    <t>je suis agréablement surpris des compétences de mon interlocutrice qui a pris le temps de m'expliquer plusieurs fois mon devis .je recommande Santiane a tous .</t>
  </si>
  <si>
    <t>20/08/2020</t>
  </si>
  <si>
    <t>georges1-95214</t>
  </si>
  <si>
    <t>Je suis adhérent depuis le 1er juillet 2020. Quand j'ai souscrit le contrat avec Santiane pour la complémentaire Linea 4 , Linea 4 devait s'occuper d'indiquer  ses coordonnées à la CPAM pour la télétransmission et annuler ma précédente mutuelle de mon employeur. Cela n'a pas été fait, du coup les deux mutuelles se sont chevauchée et la télétransmission de soins effectués et payés par moi n'a pas pu être faite. J'ai rectifié ce chevauchement pour ne plus avoir que Linea 4 qui apparaisse au niveau de la CPAM. Comme la télétransmission n'a pu se faire, j'ai envoyé par mail le 12 juillet le décompte de la CPAM pour être remboursé de la part complémentaire. Le 20 juillet n'ayant toujours pas de réponse, je renvoie un mail, les 2 mails sont bien parvenus à destination. Le 24 juillet, après plusieurs appels téléphoniques qui ne fonctionnent pas, j'arrive enfin à avoir une correspondante, surement d'une plateforme en Asie vu l'accent de la personne. Cette dame, fort sympathique, a beaucoup de mal à comprendre ma demande, elle me certifie que j'ai déjà été remboursé, alors qu'elle me parle du remboursement des soins par la CPAM, puis que le professionnel de santé a été directement remboursé alors que c'est moi qui ai fait l'avance des frais, visiblement elle ne sait pas lire un décompte de la CPAM. Devant tant d'incompétence, et après m'être mis en colère, elle me dit qu'elle va se renseigner et me rappellera. Elle me rappelle plus tard et me dit que j'allais être rapidement remboursé des soins. Peu après, je reçois un mail me disant que le soir même j'allais être remboursé. Les surprises ne sont pas terminées, mon médecin spécialiste est  conventionné secteur 2 et il a signé avec la CPAM l'option OPTAM. Mon contrat Linea 4 stipule que les consultations médicales pour les dépassements d'honoraire avec un médecin ayant l'option OPTAM  sont remboursés à 125% du tarif CPAM, quand je regarde mon décompte, je n'ai été remboursé qu'à 100% du tarif CPAM et non125%, pourquoi? Je regrette beaucoup d'avoir fait confiance à un beau parleur de commercial qui m' fait prendre cette complémentaire santé, pour un 1er remboursement, que des problème... Je pense que je vais très rapidement laisser cette mutuelle qui ne répond pas aux mails envoyés, fait appel a une plateforme téléphonique à l'étranger avec un personnel sympathique mais incompétent. J'attends la réponse à cet avis.</t>
  </si>
  <si>
    <t>26/07/2020</t>
  </si>
  <si>
    <t>marie-94857</t>
  </si>
  <si>
    <t>C'est la 2ème année que j'ai souscrits chez santiane et je n'ai jamais eu de remboursements sur mon compte.  J'ai l'impression qu'ils jouent avec mes nerfs. Malgré plusieurs mails, courrier avec accusé de réception et je ne compte plus les appels depuis des mois, mon problème n'est toujours pas résolu même si à chaque fois l'interlocuteur me dit qu'il vont résoudre mon problème en urgence.
Quelques mois après avoir souscrits chez eux, j'ai fais un changement de domiciliation de banque, tous les mois mes cotisations sont prélevées sur le nouveau et bon numéro de compte que je leur ai fournis.  Sauf que pour mes remboursements il le font sur mon ancien numéro de compte qui est clôturé.  J'attends mes trois paiements. je déconseille fortement cette mutuelle car aucun respect pour ma part.</t>
  </si>
  <si>
    <t>22/07/2020</t>
  </si>
  <si>
    <t>thalie-93003</t>
  </si>
  <si>
    <t>j'ai eu à faire ce matin avec AMIA qui m'a sauvé , gentille dame qui fait fabuleusement bien son travail  merci beaucoup à elle .</t>
  </si>
  <si>
    <t>02/07/2020</t>
  </si>
  <si>
    <t>noye-92936</t>
  </si>
  <si>
    <t>J'étais retissant a prendre une mutuelle par internet mais finalement  ça s'est très bien passé avec des interlocuteurs agréables qui savent répondre a nos demandes.</t>
  </si>
  <si>
    <t>mimi1949-89277</t>
  </si>
  <si>
    <t>Cette mutuelle qui n'en est pas une est à éviter absolument.............................................................</t>
  </si>
  <si>
    <t>30/04/2020</t>
  </si>
  <si>
    <t>01/04/2020</t>
  </si>
  <si>
    <t>miou-89030</t>
  </si>
  <si>
    <t xml:space="preserve">Ils ont souscrit un contrat à ma mère qui est sous curatelle sans l'aval de celle ci bravo l'abus de faiblesse en plus maintenant il tarde à tout clôturer </t>
  </si>
  <si>
    <t>21/04/2020</t>
  </si>
  <si>
    <t>hachebe-88595</t>
  </si>
  <si>
    <t xml:space="preserve">Attention à cette Mutuelle. Le fait de ne pas avoir d'interlocuteur rend le dialogue impossible en cas de problème. Service client nul, contrats souscrits dissociés rendant la résiliation complexe voire impossible. </t>
  </si>
  <si>
    <t>31/03/2020</t>
  </si>
  <si>
    <t>01/03/2020</t>
  </si>
  <si>
    <t>gege-88356</t>
  </si>
  <si>
    <t>Santiane est en fait un courtier vos remboursements il n'en a cure. la gestion c'est Mutuagestion centre de gestion santiane. depuis le 14 janvier j'attends un remboursements Réponse de mutuagestion : votre remboursement est bien pris en compte il faut patienter (depuis 14 janvier = 3 mois ).En fait mutuagestion est complétement dépassé par la gestion des mutuelles proposées par le courtier Santiane.je suis comme les autres adhérents vivement le mois octobre pour résilier cette mutuelle qui n'en est pas une. JJ Lepez</t>
  </si>
  <si>
    <t>16/03/2020</t>
  </si>
  <si>
    <t>mag80-88265</t>
  </si>
  <si>
    <t>nouvelle adhérente j'ai fait parvenir des devis et des demandes de remboursements sur leur site le 20 février pris en compte de 25février et depuis rien , services client injoingnable (en attente pendant 10 mins puis ça raccroche , j'en suis à 5 appels!!! à différentes heures et sûr des heures conseillées!). Je viens de faire une réclamation sur leur site mais si c'est comme le reste... Je sens que l'année va être longue . vivement la résiliation quand on voudra ça évitera de se sentir piégé comme ça...</t>
  </si>
  <si>
    <t>12/03/2020</t>
  </si>
  <si>
    <t>nord59-87944</t>
  </si>
  <si>
    <t>je suis adhérente depuis le 1/11/2019... suite à une opération de mon mari du 4/11/2019, je n'ai toujours pas été remboursée !! lje les appelle toutes les semaines ... au début il ne recevait pas les pièces, je passais pourtant par le site officiel (premier envoi le 24/01)... ensuite on m'a fourni une adresse mail, guère plus de succès ... enfin on me signale que les pièces sont là, mais au bout de 15 jours, je relance, et on me signale que la télétransmission ne fonctionnait pas ... du coup j'envoie les relevés de la sécurité sociale et là ... toujours rien au bout de 15 jours .. aujourd'hui, j'ai menacé de porter plainte ... bref à éviter à tout prix !!! je pense envoyer dès ce jour ma demande d'arrêt de ma souscription pour le 1/11/2020 , on ne sait jamais ... bon courage à tous ceux qui se sont fait piégés</t>
  </si>
  <si>
    <t>04/03/2020</t>
  </si>
  <si>
    <t>arizona-87656</t>
  </si>
  <si>
    <t>bonjour, j'ai eu nadege au téléphone qui m'a a su calmer ma colère en bonne professionnelle compétente sur un devis dentaire, et j'aimerais bien tomber a l'avenir toujours sur une personne comme elle qui connait et renseigne au mieux les adhérents.Je souhaitre aux autres d'etre en relation avec cette personne.....en tout cas merci pour tout.</t>
  </si>
  <si>
    <t>26/02/2020</t>
  </si>
  <si>
    <t>01/02/2020</t>
  </si>
  <si>
    <t>pat-87641</t>
  </si>
  <si>
    <t>impossible d'avoir ma mutelle au telephone je suis dans le flou complet. j ai un contrat avec une certainne somme a l'arrivé sur mon compte on me debite plus de 10euros dernierement je viens d'apprendre que je n'existe pas dans leur tablette mais on me retire une somme pars mois assez consequante je suis chez eux depuis deux mois et sur mon dossier il ni a pas de remboursement donc je ne suis nul part chez eux mais on me debite et depuis deux mois je tombe sur un repondeur qui me dit qu il y a trop de monde veuillez rappeler ulterieurement petage de plomb assure</t>
  </si>
  <si>
    <t>losc57-87586</t>
  </si>
  <si>
    <t>Félicitation à Nadège pour sa disponibilité, son sens du relationnel et surtout sa diligence à régler le problème qui nous était posé, en l'occurrence la raison de ma résiliation suite à mon changement de situation (Départ à la retraite), car les autres services de Néoliane ne semblent pas du tout dans le même état d'esprit et c'est bien dommage !</t>
  </si>
  <si>
    <t>25/02/2020</t>
  </si>
  <si>
    <t>much-87565</t>
  </si>
  <si>
    <t>Système complètement opaque, pas de détail des remboursements, il faut toujours relancer</t>
  </si>
  <si>
    <t>24/02/2020</t>
  </si>
  <si>
    <t>bike153-87464</t>
  </si>
  <si>
    <t>aujourdhui j'ai eu gwendal au telephone pour regler un probleme d'adresse mail cela c'est tres bien passé et surtout rapidement merci c'est super</t>
  </si>
  <si>
    <t>21/02/2020</t>
  </si>
  <si>
    <t>vali-87361</t>
  </si>
  <si>
    <t>Difficulté à avoir quelqu'un au téléphone. Délai très long entre une question par mail et la réponse env. 3 semaines. On se sent très seule!!!</t>
  </si>
  <si>
    <t>19/02/2020</t>
  </si>
  <si>
    <t>phil-87234</t>
  </si>
  <si>
    <t>mutuel a fuir aprés 5 mail envoyer et 3 coup de téléphone pour rattachement de téletranition a la sécu toujours rien de fait et il ne cherche pas a comprendre en on rien a fait de leur clients</t>
  </si>
  <si>
    <t>17/02/2020</t>
  </si>
  <si>
    <t>relou-35159</t>
  </si>
  <si>
    <t>Ce gestionnaire fera tout pour continuer à vous prélever sur un contrat qui ne vous couvre plus (départ à l'étranger)</t>
  </si>
  <si>
    <t>13/02/2020</t>
  </si>
  <si>
    <t>mouloud-86605</t>
  </si>
  <si>
    <t>1h d'attente pour avoir qlqn au tel et c'est jamais clair toujours la même chanson . ça ' mois et j'ai toujours pas reçu ma carte .  un devis qui doit être  rembourser a 100% mais en vrais c'est  pas le cas ....</t>
  </si>
  <si>
    <t>sissi-86540</t>
  </si>
  <si>
    <t xml:space="preserve">Gwendal le conseiller était très sympa  connait son travail je suis très satisfaite des renseignements fournis </t>
  </si>
  <si>
    <t>30/01/2020</t>
  </si>
  <si>
    <t>fred-86348</t>
  </si>
  <si>
    <t xml:space="preserve">Bonjour, 
Je suis très déçu.  Apres seulement 3 mois , la cotisation a augmentée sans avertissement.  C est une honte. Apres plusieurs appels et demande d explication,  aucune personne ne s accorde a traiter ce litige. </t>
  </si>
  <si>
    <t>25/01/2020</t>
  </si>
  <si>
    <t>elise98-85881</t>
  </si>
  <si>
    <t>j ai eu monsieur leonard angstrom super conseiller je vous le recommande vivement passionné sait comment conseillé un vrai professionnel , connait son travail...bravo !</t>
  </si>
  <si>
    <t>14/01/2020</t>
  </si>
  <si>
    <t>majoan-82092</t>
  </si>
  <si>
    <t xml:space="preserve">Bravo à Gwendal pour sa qualité d'écoute de conseil. J'ai bien été renseignée. Il a pris de temps de comprendre ce dont j'avais besoin pour me proposer le meilleur service. En toute transparence. C'est la raison pour laquelle j'ai choisi votre service. </t>
  </si>
  <si>
    <t>19/12/2019</t>
  </si>
  <si>
    <t>marcel-82091</t>
  </si>
  <si>
    <t>conseillers de clientèle courtois et très aimables</t>
  </si>
  <si>
    <t>mojack-81771</t>
  </si>
  <si>
    <t>très bon accueil téléphonique Yasamina a été d' une grande écoute sur mes besoins</t>
  </si>
  <si>
    <t>10/12/2019</t>
  </si>
  <si>
    <t>phil-81412</t>
  </si>
  <si>
    <t>J'ai eu Gwendal au téléphone pour diverses questions sur les prises en charge. Personne avenante, qui a su répondre à mes questions et il m'a même rappelé après s'être renseigné.</t>
  </si>
  <si>
    <t>27/11/2019</t>
  </si>
  <si>
    <t>01/11/2019</t>
  </si>
  <si>
    <t>sougal-81162</t>
  </si>
  <si>
    <t>J'ai eu Caroline au téléphone qui a pris le temps de m'expliquer tous les remboursements et je voyais plus clairement. Merci! c'était sympathique</t>
  </si>
  <si>
    <t>20/11/2019</t>
  </si>
  <si>
    <t>cat8-81123</t>
  </si>
  <si>
    <t>RALI a été d'une grande efficacité pour répondre à toutes mes questions.</t>
  </si>
  <si>
    <t>19/11/2019</t>
  </si>
  <si>
    <t>pierrot91-81046</t>
  </si>
  <si>
    <t>Merci LAMIA. Des réponses claires et précises malgré des interrogations parfois compliquées. A l'écoute et envoi des documents dans la minute.</t>
  </si>
  <si>
    <t>15/11/2019</t>
  </si>
  <si>
    <t>fanoche-80519</t>
  </si>
  <si>
    <t>J'ai été particulierement bien renseigné par Caroline concernant mon futur contrat a Santiane. Cette personne connait très bien toutes les données des contrats et très bonne technicienne .</t>
  </si>
  <si>
    <t>29/10/2019</t>
  </si>
  <si>
    <t>jojo-80447</t>
  </si>
  <si>
    <t>interlocuteur :  Gwendal. satisfaite de cette personne, prend son travail au sérieux, réceptif à toutes mes questions. cordialement</t>
  </si>
  <si>
    <t>27/10/2019</t>
  </si>
  <si>
    <t>lmtbussy-80417</t>
  </si>
  <si>
    <t>Etant nouveau client, Salima a répondu à mes questions de façon très claire avec professionnalisme et très aimablement.</t>
  </si>
  <si>
    <t>25/10/2019</t>
  </si>
  <si>
    <t>meriemboukhis-80407</t>
  </si>
  <si>
    <t>Je suis très satisfaite de mon échange avec Mme Caroline elle a l'écoute et elle m'a bien expliqué mon problème elle est professionnelle dans sans travaille elle mérite d'être plus que une conseillère je te remercie Caroline et jesper dès que j'appelle la prochaine fois pour un souci c'est vous qui me répondu bon continuation et merci</t>
  </si>
  <si>
    <t>royedic-80385</t>
  </si>
  <si>
    <t>J'ai été reçu par Caroline qui a traité ma demande de carte de mutuelle de façon très efficace tout en étant courtoise et agréable.</t>
  </si>
  <si>
    <t>24/10/2019</t>
  </si>
  <si>
    <t>loic-80376</t>
  </si>
  <si>
    <t xml:space="preserve">L'organisation des services clients sont un peu confus, impossible d'avoir un devis sans envoi de documents. Mais le service client est très compétent et Caroline, qui m'a renseigné était très efficace et gentille. </t>
  </si>
  <si>
    <t>kalivia-80355</t>
  </si>
  <si>
    <t xml:space="preserve">j'ai bien été conseiller par Khalid par contre sur mon adhésion que j'ai signer le 12/05/19 la cotisation 174.47 n'est pas la même qu'il ma dit (185.47) </t>
  </si>
  <si>
    <t>23/10/2019</t>
  </si>
  <si>
    <t>marcou-80326</t>
  </si>
  <si>
    <t>Sabrina m'a très bien renseigné sur le sujet abordé.</t>
  </si>
  <si>
    <t>22/10/2019</t>
  </si>
  <si>
    <t>lulu-80221</t>
  </si>
  <si>
    <t xml:space="preserve">Pour ALISON
</t>
  </si>
  <si>
    <t>19/10/2019</t>
  </si>
  <si>
    <t>emilie-80182</t>
  </si>
  <si>
    <t>Le conseiller Rali a été très efficace pour résoudre mon problème et y apporter une solution rapidement.
Ravi du service clientèle, merci pour votre accueil et votre professionnalisme.</t>
  </si>
  <si>
    <t>18/10/2019</t>
  </si>
  <si>
    <t>gillou-80147</t>
  </si>
  <si>
    <t>merci a  Khalid qui ma très bien revu et a pu résoudre mon problème de devis auprès de mon opticien.</t>
  </si>
  <si>
    <t>falah-80119</t>
  </si>
  <si>
    <t xml:space="preserve">
La conseillère yasamine était tres aimable et efficace par rapport à mon problème de devis . Très compétante ,agréable et réactive ,je suis très contente de mon échange avec elle et elle est très souriante au téléphone :)</t>
  </si>
  <si>
    <t>16/10/2019</t>
  </si>
  <si>
    <t>bubo-80103</t>
  </si>
  <si>
    <t>Accueil très professionnel et agréable de Nadège ce jour qui a répondu à toutes mes questions en un minimum de temps. Très bien.</t>
  </si>
  <si>
    <t>tibo-80094</t>
  </si>
  <si>
    <t>Excellent accueil de Yasamine, qui a répondu très professionnellement à mes questions</t>
  </si>
  <si>
    <t>papyves-80067</t>
  </si>
  <si>
    <t>nouvel adhérent, je ne peux pas exactement qualifier le service de cette mutuelle.</t>
  </si>
  <si>
    <t>15/10/2019</t>
  </si>
  <si>
    <t>papimouzo-80030</t>
  </si>
  <si>
    <t>TRès bon contact téléphonique avec YOUNESS. Conseiller très patient, n'hesitant pas à prendre letemps pourdonner les informations au client.</t>
  </si>
  <si>
    <t>bertranovich-79945</t>
  </si>
  <si>
    <t>Khalid à bien répondu à ma question, calme, souriant et sympathique au téléphone. Il a tenté de résoudre mon problème qui je l'espere ne sera plus que du passé</t>
  </si>
  <si>
    <t>11/10/2019</t>
  </si>
  <si>
    <t>marie-79944</t>
  </si>
  <si>
    <t>le temps pour avoir une conseillere un peu long mais sa va
tres bien renseigner et agreable a pris sont temps pour me dirigée sur le site internet</t>
  </si>
  <si>
    <t>chantal-79939</t>
  </si>
  <si>
    <t>ma mutuelle sera effective au 01/01/2020</t>
  </si>
  <si>
    <t>galaad-79931</t>
  </si>
  <si>
    <t xml:space="preserve">Merci beaucoup à NADEGE pour sa gentillesse et sa compétence.Elle m'a parfaitement rassuré pour la bonne marche de mon dossier. Il faudrait que dans toutes les administrations il y ai des personnes aimables comme NADEGE , et le monde se porterait mieux. CHARLY MAMO </t>
  </si>
  <si>
    <t>tahiti-79899</t>
  </si>
  <si>
    <t>Bonjour, Très bon contact avec Gwendal qui m'a communiqué des informations précises qui permettent d'être rassuré</t>
  </si>
  <si>
    <t>10/10/2019</t>
  </si>
  <si>
    <t>philippe01-79881</t>
  </si>
  <si>
    <t>Très bon entretien téléphonique avec youness. Il a su répondre à mes question.
L'assurance propose de tarif intéressant pour une couverture complète selon vos envies.</t>
  </si>
  <si>
    <t>josec3332-79805</t>
  </si>
  <si>
    <t>Je suis une nouvelle adhérente de santiane (linea) j'ai eu un échange très satisfaisant avec Nadège au téléphone</t>
  </si>
  <si>
    <t>08/10/2019</t>
  </si>
  <si>
    <t>iamarb-79793</t>
  </si>
  <si>
    <t>j'ai souscrit récemment et je suis pas déçu du tous.   
je ne connaissais pas du tous cette mutuel, les prix sont raisonnable                                  
services clients sympathique, pour ma part caroline, amandine ...</t>
  </si>
  <si>
    <t>07/10/2019</t>
  </si>
  <si>
    <t>lhb-79730</t>
  </si>
  <si>
    <t>Je souhaite remercier Caroline pour sa patience et ses conseils qui m'ont permis de gagner du temps et être rassurer. Merci encore</t>
  </si>
  <si>
    <t>04/10/2019</t>
  </si>
  <si>
    <t>vincent-79698</t>
  </si>
  <si>
    <t xml:space="preserve">Bonjour,
Contact rapidement établi ainsi que la prise en charge de la demande. Explications claires et précises avec franchise du conseiller GWENDAL.
Tout a été résolu en deux tours trois mouvements.
</t>
  </si>
  <si>
    <t>03/10/2019</t>
  </si>
  <si>
    <t>bobos601958-79686</t>
  </si>
  <si>
    <t>Bravo à MR EMERY David- merci à lui pour ses conseils nets et précis</t>
  </si>
  <si>
    <t>02/10/2019</t>
  </si>
  <si>
    <t>jeanmichelbazin-79683</t>
  </si>
  <si>
    <t xml:space="preserve">Le conseil en début de cycle de vente est plutôt compétent, mais à part la vente qui est un process rodé pour eux, la suite laisse clairement à désirer. Le service client est plutôt lent, et leur gestion est très contractuelle et complexe quand il s'agit de les quitter. Bien au contraire de l'arrivée chez eux.  </t>
  </si>
  <si>
    <t>lacroix-79674</t>
  </si>
  <si>
    <t>Tres bonne relation avec Gwendal par contre d importants soucis de communication Impossible de joindre le commercial qui vous a contacte et qui apres ne s occupe plus du suivi</t>
  </si>
  <si>
    <t>willtinou84-79600</t>
  </si>
  <si>
    <t>Accueil très rapide ,parfait et convivial;très grande clarté dans les explictions.A suivre pour les prestations futures...</t>
  </si>
  <si>
    <t>30/09/2019</t>
  </si>
  <si>
    <t>01/09/2019</t>
  </si>
  <si>
    <t>aj44-79548</t>
  </si>
  <si>
    <t>J'ai refusé de souscrire immédiatement par téléphone pour pouvoir comparer avec une autre mutuelle santé qui s'est avéré être plus intéressante pour moi et je me suis faite ensuite traitée de "mauvaise" par le commercial mécontent de ma non souscription. Il m'a ensuite raccroché au nez, ce qui donne un aperçu de ce que peut être la qualité du service client. Fuyez...</t>
  </si>
  <si>
    <t>27/09/2019</t>
  </si>
  <si>
    <t>chris94110-79539</t>
  </si>
  <si>
    <t xml:space="preserve">Nouveau client chez vous, très satisfait du service client au téléphone j'ai eu comme conseillère Caroline super sympathique, aimable, à l'écoute du problème rien a redire. Mon problème étant régler de la même façon a recommander comme mutuel. </t>
  </si>
  <si>
    <t>maxiton-79528</t>
  </si>
  <si>
    <t>Excellent contact, de vrais professionnels à votre écoute - ne cherche pas à vendre n'importe quoi et vous conseillent au mieux..!</t>
  </si>
  <si>
    <t>gilles-79487</t>
  </si>
  <si>
    <t xml:space="preserve">votre service client m'a contacté aujourd'hui par l'intermédiaire de  gwendal personne sympathique  claire dans ses propos et patiente.le service clients pour l'instant  est très bien le reste je ne peux pas me prononcer car je ne serai chez vous que dans le mois de décembre </t>
  </si>
  <si>
    <t>26/09/2019</t>
  </si>
  <si>
    <t>chelfi-79467</t>
  </si>
  <si>
    <t>J'ai contacté votre service client aujourd'hui, j'ai eu Mme Caroline au téléphone, c'est une personne très motivée qui prend les choses au sérieux, personne très sympathique. Elle m'a bien accueilli et ma bien répondu, une question une solution, bravo.</t>
  </si>
  <si>
    <t>25/09/2019</t>
  </si>
  <si>
    <t>cloclo85-79390</t>
  </si>
  <si>
    <t>très agréablement renseigné par une assistante aimable et compétente</t>
  </si>
  <si>
    <t>23/09/2019</t>
  </si>
  <si>
    <t>coco-79239</t>
  </si>
  <si>
    <t>Il me fait vraiment plaisirs de vous envoyer mes plus sincères remerciements,  Caroline, par votre générosité de compréhension et d'attention  envers moi. Il est assez rare d'avoir une interlocutrice aussi gentille dans ses paroles et de compétences irréprochables malgré mon insistance pour avoir une réponse à ma demande. Merci encore</t>
  </si>
  <si>
    <t>16/09/2019</t>
  </si>
  <si>
    <t>ness-79223</t>
  </si>
  <si>
    <t>très satisfait pour le moment du contact avec gwendal,j'espère être satisfait</t>
  </si>
  <si>
    <t>elsou-79178</t>
  </si>
  <si>
    <t xml:space="preserve">Services clients réactif merci a CAROLINE pour  sa rapidité  et  sa réactivité . Merci </t>
  </si>
  <si>
    <t>13/09/2019</t>
  </si>
  <si>
    <t>jade-79089</t>
  </si>
  <si>
    <t>très bon conseils, explications claire, patience d'écoute parfaite et bon produit, les tarifs sont abordable, rapidité d'exécution</t>
  </si>
  <si>
    <t>10/09/2019</t>
  </si>
  <si>
    <t>crichou-78919</t>
  </si>
  <si>
    <t>Bonjour je tiens a laisser un message pour santiane pour son efficacité et sa diligence dans les remboursements. Particulièrement je remercie Sébastien de cette équipe chaleureuse à l ecoute  pour sa clarté dans ses explications sa patience pour vous guider tout le long de la prise en charge bravo et bonne continuation</t>
  </si>
  <si>
    <t>03/09/2019</t>
  </si>
  <si>
    <t>sylvia2511-78398</t>
  </si>
  <si>
    <t xml:space="preserve">contrat souscrit au 01/01/2019 et à ce jour la teletransmission n'est toujours pas au point.
depuis janvier 27 coups de fil, 14 courrier,18 mails et dernièrement courrier en recommandé pour etre sur mais toujours rien !!!
lettre de résiliation envoyer pour le 31/12/2019 croisons les doigts pour ne pas etre hospitaliser d'ici la 
</t>
  </si>
  <si>
    <t>13/08/2019</t>
  </si>
  <si>
    <t>shaba-77995</t>
  </si>
  <si>
    <t>Merci beaucoup pour l'avancement du dossier ! J'espère que le problème se résoudra vite. Merci aussi d'avoir fait des démarches que d'autres collègues n'avaient pas faites.</t>
  </si>
  <si>
    <t>29/07/2019</t>
  </si>
  <si>
    <t>01/07/2019</t>
  </si>
  <si>
    <t>laurine13100-77940</t>
  </si>
  <si>
    <t>Merci à Erika pour la clarté de ses explications et son amabilité au top ! Elle a géré ma demande très rapidement.</t>
  </si>
  <si>
    <t>26/07/2019</t>
  </si>
  <si>
    <t>marjo03-77921</t>
  </si>
  <si>
    <t xml:space="preserve">A FUIR AU PLUS VITE
janvier 2019 je contract un PACK linéa vendu par santiane apres 1h30 de communication avec la vendeuse elle réussi à m inclure une prevoyance à 40e par mois sans m avertir du tarif en me precisant juste que c est un pack je me retrouve avec des mensualités de 175e la personne me fait signer le contrat par internet pendant qu elle continue à me parler . En juillet nous déménageons de region et là augmentation du tarif qui passe à 197e comme le rpevoit la loi je demande la résiliation qui m'est refusée pour motif de non augmentation de tarif suite au changement de situation j 'ai une lettre et 2 écheanciers qui prouvent le contraire .
bref je pense ne pas en rester là et porter plainthe contre leur manière abusive </t>
  </si>
  <si>
    <t>25/07/2019</t>
  </si>
  <si>
    <t>phenix60-77826</t>
  </si>
  <si>
    <t>Un grand merci à Erika. Elle a vraiment été charmante, professionnelle et proactive. C'est ce genre de prestation que j'attends d'une conseillère. J'espère retomber sur elle si je dois rappeler si j'ai d'autres questions.</t>
  </si>
  <si>
    <t>22/07/2019</t>
  </si>
  <si>
    <t>l-prechoux-77701</t>
  </si>
  <si>
    <t>Merci à Erika qui a su répondre rapidement à mes différentes demandes concernant un dossier complexe. Je suis très satisfaite de sa disponibilité et de son écoute, ainsi que de son implication pour trouver une issue favorable à mes problématiques.</t>
  </si>
  <si>
    <t>17/07/2019</t>
  </si>
  <si>
    <t>a59-77698</t>
  </si>
  <si>
    <t xml:space="preserve">Merci a Caroline pour sa gentillesse ,sa patience ,son écoute et pour l'attention particulière porté a mon égard Beaucoup devrait prendre exemple sur elle !!! mais hélas l'accueil et la gentillesse ne sont pas innés !! </t>
  </si>
  <si>
    <t>debodebo-77630</t>
  </si>
  <si>
    <t>Conseillère à l'écoute,  répond bien à chaque demandes .. aucuns soucis jusqu'à aujourd'hui Erika est d'une extrême gentillesse ce qui change de certains conseiller!!  je recommande sans hésiter !</t>
  </si>
  <si>
    <t>15/07/2019</t>
  </si>
  <si>
    <t>rege-77569</t>
  </si>
  <si>
    <t>Contact ce jour avec Caroline. Personne à l'écoute qui prend le temps de guider pour effectuer la démarche en ligne sur le site. Compréhensive devant les interrogations.</t>
  </si>
  <si>
    <t>12/07/2019</t>
  </si>
  <si>
    <t>emilie-77471</t>
  </si>
  <si>
    <t>Conseiller réactif et à l'écoute. Tous les détails du contrat ont été détaillés avec soin.</t>
  </si>
  <si>
    <t>09/07/2019</t>
  </si>
  <si>
    <t>amarie01-77421</t>
  </si>
  <si>
    <t xml:space="preserve">Le conseiller a été très clair dans ses explications </t>
  </si>
  <si>
    <t>08/07/2019</t>
  </si>
  <si>
    <t>charles-77351</t>
  </si>
  <si>
    <t>Un très bon choix dans un marché saturé !!!
Mais je déteste ce nouveau système de notation dans tous les domaines !!!</t>
  </si>
  <si>
    <t>04/07/2019</t>
  </si>
  <si>
    <t>helena-77319</t>
  </si>
  <si>
    <t>Très professionnelle, je recommande vivement Erika qui a su être patiente et surtout qui a su m'aider à répondre à toutes mes questions. Cela fait toujours grand plaisir de se sentir écouté.</t>
  </si>
  <si>
    <t>03/07/2019</t>
  </si>
  <si>
    <t>bob4894-77249</t>
  </si>
  <si>
    <t>Santiane est un courtier d'assurance offre un large choix.</t>
  </si>
  <si>
    <t>renou17-77159</t>
  </si>
  <si>
    <t>Trés bon écoute du retour sur expérience des clients.
J'ai été  suivi puis bien dépanné en me proposant une autre mutuelle car la première n'avait pas rempli ses engagements contractuels.</t>
  </si>
  <si>
    <t>27/06/2019</t>
  </si>
  <si>
    <t>phil59-77048</t>
  </si>
  <si>
    <t xml:space="preserve">j ai voulu regarder d autre mutuelle afin de comparer les services les prix les garanties </t>
  </si>
  <si>
    <t>24/06/2019</t>
  </si>
  <si>
    <t>bob-76925</t>
  </si>
  <si>
    <t>bon accueil efficace bon produit  de qualite tarifs interessants bonne orentation plaisant attentifs rassurant</t>
  </si>
  <si>
    <t>19/06/2019</t>
  </si>
  <si>
    <t>genevieve85-76843</t>
  </si>
  <si>
    <t>grosse différence de prix avec une meilleure couverture,c'est plus attrayant.De plus,simple à réaliser.</t>
  </si>
  <si>
    <t>17/06/2019</t>
  </si>
  <si>
    <t>sylvie-76791</t>
  </si>
  <si>
    <t>très  bon accueil personnel très consciencieux et professionnel sachant très bien gérer nos attentes pour trouver la meilleur solution pour faire des économies j'appellerais surement pour d'autre comparatif</t>
  </si>
  <si>
    <t>14/06/2019</t>
  </si>
  <si>
    <t>pascal-76765</t>
  </si>
  <si>
    <t xml:space="preserve">Parfait a tous niveaux, belle réactivité, </t>
  </si>
  <si>
    <t>13/06/2019</t>
  </si>
  <si>
    <t>vero10-76662</t>
  </si>
  <si>
    <t>mutuellle très réactive facile d accès et Yassine vous repond et aide très facilement dans vos demarches arrangeant pour les prélèvements employeés très a l ecoute mutuelle au top</t>
  </si>
  <si>
    <t>11/06/2019</t>
  </si>
  <si>
    <t>skokaian-76628</t>
  </si>
  <si>
    <t xml:space="preserve">Très bon conseils  enfin un choix interlocuteur qui connaît son métier,a recommander !"......."........................................"........"......................... </t>
  </si>
  <si>
    <t>10/06/2019</t>
  </si>
  <si>
    <t>jo-76498</t>
  </si>
  <si>
    <t xml:space="preserve">Très satisfait de l’entretien avec Lamia par son accueil, son écoute à mes demandes ainsi que sa réactivité ont clarifié mes attentes avec un bon professionnalisme, elle n’oublie pas de reformuler la demande pour une meilleure compréhension entre les deux parties et n’hésite pas à proposer de nouveau contrat dans le cadre de fidélisation </t>
  </si>
  <si>
    <t>05/06/2019</t>
  </si>
  <si>
    <t>lylysu-76497</t>
  </si>
  <si>
    <t xml:space="preserve">Une prise de rendez-vous et une assistance organisée et bien faite. </t>
  </si>
  <si>
    <t>fab-76464</t>
  </si>
  <si>
    <t>Merci à Lamia pour son accueil, sa disponibilité et ses renseignements, très clairs. Elle a su comprendre mes demandes et y répondre. Elle a eu une attitude très professionnelle, tout en étant très sympathique.</t>
  </si>
  <si>
    <t>04/06/2019</t>
  </si>
  <si>
    <t>kazi-76219</t>
  </si>
  <si>
    <t>excellente aceuil de Lamia .écoute et explique parfait.on est très satisfait de ses services.sa manière de parler sympa souriante.prete d écouter</t>
  </si>
  <si>
    <t>24/05/2019</t>
  </si>
  <si>
    <t>helleu-76186</t>
  </si>
  <si>
    <t>Commerciaux très convainquant pour vous faire souscrire très rapidement en indiquant que les offres sont valables uniquement le jour J.... Ensuite, le jour où vous demandez votre résiliation et vous mettez plus de 2 ans pour que votre résiliation soit effective (après des dixaines de relance de ma part) et plus de 2,5 ans pour recevoir le remboursement des cotisations prélevées à tord. Une honte. J'ai du faire opposition des prélèvements de cotisation automatique sur mon compte. A DECONSEILLER</t>
  </si>
  <si>
    <t>23/05/2019</t>
  </si>
  <si>
    <t>patricia-76160</t>
  </si>
  <si>
    <t>Très bon accueil de Nadège qui a été très efficace. Pourtant ma demande était compliquée mais elle a réussi à résoudre mon problème. Si ça pouvait être partout comme ça ! Merci beaucoup.</t>
  </si>
  <si>
    <t>22/05/2019</t>
  </si>
  <si>
    <t>volvov70-76152</t>
  </si>
  <si>
    <t>très bon accueil, et demande très bien renseigner par Nelly</t>
  </si>
  <si>
    <t>sirprince74-76126</t>
  </si>
  <si>
    <t>Je tenais à remercier Erika pour sa gentillesse, son écoute et son professionnalisme.
Un grand merci pour la régularisation de mon dossier.</t>
  </si>
  <si>
    <t>21/05/2019</t>
  </si>
  <si>
    <t>popom-76086</t>
  </si>
  <si>
    <t xml:space="preserve">rien du tout prix attractive  beaucoup tarifairetres aimable allocution tres entente politesse et sachant bien explique </t>
  </si>
  <si>
    <t>20/05/2019</t>
  </si>
  <si>
    <t>kikicallu-76075</t>
  </si>
  <si>
    <t>personne agréable avec un langage bien français, ce qui est rarement le cas pour les démarches téléphoniques</t>
  </si>
  <si>
    <t>laeti-75931</t>
  </si>
  <si>
    <t xml:space="preserve">Bonne relation téléphonique claire à l'entente du client et ces besoin </t>
  </si>
  <si>
    <t>15/05/2019</t>
  </si>
  <si>
    <t>ghys-75868</t>
  </si>
  <si>
    <t>Je suis satisfaite des prestations de Neoliane. Simple, rapide, les messages, les documents sont envoyés  par mails.
Très bon contact téléphonique, service client.
Merci Sarah pour votre écoute. 
Belle continuation.</t>
  </si>
  <si>
    <t>13/05/2019</t>
  </si>
  <si>
    <t>ajl-75855</t>
  </si>
  <si>
    <t xml:space="preserve">fil ce jour avec Nadège </t>
  </si>
  <si>
    <t>mimiam-75684</t>
  </si>
  <si>
    <t xml:space="preserve">Très bon accueil , rappel sans faute pour le rdv téléphonique </t>
  </si>
  <si>
    <t>07/05/2019</t>
  </si>
  <si>
    <t>france-75558</t>
  </si>
  <si>
    <t xml:space="preserve">J'ai eu une écoute attentive et une réponse efficace à ma demande de ce jour. Si tous les échanges ressemblent à celui ci je pense que cette mutuelle me comblera.
Merci beaucoup Erika pour votre gentillesse.
 </t>
  </si>
  <si>
    <t>02/05/2019</t>
  </si>
  <si>
    <t>karineb-75307</t>
  </si>
  <si>
    <t>pour mon premier contact téléphonique, j'ai été agréablement surprise de la rapidité des renseignements que j'avais demandé ainsi que la réactivité de Erika qui m' immédiatement envoyé par mail le document demandé</t>
  </si>
  <si>
    <t>23/04/2019</t>
  </si>
  <si>
    <t>marine-75295</t>
  </si>
  <si>
    <t xml:space="preserve">Santiane m'a permi de trouver une mutuelle rapidement et efficacement sans avoir à chercher auprès de plusieurs organismes moi-même. </t>
  </si>
  <si>
    <t>black-75255</t>
  </si>
  <si>
    <t xml:space="preserve">La damoiselle que s occupe de mon dossier Iris elle été très cordial et elle a fait de son mieux pour le trattament de mon dossier dans le plus bref délai très satisfait </t>
  </si>
  <si>
    <t>mutuelle-75204</t>
  </si>
  <si>
    <t>service client
résiliation
informations, conseils
merci pour tout
bien informée etc
service client
résiliation
informations, conseils
service client
résiliation
informations, conseils</t>
  </si>
  <si>
    <t>18/04/2019</t>
  </si>
  <si>
    <t>farv-75147</t>
  </si>
  <si>
    <t xml:space="preserve">Relation client au top. Agent tres respectueux, souriant et jovial, qui vous donne envie de signer le contrat. </t>
  </si>
  <si>
    <t>prisc-75102</t>
  </si>
  <si>
    <t>Avis non représentatif car c'est la première fois que j'ai eu besoin de faire appel au service client. Mais très bon contact avec Nelly, la conseillère. Conseillère à l'écoute</t>
  </si>
  <si>
    <t>15/04/2019</t>
  </si>
  <si>
    <t>fredoom-75096</t>
  </si>
  <si>
    <t xml:space="preserve">explique bien et compréhensif donne de bonne explication et très arrangent très bonne mutuelle </t>
  </si>
  <si>
    <t>jf-75015</t>
  </si>
  <si>
    <t>Très bien reçu et renseigné téléphoniquement par Alison, pour un souci de dates de résiliation de ma mutuelle actuel, j'espère que mon affaire sera suivie. Actuellement je ne peux pas me prononcer sur Santiane, je n'y suis pas depuis assez de temps.</t>
  </si>
  <si>
    <t>12/04/2019</t>
  </si>
  <si>
    <t>pbremard-74982</t>
  </si>
  <si>
    <t xml:space="preserve">Très satisfait du service client et de la conseillère (Nelly) qui a traité mes demandes. </t>
  </si>
  <si>
    <t>11/04/2019</t>
  </si>
  <si>
    <t>patricia-74945</t>
  </si>
  <si>
    <t xml:space="preserve">les délégués de Santiane sont très acceuillants téléphoniquement et à l'écoute des problèmes que le client peut rencontrer </t>
  </si>
  <si>
    <t>10/04/2019</t>
  </si>
  <si>
    <t>padpaty-72136</t>
  </si>
  <si>
    <t>après nous avoir obligé, sans nous prévenir, de payer pour un capital décès totalement inutile, ils ont accepté la résiliation à la date anniversaire ( 1 an de paiement inutile ) mais ils ont continué à prélever la cotisation
malgré 5 emails et 3 appels téléphoniques promettant le remboursement du trop prélevé, le remboursement n'a toujours pas été fait
quant à la prestation assurance médicale, le contrat qu'ils m'ont envoyé ne correspond pas à celui de la compagnie d'assurance qui elle garantit les frais d'hospitalisation à concurrence de 200 % du tarif SS et non 300 % comme le promet Santiane</t>
  </si>
  <si>
    <t>14/03/2019</t>
  </si>
  <si>
    <t>01/03/2019</t>
  </si>
  <si>
    <t>sofianebou-72040</t>
  </si>
  <si>
    <t xml:space="preserve">A fuir et le plus rapidement possible...client depuis plus qu'un an et cela fait 2 mois que je vis un calvaire pour résilier le contrat malgré que j'ai fourni les documents nécessaires du contrat mutuelle obligatoire de ma femme. </t>
  </si>
  <si>
    <t>11/03/2019</t>
  </si>
  <si>
    <t>chris03400-71923</t>
  </si>
  <si>
    <t>A fuir..service commercial mécontent de ma non suite m a pourri au tel. Inadmissible.de plus il m avait glissé une assurance décès dans le devis. En loucedé..lamentable..</t>
  </si>
  <si>
    <t>06/03/2019</t>
  </si>
  <si>
    <t>nicole26-71793</t>
  </si>
  <si>
    <t>A fuir! ils ne sont pas sérieux</t>
  </si>
  <si>
    <t>gribouille69-71259</t>
  </si>
  <si>
    <t>bonjour j"ai changé de contrat de mutuelle pour une augmentation importante .j"ai eu un conseiller qui m"a vanté la Mutuelle Linéa qui est avec Santiane  je voulais un contrat qui soit important au niveau dentaire et optique ! j"ai fais confiance et là surprise j'ai adressé un devis pour une prothèse dentaire ;et quand  j"ai téléphoné pour savoir des renseignements sur ma prise en charge et là surprise sur 1850eurs ils me donne 300eurs j ai demandé des explications ont m'a répondu que c"était mon contrat la raison dans ma mensualité de 210euros j"ai une prévoyance de 67euros qui viens en déduction :!je suis scandalisé en aucun cas le conseiller m"a informé de ça la chose qui m"a dit que mon contrat était important pour les remboursements que je voulais .J"ai été trompé ! j"ai signé le 20/12/2018 je voudrais savoir si il y a un texte loi qui peut permettre de résilier ce contrat Je conseille surtout pas cette mutuelle ils sont champions pour embrouiller les gens et ils veulent faire a tout prix du chiffre il y a que ça qui compte pour eux merci de me répondre cordialement</t>
  </si>
  <si>
    <t>13/02/2019</t>
  </si>
  <si>
    <t>pat51-70730</t>
  </si>
  <si>
    <t>Il faut fuir cet assureur,impossible de résilier mon ancienne mutuelle(hors délai)aucun remboursement possible.Des menteurs a éviter absolument.Je me suis retrouvé avec deux cotisations en janvier.</t>
  </si>
  <si>
    <t>29/01/2019</t>
  </si>
  <si>
    <t>win-70533</t>
  </si>
  <si>
    <t xml:space="preserve">Bonjour,
Je me suis fait avoir par cette mutuelle,  j'ai eu 
l'idée de m'inscrire en mi Août  et en début octobre ma situation a changé. Je voulais resilier le contrat impossible de transmettre un document sur leur page. J'ai appellé on m'a dit d'envoyer un document et ce contrat prendra fin automatiquement. Puisque J avais même pas encore deux mois chez eux. C'était impossible pour moi d'envoyer le document ni par mail ni à l'espace client. Et ils refusent de résilier mon contrat. Après toute tentative J'ai leur écris une lettre en recommandé accompagner dun document, ils m'ont dit faute de justificatif mon contrat reste en vigueur. Sans oublié qu'ils m'ont prélevés deux mois dun  coup alors  que ma demarche de résiliation etait en cours.
Je vous conseille cher internautes ne répondez pas à leurs attentes ne vous inscrivez pas à leur mutuelle . 
Normalement  cela ne devrait pas  se passer ainsi. Mais ils abusent ces gens là.  
</t>
  </si>
  <si>
    <t>24/01/2019</t>
  </si>
  <si>
    <t>martine-68904</t>
  </si>
  <si>
    <t>Devis sur Santinae.fr</t>
  </si>
  <si>
    <t>babi-68585</t>
  </si>
  <si>
    <t xml:space="preserve">Il se targuent d'avoir de l'expérience et ils n'ont pas été foutus de bien résilier mon précédent contrat de mutuelle dans la bonne forme dans les délais avec la MGEN qui est pourtant une mutuelle très connue en France, résultat je me retrouve avec deux contrats de mutuelle maintenant. Je déconseille fortement ! </t>
  </si>
  <si>
    <t>13/11/2018</t>
  </si>
  <si>
    <t>miham-68285</t>
  </si>
  <si>
    <t>DE GRANDES DIFFICULTES A RESILIER MON CONTRAT PREVOYANCE RECU DE MAUVAISE INFORMATION DES CONSEILLERES 
SEULE MME ERIKA VALLIN A PU ME CONSEILLER CARRECTEMENT.</t>
  </si>
  <si>
    <t>05/11/2018</t>
  </si>
  <si>
    <t>syssi-66595</t>
  </si>
  <si>
    <t>On m'a raccroché au nez quand j'ai évoqué une autre mutuelle qui semblait plus favorable et qui ne m'avait pas été proposé par eux ...</t>
  </si>
  <si>
    <t>04/09/2018</t>
  </si>
  <si>
    <t>calou60-66473</t>
  </si>
  <si>
    <t>je suis satisfaite de l'assureur santiane avec qui j'ai eu un premier contact en 2013 pour une mutuelle santé. aujourd'hui j'ai appelé ce matin pour trouver une nouvelle assurance santé plus adéquate avec mes besoins et moins onéreuse. La personne m'a rappelé cet après midi avec une proposition qui me convient parfaitement et répond entièrement à mes besoins.</t>
  </si>
  <si>
    <t>29/08/2018</t>
  </si>
  <si>
    <t>01/08/2018</t>
  </si>
  <si>
    <t>thierry-65324</t>
  </si>
  <si>
    <t>Santiane contrairement a ses engagements contractuels, traîne des pieds pour la résiliation anticipée lorsque le conjoint souscrit une assurance obligatoire de son employeur qui vous couvre. Quatrième fois que nous renvoyons l'attestation de l'employeur, à chaque fois ils veulent une mention en plus : mention du caractère obligatoire de la mutuelle concurrente, indications de n° sécu des assurés qui manquent, puis le cachet de la société... à chaque fois un nouveau besoin pour jouer la montre jusqu'à la prochaine échéance.</t>
  </si>
  <si>
    <t>10/07/2018</t>
  </si>
  <si>
    <t>romain-65096</t>
  </si>
  <si>
    <t>très bon opérateur. bonnes options.</t>
  </si>
  <si>
    <t>27/06/2018</t>
  </si>
  <si>
    <t>01/06/2018</t>
  </si>
  <si>
    <t>leeloo-64922</t>
  </si>
  <si>
    <t>Cliente depuis 2010, subissant les augmentations répétitives de ma mutuelle sans avoir le temps de m'y attarder, comme beaucoup de monde : "on verra ça plus tard" et on en arrive a des tarifs exorbitants.
Un coup de fil a point nommé d'une conseillère Santiane qui a persévéré pour m'avoir en ligne et heureusement pour moi car après 50 petites minutes d'échanges, un nouveau contrat signé, 33€ d'économies par mois pour les mêmes garanties... MERCI</t>
  </si>
  <si>
    <t>20/06/2018</t>
  </si>
  <si>
    <t>mag5570-64914</t>
  </si>
  <si>
    <t xml:space="preserve">propos très clairs sur la tarification. </t>
  </si>
  <si>
    <t>steffy-64716</t>
  </si>
  <si>
    <t xml:space="preserve">courtier en assurance santé </t>
  </si>
  <si>
    <t>12/06/2018</t>
  </si>
  <si>
    <t>bigboy4884-64714</t>
  </si>
  <si>
    <t>tres bien renseigner plus des bonus non négligable:
2eme avis.fr par exemple</t>
  </si>
  <si>
    <t>laetitia25-64671</t>
  </si>
  <si>
    <t>Bonne satisfaction au niveau des échange téléphonique et surtout au niveau des payement qui sont aussi tres tres rapide nous arrivons a les joindre et sont toujoursv tres aimable et agreable auvtelephone</t>
  </si>
  <si>
    <t>11/06/2018</t>
  </si>
  <si>
    <t>papoute38-64263</t>
  </si>
  <si>
    <t xml:space="preserve">La cata : un conseiller qui ment volontairement sur les montants de remboursement de votre mutuelle actuelle pour vous refourguer un ce ses contrats ! Un refus de résilier la prévoyance vendue soi disant en pack. Méfiance ! </t>
  </si>
  <si>
    <t>29/05/2018</t>
  </si>
  <si>
    <t>sait-64011</t>
  </si>
  <si>
    <t>Très décue par ce courtier en assurance. Il s'agit d'un service très cher qui ne vaut absolument pas son prix. Je ne le recommande absolument pas aux gens qui ont de fortes de dépenses de santé. Par ailleurs les courtiers que l'on a au téléphone avant de choisir son contrat ne sont pas rigoureux : soit ils travestissent la vérité soit ils ne maitrisent pas les tarifs conventionnels de la sécurité sociale. Dans les deux cas c'est très grave. La personne que j'ai eu au téléphone a simulé des remboursements où il ne restait pratiquement rien à ma charge et je n'ai pas pris la peine de la mettre en doute, quelle erreur! C'est d'ailleurs l'une des raisons pour lesquelles j'ai contracté cette assurance. 
Cette mutuelle fonctionne comme une compagnie aérienne low cost : les prix ne sont pas réellement plus bas, et en cas de problème il n'y a aucun recours et personne au bout du fil.</t>
  </si>
  <si>
    <t>15/05/2018</t>
  </si>
  <si>
    <t>filou1950-63989</t>
  </si>
  <si>
    <t>J'ai eu a faire à ce comparateur d'assurance, je ne regrette pas mon choix (malakoff mederic) mais le fait qu'apres avoir signé, il n'y avait plus personne au bout du fil, du mail !! Viens de voir que cette société a été condamnée a 100000 euros d'amende par l'ACPR  LOL§</t>
  </si>
  <si>
    <t>14/05/2018</t>
  </si>
  <si>
    <t>pilatus-63530</t>
  </si>
  <si>
    <t xml:space="preserve">Ancien client de neoliane santé, J'ai été contactée pour changer mes cotisations et prestations. Ça me revient au final moins cher pour être mieux remboursée </t>
  </si>
  <si>
    <t>24/04/2018</t>
  </si>
  <si>
    <t>romp-63451</t>
  </si>
  <si>
    <t>Etonné par ces louanges dithyrambiques qui viennent de la Société, non ? Lorsqu'on passe au logiciel des mots reviennent souvent les mêmes.</t>
  </si>
  <si>
    <t>20/04/2018</t>
  </si>
  <si>
    <t>kiki31-63443</t>
  </si>
  <si>
    <t>Si VOUS N'AVEZ PAS BESOIN D'UNE MUTUELLE, prenez celle-ci car dans le cas contraire, fuyez !</t>
  </si>
  <si>
    <t>kristof-63238</t>
  </si>
  <si>
    <t>je paye mon assurance mutuelle qui me remboursent integralement ma cotisation des prestations chez le medecin les devis sont a transmettrent a mon praticien je suis content de mes frais rembourser a la secu</t>
  </si>
  <si>
    <t>13/04/2018</t>
  </si>
  <si>
    <t>elise59680-63113</t>
  </si>
  <si>
    <t xml:space="preserve">l'assureur  a  su répondre a mes  questions  et  a  mes  besoins , je sais  maintenant  que  je  dois  faire  appel  a  santiane tout  les  an  pour  refaire un  point  sur  mon  contrat </t>
  </si>
  <si>
    <t>10/04/2018</t>
  </si>
  <si>
    <t>jeanjean21-63086</t>
  </si>
  <si>
    <t>Ancien adhérent depuis 2013 j'ai eu un accueil très sympa pour une première  adhésion, j'ai été fort bien conseillé à l'époque  aujourd'hui j'ai été en contact avec une charmante personne qui a été très professionelle dans sa démarche pour me conseiller sur mes besoins</t>
  </si>
  <si>
    <t>09/04/2018</t>
  </si>
  <si>
    <t>epii-62885</t>
  </si>
  <si>
    <t xml:space="preserve">Je suis trés satisfait de neoliane / parce qu'ils répondent a mes besoins. ce que domage avec les gens qui sont insatisfaits avec les mutuelles, c'est qui'ils ne laissent pas les agents leurs expliquer les devis envoyés, ils veulent comparer eux meme et n'y connaissent rien, tout ce qui les importe c'est de payer moins cher et c'est l'erreur a ne pas commettre parce que les remboursements ne sont pas forcément évident. mois j'ai suivi les conseils et les conseiller ma tout expliqué. </t>
  </si>
  <si>
    <t>03/04/2018</t>
  </si>
  <si>
    <t>christiane-62464</t>
  </si>
  <si>
    <t>chez sentiane depuis 2013, je suis satisfaite de vos services et notamment d'être contactée régulièrement chaque année par vos collaborateurs</t>
  </si>
  <si>
    <t>19/03/2018</t>
  </si>
  <si>
    <t>flo-62449</t>
  </si>
  <si>
    <t>Je ne suis pas cliente mais ils m ont rappelé  suite à une demande de devis, personne au tel qui est devenue très agressive dès que je n ai pas voulu lui donner mon numéro ban de banque je voulais juste un devis ,elle a pété  les plombs , à  fuir !!</t>
  </si>
  <si>
    <t>18/03/2018</t>
  </si>
  <si>
    <t>zebulon-62398</t>
  </si>
  <si>
    <t>Sympa de m'avoir contactée pour réviser les formules</t>
  </si>
  <si>
    <t>mari-60780</t>
  </si>
  <si>
    <t>nous avons été contacté pour Santiane, par Angélique, Merci a elle pour sa patience et son professionnalisme. les précisions qu'elle nous a apporté ont été claire,  surtout elle nous a bien aidé pour les problèmes rencontrés avec les services de Néoliane</t>
  </si>
  <si>
    <t>13/03/2018</t>
  </si>
  <si>
    <t>christine-62267</t>
  </si>
  <si>
    <t>tres bonne acceuil et qualité prix</t>
  </si>
  <si>
    <t>nounou-62237</t>
  </si>
  <si>
    <t>client chez vous depuis 2014 satisfait de vos services.aujourd'hui contacter pour revoir vos services et prix pour l'année 2019</t>
  </si>
  <si>
    <t>12/03/2018</t>
  </si>
  <si>
    <t>manzano-62164</t>
  </si>
  <si>
    <t>commentaire explication tres détailler.........................
commentaire explication tres détailler.........................</t>
  </si>
  <si>
    <t>09/03/2018</t>
  </si>
  <si>
    <t>titoune-62132</t>
  </si>
  <si>
    <t>LE CONSEILLER M'A BIEN GUIDÉ DANS MES CHOIX DE FORMULES
LE CONSEILLER M'A BIEN GUIDÉ DANS MES CHOIX DE FORMULES
LE CONSEILLER M'A BIEN GUIDÉ DANS MES CHOIX DE FORMULES
LE CONSEILLER M'A BIEN GUIDÉ DANS MES CHOIX DE FORMULES
LE CONSEILLER M'A BIEN GUIDÉ DANS MES CHOIX DE FORMULES</t>
  </si>
  <si>
    <t>08/03/2018</t>
  </si>
  <si>
    <t>nanou-62128</t>
  </si>
  <si>
    <t>Très bonne recherche, bonne formule calculée au plus juste pour les différents besoins personnels. Beaucoup de temps gagné, des économies faîtes. Les qualités d'écoute sont présentes ! Que du bon...</t>
  </si>
  <si>
    <t>bono-62081</t>
  </si>
  <si>
    <t>Concernant  la mutuelle santiane depuis 2014 nous sommes très satisfaits de cette mutuelle. Aussi bien dans les remboursements et même que nous avons souvent des personnes aux téléphone pour faire le point de notre mutuelle</t>
  </si>
  <si>
    <t>07/03/2018</t>
  </si>
  <si>
    <t>phil-61477</t>
  </si>
  <si>
    <t xml:space="preserve">Très bons conseils, informations précises et pertinentes , j'apprécie le suivi des dossiers et de la volonté  affichée de satisfaire le client. Je pense poursuivre notre collaboration en espérant une aide encore plus précise pour résoudre mes interrogations administratives. </t>
  </si>
  <si>
    <t>15/02/2018</t>
  </si>
  <si>
    <t>01/02/2018</t>
  </si>
  <si>
    <t>nanoumat-61248</t>
  </si>
  <si>
    <t>Ils ont vraiment des tarifs attractifs pour de bonnes garanties et un choix de formules adaptées à chacun</t>
  </si>
  <si>
    <t>08/02/2018</t>
  </si>
  <si>
    <t>carine26-61242</t>
  </si>
  <si>
    <t>J'ai trouvé un bon prix de mutuelle, pour une couverture correcte sur l'hopital et le médecin ce que je cherchais. Service client au top la dernière fois au téléphone</t>
  </si>
  <si>
    <t>tapimoket-60646</t>
  </si>
  <si>
    <t>Comme vous, je suis venu sur ce site pour comparer et choisir une mutuelle à titre privé. Comme vous je me suis posé la question maintes fois, et essayé de faire un choix. On m'a guidé, on m'a conseillé et j'ai pris celle-ci au final... Tout semblait beau... Jusqu'au moment de ma première hospitalisation, début décembre... Demande de remboursement, deux relances, un appel téléphonique... et toujours rien.
En revanche, ils sont à l'heure pour la cotisation, ça pas de problème !
C'est simple, s'ils ne réagissent pas plus rapidement, je change pour aller ailleurs</t>
  </si>
  <si>
    <t>boogynee-59654</t>
  </si>
  <si>
    <t>Bonjour,
Le 22 novembre 2017 j’ai souscrit en ligne un contrat de complémentaire santé Malakoff Médéric peps2 tonique 2 avec option famille. 
La conseillère m’a envoyé un devis qui me convenait. Elle m’a rappelé plusieurs fois pour que je signe, ce que j’ai fais en ligne. Mais au moment de signer elle m’a renvoyer le devis avec un pack prévoyance en plus! Je n’ai pas remarqué cette différence. Du coup je m’en retrouve avec un contrat prévoyance que je ne voulait pas!!</t>
  </si>
  <si>
    <t>13/12/2017</t>
  </si>
  <si>
    <t>lilouw-58586</t>
  </si>
  <si>
    <t xml:space="preserve"> une vente forcée ou un monsieur ... m'a fait croire que c'était la sécu qui vous mandatait de part la loi de Marisol Touraine de 2016  j'ai reçu un SMS pour faire la signature numérique mais jamais il n'a été questions de prélèvements.
Lorsqu'il m'a demandé confirmation de mon Rib pour les remboursement idem ....
Suite à cela je reçois un sms pour signature numérique mais lorsque je vois que je dois payer 22,15€/mois je lui dis ne pas vouloir du contrat. Ce Mr me répond que ce n'est pas grave qu'il avait eu aussi le sms et que lui faisait la signature numérique.
Je me retrouve avec un contrat forcé de chez vous. Suite à cet appel j'ai contacte ma banque pour bloqué toute opération, ma carte bancaire, j'ai contacté mon assureur qui me conseille de déposer plainte.
Allez vous m'aider après cette vente forcée d'autant plus que le numéro demandé est faux 09 80 09 17 12.
Merci d'agir avant que une plainte soit déposée a votre encontre comme voleur vente forcée, abus de personne handicapee comme me le conseille par mon assureur et le service juridique et ma banque qui serait en appui derrière moi.
Cordialement et dans l'attente de votre réponse rapide.
A Willems.
</t>
  </si>
  <si>
    <t>06/11/2017</t>
  </si>
  <si>
    <t>justlove-57893</t>
  </si>
  <si>
    <t>Nul nul je voulais un mutuelle bien pour avoir un bonne garantie de santé mais jamais fonctionné ma mutuelle à demander toujours de argent je bloqué le prélèvement bancaire et basta</t>
  </si>
  <si>
    <t>08/10/2017</t>
  </si>
  <si>
    <t>cuisto-56879</t>
  </si>
  <si>
    <t xml:space="preserve">Un démarchage juste au top niveau, comme ils savent si bien le faire, des promesses et même des engagements à la volée, tout cela pour se rendre compte à la première sollicitation, que de tout cela, du vent, du pipo, et une belle supercherie! 
De plus, bizarrement le contrat vendu par ce soit-disant comparateur en ligne, n'est assuré par aucune autre compagnie, sinon la leur(vérifiez les adresses) Orys Santé... Elle est belle, la manipulation. En tout cas c'en est fini des souscriptions en ligne en ce qui me concerne!
Surtout pour de l'assurance ! </t>
  </si>
  <si>
    <t>25/08/2017</t>
  </si>
  <si>
    <t>01/08/2017</t>
  </si>
  <si>
    <t>alain-55074</t>
  </si>
  <si>
    <t>A ne pas conseiller !</t>
  </si>
  <si>
    <t>01/06/2017</t>
  </si>
  <si>
    <t>mrmathieu-54868</t>
  </si>
  <si>
    <t>Harcèlement téléphonique suite à une recherche internet de la part de Santiane que je n'avais pas directement sollicité. Leurs Conseillers téléphoniques sont agressifs et vous rappellent alors que vous leur expliquez (toujours avec respect de ma part) que vous n'êtes pas intéressé par leur service. Leur frustration de ne pas "transformer la vente" ou de ne pas "contrôler" l'échange téléphonique produit très vite de l'animosité de leur part. En ce jour du 23/05/2017, un certain Nicolas me raccroche au nez quand je lui dis avoir déjà choisi une mutuelle et me rappelle pour me dire de ne pas les recontacter... Alors que j'avais déjà demandé (toujours avec respect et calme) à un de leurs téléconseillers d’arrêter de m'appeler un jour avant... Déjà 7 appels ce jour et il n'est que 13h...</t>
  </si>
  <si>
    <t>23/05/2017</t>
  </si>
  <si>
    <t>clembreitz-52577</t>
  </si>
  <si>
    <t xml:space="preserve">Bonne expérience, je me suis fait conseiller ce courtier par ma soeur qui passe par eux depuis trois ans et j'ai donc adhérer pour ma part en janvier 2016. Les tarifs sont attractifs et permettent de trouver des mutuelles qui remboursent plutot bien. </t>
  </si>
  <si>
    <t>virgou-52523</t>
  </si>
  <si>
    <t>Plutot satisfaite des service de Snatiane car je n'ai rien à repprocher pour l'instant, j'ai des réponses assez rapide à mes courriers, les mails en général sous 48h et les appels sans attente donc si je devais les noter je dirais qu'ils ont une note de 8,5 sur 10 sur le barométre des courtiers d'assurances.</t>
  </si>
  <si>
    <t>17/02/2017</t>
  </si>
  <si>
    <t>m-detez-52370</t>
  </si>
  <si>
    <t xml:space="preserve">Déçu beaucoup de parlotte souscris en décembre 2017 que des ennuis pas reconnu carte non valide aucun remboursement par contre paiement fait 196eurs en janvier plus 20euros de frais et cerise sur le gâteau un prélèvement en janvier dernier de 131e54 au lieu de 125e22 plus de courtier m. Adam pas le souci de mutua gestion ils se renvoient la balle et toujours pas de carte </t>
  </si>
  <si>
    <t>13/02/2017</t>
  </si>
  <si>
    <t>elisabeth-51683</t>
  </si>
  <si>
    <t xml:space="preserve">Assurances a eviter mes parents ont sourcrit chez eux pour 2017 alors que leur mutuelles actuelle n'acceptais pas la loi chatel quand on les as contacte pour annuler on nous a dit ne vous inquietez pas on va resilie votre mutuelle na pas le droit de refuser et sil y a un refus on annule la notre ben la mes parents ont 2 mutelles et neoliane ne veulent plus annule ... Jai fait appel a un avocat mais ne repondent pas a mon avocat jai fait appel aux droits des consomateurs ne leur repondent pas .... Je ne sais plus quoi faire .... Vraiment fuire cette assurances il faidrait qu'il ferme une honte </t>
  </si>
  <si>
    <t>09/02/2017</t>
  </si>
  <si>
    <t>clement-51779</t>
  </si>
  <si>
    <t>ATTENTION A VOUS !! C'est une société de courtage qui fera tout pour vous soutirer de l'argent, il vous font souscrire des contrats qui ne peuvent pas être résilier grâce a la loi Chatel. A EVITER ABSOLUMENT !!! Il ne vous envoi pas d'avis d'échéance, leurs conseillers vous mentent ou ignorent vos demandes, et cela juste pour vous faire payer 1 année de cotisation supplémentaire de façon injuste. Même si vous n'avez plus d'argent, il viendront réclamer à votre porte, bref... Je vous laisse imaginer la mentalité de cette société ! A EVITER si vous n'avez pas une mémoire extraordinaire pour vous souvenir de tous vos contrats et vos date d'échéance, car eux ne vous diront rien, mais se frotteront bien les mains !</t>
  </si>
  <si>
    <t>estelle-51227</t>
  </si>
  <si>
    <t xml:space="preserve">C'est un très bon intermédiaire, car au delas du travail de comparatifs sur les tarifs proposés par les assureurs, ce courtier sait être présent pour parfois faire la jonction entre le client et l'assureur et cela m'a bien aidé... je recommande </t>
  </si>
  <si>
    <t>12/01/2017</t>
  </si>
  <si>
    <t>melinda-51224</t>
  </si>
  <si>
    <t>Des prises en charges de qualité pour un tarif plus que correct voila ce que je demande chaque année à mon courtier et il fait le boulot donc je prolognerais tant que Santiane répondra à mes attentes.</t>
  </si>
  <si>
    <t>leadum-51107</t>
  </si>
  <si>
    <t>je démarre ma seconde année chez ce Courtier et j'ai pu en 2017 changer d'assureur pour bénéficier d'un produit beaucoup plus adapté à ce que je recherchais. j'ai économisé mon énéergie car ils prenent en charge la résiliation comme la premiere année d'ailleur.C'est top.</t>
  </si>
  <si>
    <t>09/01/2017</t>
  </si>
  <si>
    <t>jeanlouis64-50602</t>
  </si>
  <si>
    <t>Attention Danger!!! Surtout ne pas avoir affaire avec Santiane.J ai les memes problèmes :impossibilité de résilier  pourtant dans les meilleurs délais possibles etc......Cela fait 3 ans que mon amie se fait harceler par le meme groupe  et moi je suis tombé dans le panneau(très beau parleur) J ai donc fait opposition a tout prélèvement sur mon compte bancaire.Comment mon pays la France peut laisser agir des organismes pareils.Suite a un contact avec un ami homme de lois j attend de pieds fermes tous les cabinets de recouvrements et tous les huissiers que SANTIANE voudra bien m envoyer.</t>
  </si>
  <si>
    <t>23/12/2016</t>
  </si>
  <si>
    <t>calimardin1947-50353</t>
  </si>
  <si>
    <t>les promesses faites par la conseillère ne sont pas tenues: la soit disant augmentation des remboursements dans le domaine optique, par rapport à ma mutuelle précédente, se résume à 3 Euros pour une augmentation de cotisation d'environ 10E par mois. Quant au service client, intouchable au tél., et la promesse de pouvoir modifier son contrat au bout d'un an??? absence totale de suivi.</t>
  </si>
  <si>
    <t>16/12/2016</t>
  </si>
  <si>
    <t>jeremy1708-50094</t>
  </si>
  <si>
    <t>J'ai décidé de jouir de mes 14 jours légaux de droit de rétractation auprès de Santiane.
De une, j'appelle et tome sur une hôtesse très agressive qui ne veut pas me renseigner.
Très bien j'envois des mails, pas de réponse, j'envois un recommandé pas de réponse.
Et ce depuis 2013, Santiane me réclame la cotisation tous les mois, somme qui bien entendu devient de plus en plus élevée.
Je n'ai pas revu la somme de la 1ere cotisation, mutuelle à fuir comme la peste</t>
  </si>
  <si>
    <t>15/12/2016</t>
  </si>
  <si>
    <t>ryan75-50274</t>
  </si>
  <si>
    <t>Une exécutin simple et efficace, le plus est sans aucun doute d'avoir un conseiller pour détailler le spropositions ! je conseille fini de donner sans limte aux assureurs !</t>
  </si>
  <si>
    <t>14/12/2016</t>
  </si>
  <si>
    <t>clement-50097</t>
  </si>
  <si>
    <t>A EVITER de toute urgence, Santiane vous promet de belle chose mais si vous devez résilier chez eux pour X raisons (dont une mutuelle de groupe obligatoire par exemple), elle n'est pas "soumis" à la loi Hamon et vous fera payez autant qu'elle le pourra jusqu'à la fin de l'année du contrat. Je regrette vivement mon choix, j'ai perdu plus de 90 euros, merci à eux !</t>
  </si>
  <si>
    <t>09/12/2016</t>
  </si>
  <si>
    <t>eriiiic-49732</t>
  </si>
  <si>
    <t>J'ai comparé sur le site Santiane l'année derniere et ils ont pris en charge ma résiliation de maniere à pouvoir me libérer de mon ancien assureur. j'ai eu un retard sur un de mes remboursement il y a quelques semaines et ils ont pu m'aider en transmettant les éléments à ma mutuelle donc je suis content de leur service.</t>
  </si>
  <si>
    <t>lila-49528</t>
  </si>
  <si>
    <t>Utilisation simple et rapide je suis passé directement via le comparateur qu'ils ont sur le site internet et le détail des formules présente de façn clairs les informations importantes donc ça m'a permis de comparer facilement</t>
  </si>
  <si>
    <t>24/11/2016</t>
  </si>
  <si>
    <t>johan-49292</t>
  </si>
  <si>
    <t>Je fais mes recherches depuis ce comparateur depuis deux ans à présent car les prix sont corrects et la méthode est rapide.J'ai changé chaque année de complémentaire car il ma fallu des garanties supérieurs et ils ont pu intervenir en me donnant les consignes nécessaires pour effrectuer les résiliations dans les temps. je n'ai plus la même conseillere qu'au départ mais enfin cela ne me dérange pas car je préfére la nouvelle.</t>
  </si>
  <si>
    <t>000000000-139751</t>
  </si>
  <si>
    <t>En 36 ans, j'ai toujours été satisfait des services de la MGP, obtention d'un conseiller au téléphone toujours rapide et correspondant compétent. Bien cordialement.</t>
  </si>
  <si>
    <t>MGP</t>
  </si>
  <si>
    <t>16/11/2021</t>
  </si>
  <si>
    <t>01/11/2021</t>
  </si>
  <si>
    <t>bilquis-139655</t>
  </si>
  <si>
    <t xml:space="preserve">J'ai toujours eu satisfaction auprès des interlocuteurs de la MGP, que ce soit par téléphone ou physiquement.
Je suis complètement satisfait des offres et des couvertures que la mutuelle apporte en terme de qualité et financier.
Je conseille la MGP les yeux fermés.
Merci 
</t>
  </si>
  <si>
    <t>15/11/2021</t>
  </si>
  <si>
    <t>nadine-139622</t>
  </si>
  <si>
    <t xml:space="preserve">Satisfaite de la gentillesse et de la réactivité de ma conseillère. J'attends à présent un appel d'un autre conseillé pour davantage d'information sur les 3  couvertures LYRIA. Merci. </t>
  </si>
  <si>
    <t>harley--139607</t>
  </si>
  <si>
    <t xml:space="preserve">La rapidité du traitement de mon dossier est très très favorable merci beaucoup...
Et Les prix sont très avantageux, bonne journée en vous remerciant de votre accueil téléphonique... </t>
  </si>
  <si>
    <t>mimice-139434</t>
  </si>
  <si>
    <t>Service client disponible et à l'écoute. Bonne qualité de prise en charge par rapport à d'autre compagnie d'assurance même si les tarifs restent élevés</t>
  </si>
  <si>
    <t>11/11/2021</t>
  </si>
  <si>
    <t>manacan-139358</t>
  </si>
  <si>
    <t>A chaque fois que nous avons cherché à joindre un conseiller, par téléphone et non par internet pour avoir une réponse rapide nous sommes toujours tombé sur des gens compétents et nous avons été bien renseigné.</t>
  </si>
  <si>
    <t>10/11/2021</t>
  </si>
  <si>
    <t>dompen-136365</t>
  </si>
  <si>
    <t>Petite erreur du service remboursement mais très bonne réactivité au téléphone. Il semblerait sue ladite erreur soit vite rattrapée. Merci à la personne que j'ai eu au téléphone pour sa réelle compétence alliée à une très bonne réactivité.</t>
  </si>
  <si>
    <t>valjean-135431</t>
  </si>
  <si>
    <t>Je suis très satisfait des prestations de la MGP envers nous les adhérents, néanmoins je regrette que le prix des cotisations versées par ces derniers soient trop élevé. Par ailleurs je félicite le personnel de la MGP qui nous accueille au tél 0971101112,pour sa compétence et son amabilité....</t>
  </si>
  <si>
    <t>brice973-135394</t>
  </si>
  <si>
    <t>Bonjour,
Je suis adhérentes à la GMF depuis 1997, je pense avoir fais le bon choix 
Je suis très satisfaite de mes interlocuteurs
Les personnes sont très agréable
Et très réactif
Je suis très bien renseignée
RAS
Cdt</t>
  </si>
  <si>
    <t>christophe--135052</t>
  </si>
  <si>
    <t xml:space="preserve">À ce jour, je suis relativement satisfait des prestations de la mutuelle. Néanmoins, une hausse du montant des remboursements pourrait être envisagée. </t>
  </si>
  <si>
    <t>29/09/2021</t>
  </si>
  <si>
    <t>pat31-134781</t>
  </si>
  <si>
    <t xml:space="preserve">Étant adhérant de la mgp avec ma famille depuis 1976 je suis toujours sastisfait à l heure actuelle, malgré les augmentations parfois élevées des cotisations
Par contre je trouve anormal que la mgp sponsorise un club de rugby et espere une réponse de votre part </t>
  </si>
  <si>
    <t>28/09/2021</t>
  </si>
  <si>
    <t>bruce-64-133791</t>
  </si>
  <si>
    <t xml:space="preserve">Mutuelle Générale Police.Avec très bon contrat prix pas excessif.Très bon remboursement.Pas d'attente lors d'un appel.Très bon accueil.Explications très positives.Rapidité d'exécution de tous les formulaires et des remboursements </t>
  </si>
  <si>
    <t>maximecollange-131700</t>
  </si>
  <si>
    <t>Conseillère rigoureuse et à l'écoute, a règlé un dysfonctionnement en quelques clics très efficacement. 
Peu d'attentes et pris en charge très professionnellement.</t>
  </si>
  <si>
    <t>ninou-101554</t>
  </si>
  <si>
    <t>très satisfait  à ce jour de toute mes demandes par téléphone personnel très agréable et compétant. les prestations de mon contrat son toujours honore en temps et en heure .En espérant avoir répondu à vos attente. Cordialement</t>
  </si>
  <si>
    <t>zessy77-127490</t>
  </si>
  <si>
    <t>Il est assez difficile d'avoir un conseiller en une seul fois, en revanche il rappelle toujours.
Concernant le remboursement,  le délai pourrait être raccourci,  mais dans l'ensemble je suis satisfaites de mon assurance.</t>
  </si>
  <si>
    <t>djames-126939</t>
  </si>
  <si>
    <t xml:space="preserve">Bonjour je suis assez étonné des avis que je lis, je suis surveillant pénitentiaire et mon épouse est une civil pour nous couvrir nous 2 ainsi que la perte de salaire 3ans garantie pour elle car civil et moi 5ans car fonctionnaire je n'ai jamais eu aucun soucis de remboursement a moi seul je paye 15e par mois pour nous 2 je suis a 19.90e je precise de plus que je n'ai pas de tarif école et que qui plus est ils sont toujours a l'écoute yna pas de plate-forme a l'autre bout du fil y'a un être humain un être humain professionnel à l'écoute et adorable ils sont de très bon conseil et en plus si vous n'êtes pas encore assuré a la gmf il y'a un accord entre la mgp et la gmf qui vous permettra de baisser votre facture d'assurance auto de 20% de quoi compenser les petits soucis de peix qui ne vous conviennent pas en revanche avant j'étais a la MMJ et eux me facturaient 58e par mois et ils ont sur facturé car plusieurs mois après ils m'ont remboursé presque 400e franchement a la mgp il n'y a rien a dire, moi je suis actuellement en arret de travail arrivé au 3ème mois lorsque je passerai a demi traitement là je pourrais les juger sur leurs capacité de compensation de salaire pour l'instant RAS </t>
  </si>
  <si>
    <t>07/08/2021</t>
  </si>
  <si>
    <t>fred-126845</t>
  </si>
  <si>
    <t>tres bon service telephonique et personnelle comprehensif  seul point noir legere attente avant d avoir un conseiller env8 mn sinon tres bonne satisfaction</t>
  </si>
  <si>
    <t>06/08/2021</t>
  </si>
  <si>
    <t>tom-126321</t>
  </si>
  <si>
    <t xml:space="preserve">Trop cher par rapport à d autres assurances santé.. Le remboursement est correct mais la mensualité est trop élevée.. Devis effectués, à la Mgp de revoir ses prix.. </t>
  </si>
  <si>
    <t>04/08/2021</t>
  </si>
  <si>
    <t>jeanluc-125754</t>
  </si>
  <si>
    <t xml:space="preserve">La MGP est une très bonne Mutuelle....Mais un peu chère pour les retraités !...Étant adhérent depuis 1970...je suis très satisfait...Très bonnes relations !... </t>
  </si>
  <si>
    <t>31/07/2021</t>
  </si>
  <si>
    <t>patufet-125233</t>
  </si>
  <si>
    <t xml:space="preserve">Je suis tres satisfait  de la MGP.  On joint rapidement un conseiller.  Accueil très  satisfaisant.   Personnel  competent.  Je pense qu'il n'y a rien d'autre a dire sinon ma satisfaction. </t>
  </si>
  <si>
    <t>28/07/2021</t>
  </si>
  <si>
    <t>--124996</t>
  </si>
  <si>
    <t xml:space="preserve">La conseillère qui a répondu à mes demandes s’est avérée très professionnelle et très agréable. 
Le temps d’attente quand à lui ne fut pas très long. </t>
  </si>
  <si>
    <t>27/07/2021</t>
  </si>
  <si>
    <t>cantalou15-123809</t>
  </si>
  <si>
    <t>Madame, Monsieur, 
Je tiens à préciser que je suis entièrement satisfait de ma mutuelle MGP étant adhérent depuis mon entrée dans le police nationale depuis le 01/10/1977 surtout en étant à Evoluition.
Par contre je tiens à préciser que le tarif mensuel de 259,16 euros pour une couverture mutualiste étandue à mon épouse et notre fille est difficilement acceptable et tenable dans un budget car si vous faites un rapide calcul de 259x12= 3108 euros.....Cela fait très très cher. Nous allons être obligé pour mes ayant droit de trouver une mutuelle privée locale beaucoup moins chère.
Merci de votre compréhension en espérant avoir une réponse.
Bien cordialement.
Jean-Claude Morans</t>
  </si>
  <si>
    <t>gillou-123208</t>
  </si>
  <si>
    <t xml:space="preserve">Excellent pour la 1ère mutuelle à Mission.
D’autres le voudraient mais n’y mettent pas les moyens d’y parvenir 
Une action sociale réelle et de terrain 
Un accompagnement de tous les jours </t>
  </si>
  <si>
    <t>mimi-78731</t>
  </si>
  <si>
    <t>Je suis cliente a la MGP pour une assurance perte de salaire ,je suis à mi- temps thérapeutique depuis le mois de Février et je n ai encore rien reçus en complément salaire  . nous sommes le 15/06/2021 et toujours rien ! quand je suis en contact avec eux ils me disent en gros qu ils n ont pas que mon dossier à faire !!!! j ai deux assurances chez eux je comptais en prendre deux de plus en juillet .He bien je pense que je vais faire l' inverse tout arrêter et me  sauver de chez eux.et j ai d autres collègues qui sont dans le mème problème et vont faire la mème chose  .</t>
  </si>
  <si>
    <t>jo-116145</t>
  </si>
  <si>
    <t>Bonjour,
Ayant perdu une partie de mon autonomie, j'ai pu bénéficié d'une aide financière malgré que je ne sois pas couverte par le contrat MGP Dépendance.
Merci
Cordialement</t>
  </si>
  <si>
    <t>---113058</t>
  </si>
  <si>
    <t>le prix de la cotisation est correct. les conseillers sont toujours à l'écoute lorsque l'on a besoin de renseignements ou de conseils. mutuelle à conseiller</t>
  </si>
  <si>
    <t>07/05/2021</t>
  </si>
  <si>
    <t>hakim-47-112624</t>
  </si>
  <si>
    <t xml:space="preserve">Mutuelle assez cher au vu de certains remboursement notamment pour le visuel.
De même que le forfait auto médicament n'a aucun intérêt car la liste des médicaments remboursable n'est vraiment pas pertinente. </t>
  </si>
  <si>
    <t>04/05/2021</t>
  </si>
  <si>
    <t>client27-110274</t>
  </si>
  <si>
    <t>Un numéro de téléphone facilement joignable (pas d'attente interminable...)  et un accueil téléphonique sans faille. J'ai téléphoné à trois reprises à ce service et ai toujours reçu une écoute attentive. La réponse a été conforme à mes attentes.</t>
  </si>
  <si>
    <t>flochadelaud-109259</t>
  </si>
  <si>
    <t>Bon suivi de dossier, tarifs un peu élevés par rapport aux autres mutuelles mais cela reste correct. Bonnes garanties pour les membres des forces de l’ordre avec les risques du métier.
Dommage qu’il faille tout envoyer par courier, une transmission des diverses factures par mail serait vraiment pratique.</t>
  </si>
  <si>
    <t>tchalef-109012</t>
  </si>
  <si>
    <t>Nous sommes avec mon épouse, retraités et satisfaits bien évidemment des services rendus par cette mutuelle. 
Le contraire serait anormal et surprenant en raison du coût des cotisations qui avoisine les 15% du montant net mensuel que je peux percevoir.
C'est franchement dur à avaler.</t>
  </si>
  <si>
    <t>tapeton-108822</t>
  </si>
  <si>
    <t>Les réponses apportées sont très satisfaisante. Le temps d'attente est très réduit et les communications sont toujours très courtoises. Je suis très satisfait de ma mutuelle santé.</t>
  </si>
  <si>
    <t>r99-108408</t>
  </si>
  <si>
    <t>Rien de spécial à dire, que je suis globalement satisfait des services et produits offerts par la Mutuelle.
Plus particulièrement au sujet des conseillers je suis très satisfait des différents contacts que j'ai eu par téléphone ; par la gentillesse, l'écoute et les bons renseignements fournis.
Pour le prix je n'ai mis que 4 étoiles car ce dernier me parait assez cher.</t>
  </si>
  <si>
    <t>nobeb-108377</t>
  </si>
  <si>
    <t>Quand j'adresse un document pour  pour remboursement réponse rapide disponibilités et relations cordiales tarifs un peu élevée mais vu mon âge il ne faut pas se plaindre</t>
  </si>
  <si>
    <t>titelive-107794</t>
  </si>
  <si>
    <t>Prix des cotisations dans la fourchette haute (certes pour un assuré "âgé" et ce malgré la remise pour ancienneté) au vu de certaines prestations fournies. Pour exemple, le remboursement des dépassements d'honoraires frise l'obole alors que bien souvent ce dépassement est subi et n'est pas le fait de la volonté du patient par rapport au médecin choisi (a t-on souvent le choix ?) . D'autre part, pour améliorer la qualité du service, n'est-il pas envisageable de pouvoir envoyer, en pièces jointes, à un boîte mail MGP les documents nécessaires à certains remboursements de soins. Cela éviterait une perte de temps par l'envoi de courrier papier et une économie de timbres pour l'assuré.</t>
  </si>
  <si>
    <t>nana-106235</t>
  </si>
  <si>
    <t>Bonjour,
La disponibilité des conseillers est excellente, leur amabilité est vraiment à la pointe. 
J'ai un bémol, le prix de ma mutuelle santé, trop chère, à mon avis. Par ailleurs, je pense que la MGP pourrait faire un effort sur le remboursement des implants dentaires et les lunettes. Malgré tout, je n'envisage pas de quitter cette mutuelle, soutien de la Police.</t>
  </si>
  <si>
    <t>gonzoflo-105951</t>
  </si>
  <si>
    <t>mutuelle un peu chere mais reactive lors des appels et de la prise en compte des demandes effectuees. cette mutuelle s'est améliorée et montre qu'elle essaye d'évoluer</t>
  </si>
  <si>
    <t>09/03/2021</t>
  </si>
  <si>
    <t>francois1973-105893</t>
  </si>
  <si>
    <t>Mutuelle assez chère malgré mes 23 ans de fidélité mais  remboursement en général assez rapide. Quelques bug parfois et nous devons relancer lorsque des anomalies se produisent. Pour des raisons de praticité, j'aimerais que comme dans mon ancien département, ils puissent gérer la sécurité sociale.(Puy de dôme - var). Une agence a proximité serait aussi la bienvenue.</t>
  </si>
  <si>
    <t>08/03/2021</t>
  </si>
  <si>
    <t>cricri-105652</t>
  </si>
  <si>
    <t xml:space="preserve">Mutuel trop chere  très Mal remboursee sur les soins optique et soins dentaire. Suis en évolution donc au maximum de la couverture. Effort a fournir dans ce sens. </t>
  </si>
  <si>
    <t>06/03/2021</t>
  </si>
  <si>
    <t>luc-105645</t>
  </si>
  <si>
    <t xml:space="preserve">Client depuis 10 ans a la mgp. Mon suivi est médiocre.  Je  compte sincèrement résilier mon adhérence . Depuis 1 an je ne suis plus suivi par la mgp. Je suis sans arrêt en train de les relancer </t>
  </si>
  <si>
    <t>05/03/2021</t>
  </si>
  <si>
    <t>yvan-105632</t>
  </si>
  <si>
    <t xml:space="preserve">Bonne garanties mais un peu cher tout de même. La bonne nouvelle est que nous avons un forfait annuel pour les consultations d'ostéopathie et cela aide franchement par ces temps. </t>
  </si>
  <si>
    <t>cloo--105609</t>
  </si>
  <si>
    <t xml:space="preserve">Très bonne écoute, mon problème a été résolu, bonne réponses apportées. J’attends que mes remboursements soit réalisés, mais toutes les questions que je me posais ont été résolus. Merci encore ! </t>
  </si>
  <si>
    <t>cats-105400</t>
  </si>
  <si>
    <t xml:space="preserve">Chère et malgré cela beaucoup de reste à  charge, gestion des remboursements contraignante, la suppression des bureaux et délégués locaux est problématique car les renseignements via la plate-forme sont insuffisants ou inadaptés. L'accès à la compréhension de nos contrats limité. </t>
  </si>
  <si>
    <t>04/03/2021</t>
  </si>
  <si>
    <t>deep-105259</t>
  </si>
  <si>
    <t xml:space="preserve">Bonjour, je pense que vous pourriez faire un peux plus d’efforts concernant les remboursements de vos clients après 43 ans de travaille certe je n'ai pas toujours été assuré chez vous mais quand on vois toutes les personnes qui ne travail pas ou qui arrivent  d’ailleurs qui on la cmu ou très peux de cotisation je ne trouve pas normal de devoir payer 91 euros de ma poche pour une paire de semelle ou 250 euros lorsque je vais chez l'oculiste tous les trois ans je suis vraiment déçu par se fonctionnement je pense que tous le monde à le droit de se faire soigné mais un effort de votre part pour ceux qui paye serait le bien venu merci bonne journée à vous. Monsieur LEYGUE.  </t>
  </si>
  <si>
    <t>tony-105174</t>
  </si>
  <si>
    <t xml:space="preserve">Client MGP depuis maintenant plus de 18 ans, je suis pleinement satisfait et recommande vivement cette dernière. 
Ayant pas mal de soucis ces dernières années il est bon de savoir qu'on a une mutuelle solide sur laquelle on peut compter </t>
  </si>
  <si>
    <t>saphir-1-105137</t>
  </si>
  <si>
    <t xml:space="preserve">Les conseillers sont très disponibles et très compétents.
Les réponses obtenues sont claires et les explications accessibles même aux non initiés.
Les prix pratiqués sont néanmoins assez élevés.
</t>
  </si>
  <si>
    <t>syl-105132</t>
  </si>
  <si>
    <t xml:space="preserve">Mutuelle dans la moyenne ... 
Le personnel est disponible rapidement par téléphone mais aussi en presentiel dans les agences...
Remboursement des soins rapide </t>
  </si>
  <si>
    <t>jeff-105131</t>
  </si>
  <si>
    <t>Je suis complètement satisfait des renseignements que je ne savais pas, bravo pour l'écoute. je vous note 10 sur 10, même 20 sur 20.
cordialement.
Mr HERENG Jean-François</t>
  </si>
  <si>
    <t>pitaguette-105102</t>
  </si>
  <si>
    <t xml:space="preserve">Le temps d'attente lors des appels est raisonnable. L'amabilité des interlocuteurs est variable, certains ne donnent pas envie de poser des questions. Lorsque j'appelle pour un problème, les réponses varient selon l'interlocuteur. Certains ne sont pas du tout renseignés et vous répondent malgré tout. D'autres, comme aujourd'hui, sont cordiaux, disponibles et connaissent leur produit. Ma note est donc mitigée </t>
  </si>
  <si>
    <t>marie31-105043</t>
  </si>
  <si>
    <t>Je recommande prix raisonnable
Rapidité des remboursements 
Manque parfois de  bon conseils
Mais reste dans l ensemble satisfaisant
Bon rapport qualité prix</t>
  </si>
  <si>
    <t>gaby-105033</t>
  </si>
  <si>
    <t xml:space="preserve">Le personnel de la plateforme est à l ecoute et compétent.
Les remboursements sont faits dans des délais très raisonnables.
Le prix des cotisations est elevé comparativement aux montants des remboursements et après comparaison avec d autres mutuelles. 
</t>
  </si>
  <si>
    <t>mutuelle-104866</t>
  </si>
  <si>
    <t xml:space="preserve">Bonne assurance-santé qui s'adapte avec l évolution de la société.
Dans les décennies à venir, les gammes devraient évoluer et s'adapter rapidement aux fins de permettre aux assurés d'avoir une garantie sans surprise.
Félicitations pour la prise en compte du COVID 
</t>
  </si>
  <si>
    <t>26/02/2021</t>
  </si>
  <si>
    <t>maddy-104842</t>
  </si>
  <si>
    <t xml:space="preserve">Je me demandais si l'onglet "Satisfaction" était en rapport avec le niveau du prix de ma mutuelle ou avec la satisfaction des prestations et services rendus par cette même mutuelle. C'est pas claire votre sondage ... 
Mon avis le voici : Je trouve que ma mutuelle est chère d'autant que de moins en moins de prestations médicales sont remboursées ou de plus en plus "mal" remboursées : 20 euros pour un ostéopathe qui vous en coûte 60 .... Et je ne parle pas des prestations dentaires et des lunettes. C'est simple on y va plus ! ...
NON. Mon véritable avis de SATISFACTION auquel je mets le maximum d'étoiles, c'est pour la gentillesse et le professionnalisme de la conseillère MGP que j'ai eu au téléphone ce matin. BRAVO madame et encore MERCI à vous. Cordialement.       </t>
  </si>
  <si>
    <t>dib-104833</t>
  </si>
  <si>
    <t>Une Mutuelle qui répond à mes attentes , les dossiers sont réglés sérieusement
Aucun Problème depuis de années 
Le Personnel est à l'écoute 
Très bonne Mutuelle</t>
  </si>
  <si>
    <t>cristoufle--104734</t>
  </si>
  <si>
    <t xml:space="preserve">Analyse de ma demande très rapide et réponse obtenue très claire. Message informant de la possibilité d’être appelé en cas d’attente trop longue très judicieux. </t>
  </si>
  <si>
    <t>moi-104733</t>
  </si>
  <si>
    <t xml:space="preserve">Prise de contact téléphonique aujourd’hui et j’ai eu immédiatement la réponse à ma question. J’ai été très bien prise en compte. Je suis satisfaite de la mutuelle depuis plus de trente ans. J’ai pu faire évoluer mes contrats sans problèmes. </t>
  </si>
  <si>
    <t>charlie-104655</t>
  </si>
  <si>
    <t>Les appels sont gratuits et le service clientèle répond très rapidement. 
Les remboursements sont en général rapides. La MGP gère aussi la sécurité sociale.
J'ai fait une demande de rattachement, j'attends de voir la réactivité de cet organisme.</t>
  </si>
  <si>
    <t>23/02/2021</t>
  </si>
  <si>
    <t>pierre-104648</t>
  </si>
  <si>
    <t>43 ans que je suis à la MGP et je n'ai jusqu'à présent jamais été déçu. Continuez comme cela , bon accueil téléphonique et gentillesse . Les conseillés sont trés à l'écoute et de bons conseilles.</t>
  </si>
  <si>
    <t>yannick--104637</t>
  </si>
  <si>
    <t xml:space="preserve">personne a l'écoute et prise en compte de la situation sanitaire dans les délais 
réactivité et écoute tres importante aux vues de la situation 
tres satisfait 
</t>
  </si>
  <si>
    <t>nene-104609</t>
  </si>
  <si>
    <t xml:space="preserve">Lors de mon contact téléphonique j'ai exposé ma situation à mon correspond qui m'a écouté, conseillé et orienté d'une façon positive ma demande.
Lors de notre échange la personne était très professionnelle elle m'a posé des questions afin de mieux répondre à mes attentes.
Je me félicite de cet échange et je suis content de faire partie de la MGP.
Cordialement
</t>
  </si>
  <si>
    <t>22/02/2021</t>
  </si>
  <si>
    <t>rivet-104583</t>
  </si>
  <si>
    <t xml:space="preserve">Satisfait de min assurance santé, qualité prix 10/10. Rapidité des réponses et solution trouvé à chaque demande. Amabilité des interlocuteurs. 
Je recommande </t>
  </si>
  <si>
    <t>chris78-104580</t>
  </si>
  <si>
    <t xml:space="preserve">
Adhérente a la MGP depuis 1987, un grand merci sincère a l'ensemble des agents de ma mutuelle pour leur amabilité, disponibilité et efficacité lors d appels pour renseignements.
c'est depuis longtemps du Top niveau!!
</t>
  </si>
  <si>
    <t>pajou-104566</t>
  </si>
  <si>
    <t>Très bonne mutuelle, les services sont géniaux...
Le service client est impeccable..
Le seul bémol serait le tarif un peu un peu cher lorsque l'on est une famille avec 3 enfants.
Merci</t>
  </si>
  <si>
    <t>teddy-104484</t>
  </si>
  <si>
    <t>La mgp est une bonne mutuelle. La plupart du temps on est en ligne assez rapidement avec un interlocuteur qui fait son possible pour satisfaire notre demande.</t>
  </si>
  <si>
    <t>youhouhou-104457</t>
  </si>
  <si>
    <t xml:space="preserve">Très bonne mutuelle, les remboursements sont assez rapides, le site internet contient toutes les informations nécessaires, bonne réactivité au téléphone,
Je recommande !
</t>
  </si>
  <si>
    <t>18/02/2021</t>
  </si>
  <si>
    <t>nanardugard-104447</t>
  </si>
  <si>
    <t>Je suis tres content des services de la MGP, je suis adhérant depuis 35 ans . L'accueil téléphonique est toujours rapide et agréable. Il existe une vraie prise en charge des demandes , une efficacité et une rapidité dans les réponses.</t>
  </si>
  <si>
    <t>bob972-104443</t>
  </si>
  <si>
    <t xml:space="preserve">Avis afin de faire évoluer la MGP.
Courant 2020 gros souci de remboursement sur une prestation de spécialiste non OPTAM. Pour faire simple on me penalisait de 20%  sur le BR  et on me diminuait en plus mon remboursement de la mutuelle,  la totale quoi! En résumé sur une consultation de 65euros à laquelle je devais être remboursé de 65 euros on me rembourse 55.80 euros. Il a fallu 6 mois et 2 LAR pour me faire entendre et c'était limite (je vous fait grâce des: "oui mais c'est comme ça "), et mon contrat était très explicite. 
En deuxième,  mais beaucoup moins grave,  j envoi une facture de pharmacie et je reçois le lendemain un mail m'informant que les médicaments de 20 et 5.5% ne sont pas pris en compte. Je renvoie dans la soirée un autre mail pour leur dire que d'après mon contrat les autres médicaments de 2.1 et 10% le sont.
Le surlendemain je reçois un nouveau mail m'informant du remboursement. 
Bon à priori j ai réagi trop vite car ils étaient en train d'étudier ma facture,  mais le mail n'était pas clair, il aurait mieux valu attendre ou mettre dans mail : votre facture est en étude mais nous vous rappelons que les médicaments de 20 et 5.5% ne seront pas pris en charge. 
J'ai d'autres remarques mais cest 3 pages A4 qu'il me faudrait.
Je reste à l'écoute de la MGP si toutefois elle désire me contacter. 
</t>
  </si>
  <si>
    <t>hepsy0501-104424</t>
  </si>
  <si>
    <t>Je suis très satisfaite des services de la mgp. Le personnel est très réactif... 
Cependant, ça serait bien qu'on ait notre propre conseiller pour un suivi plus rapide...
Mme Julie Payet</t>
  </si>
  <si>
    <t>m--n-104394</t>
  </si>
  <si>
    <t xml:space="preserve">Les garanties dentaires et optiques sont d'après moi à revoir à la hausse. Surtout pour les couronnes et autres interventions de ce type.
Sinon, au niveau service client ils sont au top. On peux les appeler sans aucun problème et répondent aux questions qu'on leurs posent. 
</t>
  </si>
  <si>
    <t>17/02/2021</t>
  </si>
  <si>
    <t>celeste-104373</t>
  </si>
  <si>
    <t>Très à l'écoute, renseignements clairs, nets, précis, satisfaite des réponses données et du service demandé . Rien à redire. satisfaite en tous points.</t>
  </si>
  <si>
    <t>prunefle-104348</t>
  </si>
  <si>
    <t>Bonne mutuelle dans l'ensemble. Accueil téléphonique parfait. les remboursements pourraient être réévalués à la hausse, et les cotisations à la baisse. Afin d'éviter les départs massifs vers d'autres mutuelles</t>
  </si>
  <si>
    <t>kakou-104342</t>
  </si>
  <si>
    <t>Je suis à la MGP depuis 2003 et je suis très satisfaite de leurs services.De la prise en charge ou du service d’accueil téléphonique. J’ai eu une mutation professionnelle en 2018 en Guadeloupe même à distance je reste aussi satisfaite.
Seul petit problème j’ai dû appeler à plusieurs reprises afin que mon fils puisse être inscrit sur ma carte mutuelle car à chaque fois que j’appelais je recevais une nouvelle carte mais il ne figurait pas dessus.
Je ne sais pas d’où venait le problème mais le problème a été réglé.
Après réflexion je pense que j’ai une petite part de responsabilité...
Alors pour conclure oui je recommande cette mutuelle c’est une bonne mutuelle efficace et à l’écoute de ses adhérents.</t>
  </si>
  <si>
    <t>mumu--104340</t>
  </si>
  <si>
    <t xml:space="preserve">Excellente mutuelle les conseillers vous renseigne très bien et très efficace et très professionnel. Remboursements rapides. Je recommande cette mutuelle </t>
  </si>
  <si>
    <t>tortue--104337</t>
  </si>
  <si>
    <t>Je suis adhérente à la MGP depuis 1987 et j'ai toujours été satisfaite des prestations rendues.
La disponibilité et la réactivité des interlocuteurs sont à souligner, les dossiers sont traités rapidement, avec sérieux et rigueur.
Le rapport qualité/prix est indéniable.
Le panel d'offres est important.
Tout est fait pour faciliter les démarches et le site web est co.vivial.
Je re commande cette mutuelle.</t>
  </si>
  <si>
    <t>andre-104330</t>
  </si>
  <si>
    <t>C est rassurant de compter sur une mutuelle santé solidaire qui prend en charge vos dépenses de santé, surtout lorsque on est retraité.
Le seul petit hic lorsque on prend sa retraite on perd en pouvoir d achat et la mensualité de la mutuelle reste toujours la même. Mais étant très satisfait de ma mutuelle depuis 40 ans, je suis resté fidèle à cette mutuelle.</t>
  </si>
  <si>
    <t>kikinou-104305</t>
  </si>
  <si>
    <t xml:space="preserve">Bonne mutuelle reactive mais un peu chère pour une couverture parfois decevante sur certains poste en particulier les prothèses dentaires et les aides auditives </t>
  </si>
  <si>
    <t>16/02/2021</t>
  </si>
  <si>
    <t>kim06-104256</t>
  </si>
  <si>
    <t xml:space="preserve">Très satisfait des prestations et de la relation client. Opérateurs téléphoniques professionnels, toujours agréables et courtois. Les remboursements sont effectués dans des délais raisonnables. </t>
  </si>
  <si>
    <t>christophe-104238</t>
  </si>
  <si>
    <t>Satisfait de ma mutuelle santé même si de par ma profession les prix sont élevés mais le complément de salaire en cas de problème de santé est pris en charge ce qui est très important.
Toujours eu une bonne communication avec les différents interlocuteurs qui ont toujours su apporter une réponse à mes demandes.</t>
  </si>
  <si>
    <t>zag-104229</t>
  </si>
  <si>
    <t xml:space="preserve">Chez la MGP depuis peu, je n’ai eu recours qu’à des remboursements santé basique mais je suis très satisfait de la prise en charge de nos corps de métier et de nos spécificités ( souvent non comprise ou beaucoup trop cher chez d’autres mutuelles ) </t>
  </si>
  <si>
    <t>15/02/2021</t>
  </si>
  <si>
    <t>yoyo-104217</t>
  </si>
  <si>
    <t>Je suis dans l'ensemble satisfaite. Sauf que pour la prestation demande d indemnité perte de salaire si l'on a un soucis de santé quelques mois soit 6 mois après la souscription vous n etes pas indemnisé.  C est dommage.</t>
  </si>
  <si>
    <t>chaumiere-104213</t>
  </si>
  <si>
    <t xml:space="preserve">Je suis adhérent à la MGP depuis 1979, la mutuelle m'a toujours accompagné auusi bien dans ma vie professionnelle que dans celle de retraité.
J'ai opté pour des dispositions particulières tels que compléments de salaire lorsque j'étais en activité.
Les remboursements sont pris en charge très rapidement, suivant les options il est offert une bonne couverture aussi bien en dentaire qu'en optique 
Je suis satisfait et ne changerai pas de mutuelle     </t>
  </si>
  <si>
    <t>sissi-104211</t>
  </si>
  <si>
    <t xml:space="preserve">LES OPERATEURS DE LA MGP SONT TOUS DES PERSONNES TRES PROFESSIONNELLES ET A L ECOUTE 
CES DERNIERS   M ONT RAPPELLEE   DANS UN DELAI TRES COURT AFIN D EVITER TROP D ATTENDRE
JE SUIS TRES SATISFAITE DE L ENSEMBLE DE L EQUIPE ET DU SUIVI DE MON DOSSIER 
LEUR REPONSE EST RAPIDE </t>
  </si>
  <si>
    <t>killian--104190</t>
  </si>
  <si>
    <t xml:space="preserve">service parfait , je recommande donc de choisir cette mutuelle , réponse claire et concise , pas beaucoup de temps d’attente. 
La mgp est une bonne mutuelle </t>
  </si>
  <si>
    <t>gigsl13-103974</t>
  </si>
  <si>
    <t xml:space="preserve">Tres bon assurance, toujours là, tres bon accueil téléphonique  ,tres courtois ,jamais eu aucun problème  pour les joindre,toujours tres clair et disponible à mes demandes, je recommande  cet assureur. </t>
  </si>
  <si>
    <t>marbou86--103764</t>
  </si>
  <si>
    <t>Après presque 50 ans d'affiliation à cette mutuelle je n'ai pratiquement aucune critique négative à formuler. Peut-être au niveau des tarifs qui sont un peu plus élevés que d'autres, mais comparativement les prestations valent cette différence. Pour le reste, je suis parfaitement satisfait : qualité des contacts, précision des renseignements, délais et niveau des remboursements, ...</t>
  </si>
  <si>
    <t>06/02/2021</t>
  </si>
  <si>
    <t>gallion-103759</t>
  </si>
  <si>
    <t>je trouve que nous sommes très peu remboursé même en  ayant choisi le contrat évolution . En effet il y a très peu de spécialistes conventionnés la plupart dépasse leur honoraire. Cela fait plus de quarante ans que je suis à votre mutuelle  et a plusieurs reprises j'ai pensé quitter la MGP en pensant qu'en prenant le l'âge je  serais mieux remboursé q'une autre mutuelle dans le privé qui aurait été beaucoup moins chère.Malheureusement ce n'est pas le cas . Dernièrement j'ai été opéré du genoux et les visites chez le chirurgien orthopédique ex 80 euros de consultation plus 100 euros de gel pour une infiltration ,je n ai été remboursé environ  de 34 euros seulement. Donc en vieillissant on a de plus en plus de problème de santé  et je pensais être mieux remboursé vu le prix de ma cotisation. Il existe bien une demande d' aide mais si il faut toujours demandé je ne fais pas l'aumône .
Donc vu la considération de la fidélité  je pense a l avenir me renseigner pour trouver un  contrat de mutuelle a ce prix qui rembourse mieux les dépassements d'honoraires ainsi que pour les dents les lunettes  qui pour moi ne sont pas du luxe.
Veuillez Monsieur ou Madame recevoir mes salutations distinguées.</t>
  </si>
  <si>
    <t>lepleypascal-103656</t>
  </si>
  <si>
    <t>Personne très agréable au téléphone et disponible de suite .
Personnel compétant .
Concernant le remboursement trop d’écart a min gout entre la part Securite social et la mutuelle pourtant mes deux part sont sur le même endroit à savoir mgp. Toutes mes questions ont étaient éclaircies.</t>
  </si>
  <si>
    <t>04/02/2021</t>
  </si>
  <si>
    <t>pg81-103628</t>
  </si>
  <si>
    <t>Information claire sur la tarification, choix intéressant de niveau de couverture.
Les "plus" déterminants: - très grande facilité d'accès au service, par internet bien sûr, mais surtout par téléphone, pratiquement sans attente et avec des interlocuteurs compétents et très aimables.
                                    - extrême rapidité des remboursements de la part complémentaire y compris et surtout pour les dépenses élevées (soins dentaires notamment).
Grande satisfaction et fidélité depuis près de 40 ans....</t>
  </si>
  <si>
    <t>03/02/2021</t>
  </si>
  <si>
    <t>nicky83-103618</t>
  </si>
  <si>
    <t xml:space="preserve">Bien qu'à la retraite, je conserve cette mutuelle par solidarité et car j'ai toujours été satisfaite dans l'ensemble.
Toutefois actuellement, il m'est désagréable de ne pouvoir transmettre mes feuilles de remboursement en direct ou factures quand les médecins ne font pas le tiers payant 
Les formats utilisés ne sont pas pris en compte document trop lourd alors que je le transmets en PDF, cela m'oblige à envoyer les feuilles par courrier. Les transmissions seraient sans doute à faciliter De plus j'utilise les médecines douces, et notamment l'homéopthie qui n'est plus remboursée et ce n'est pas pour cela que ma cotisation diminue Aussi non l'accueil téléphonique, semble avoir fait un effort
Cordialement
</t>
  </si>
  <si>
    <t>charlotte--103563</t>
  </si>
  <si>
    <t xml:space="preserve">Bon rapport qualité prix et rapidité dans la gestion des différentes demandes.
Les différents conseillers sont très aimables et cherchent à répondre correctement à nos attentes. </t>
  </si>
  <si>
    <t>02/02/2021</t>
  </si>
  <si>
    <t>romu950-103320</t>
  </si>
  <si>
    <t xml:space="preserve">Mutuelle qui assure un bon suivi des remboursements,  regroupant sécurité sociale et mutuelle, bonne protection également en ce qui concerne les pertes de salaire liées à la longue maladie entre autre.  Site Web assez pratique permettant de suivre ses informations personnelles et de communiquer des documents.  Le service clients au téléphone est sympathique,  pas toujours joignable rapidement mais OK tout de même.  Les formules d'adhésion sont peu souples car l'engagement est sur 3 ans sans pouvoir en changer pour une moins chère ! Donc bien réfléchir avant d'en prendre une sur ses besoins de couverture.  </t>
  </si>
  <si>
    <t>27/01/2021</t>
  </si>
  <si>
    <t>landers-103319</t>
  </si>
  <si>
    <t>Adhérent à MGP  depuis 1/11/1968 ainsi que ma conjointe
Je   suis satisfais des prestations.
Interlocuteurs joignables et à l'écoute pour tous renseignements
Un mutuelle de confiance. 
Merci</t>
  </si>
  <si>
    <t>marine-103274</t>
  </si>
  <si>
    <t>Démarches toujours très longues et très compliquées.Transmission par internet des factures très laborieuse.Couverture minime malgré un tarif plutôt élevé</t>
  </si>
  <si>
    <t>26/01/2021</t>
  </si>
  <si>
    <t>pedrof-103199</t>
  </si>
  <si>
    <t xml:space="preserve">Je suis très content par le professionnalisme et l ecoute  de la conseillère MGP que j ai  eu au téléphone ? pour un problème de remboursement après vérification il s avers que le problème venait de la CPAM la conseillère c est engagée à régler mon problème auprès de la CPAM 
Cordialement </t>
  </si>
  <si>
    <t>25/01/2021</t>
  </si>
  <si>
    <t>talleu-103182</t>
  </si>
  <si>
    <t>Bien que chères par rapport aux prix d'autres mutuelles selon les appels réguliers téléphoniques incitant à nous diriger , nous les personnes âgées ( j'ai 80 ans ) , vers des mutuelles plus abordables , je reste adhérent pour l'instant à la MGP qui me donne satisfaction .</t>
  </si>
  <si>
    <t>ami9-103110</t>
  </si>
  <si>
    <t>Excellent accueil par des conseillères compétentes. Bon rapport entre la qualité des garanties et les cotisations. Une Mutuelle digne de ce nom très bien gérée.</t>
  </si>
  <si>
    <t>22/01/2021</t>
  </si>
  <si>
    <t>merpillat19-103037</t>
  </si>
  <si>
    <t xml:space="preserve">Je considère qu'à mon âge et pour mon avenir je suis conscient que je serais amené à prendre soin de ma santé,  ce qui engendrera des frais. De ce fait il me necessitera d'avoir une bonne couverture complémentaire et donc d'y contribuer financièrement à juste titre .voilà pourquoi mon choix de rester à la MGP Prestige car jusqu'à présent je suis satisfait. MERPILLAT.P </t>
  </si>
  <si>
    <t>opale29900-103025</t>
  </si>
  <si>
    <t>Adhérent depuis de nombreuses décennies , personnel à  l'écoute , agréable ,très compétent satisfaction lors des renseignements téléphoniques .
tarifes compétitifs dans tous les domaines .Remboursements rapides  .
Merci et continuez .</t>
  </si>
  <si>
    <t>servas-103007</t>
  </si>
  <si>
    <t xml:space="preserve">Je suis inscrit à la MGP depuis de nombreuses années et je suis satisfait des prestations offertes. Les remboursements sont effectués dans un délai très raisonnables et sont consultables sur le site Internet. Pour toute question que l'on peut se poser,  les interlocuteurs que l'on peut contacter par téléphone sont à l'écoute et très réactifs. Les réponses qui m'ont été fournies m'ont toujours satisfait. </t>
  </si>
  <si>
    <t>eha4bth-102927</t>
  </si>
  <si>
    <t>Merci pour l’accueil, le peu d’attente, la réponse à ma demande  au sujet de ma carte MGP mais aussi aux renseignements fournis sur mon espace adhérent .</t>
  </si>
  <si>
    <t>20/01/2021</t>
  </si>
  <si>
    <t>roquette-102830</t>
  </si>
  <si>
    <t>Suite à perte de document,la personne contactée et très aimable elle a pris ma demande en considération rapidement et efficacement.Cela fait plaisir d'être accueilli téléphoniquement de cette manière</t>
  </si>
  <si>
    <t>18/01/2021</t>
  </si>
  <si>
    <t>chico31-102813</t>
  </si>
  <si>
    <t xml:space="preserve">Je suis à la M.G.P  depuis 45 ans et je n'ai jamais eu des problème avec pour le moment et jusqu'à présent tout cet bien  passé .
dé fois l'attente au téléphone est un peu longe mais les réponse sont correcte.
</t>
  </si>
  <si>
    <t>willis47--102811</t>
  </si>
  <si>
    <t xml:space="preserve">Service clientèle joignable très facilement et réponds aux questions et attentes. Les tarifs sont corrects ainsi que les remboursements selon le niveau de couverture du contrat souscrit. </t>
  </si>
  <si>
    <t>roro1948--102735</t>
  </si>
  <si>
    <t xml:space="preserve">Je suis assuré à la mgp depuis juin 1969. J'ai toujours été satisfait par cette mutuelle. Les remboursements sont corrects, et les tarifs attractifs par rapport aux services. J'ai été démarché par tel une fois. Quand je leur ai dit combien j'étais remboursé pour des appareils auditifs, la personne m'a dit qu'avec un tel remboursement, il fallait que je reste à la mgp. Merci la mgp </t>
  </si>
  <si>
    <t>15/01/2021</t>
  </si>
  <si>
    <t>domy-102692</t>
  </si>
  <si>
    <t>Montant de la mutuelle un peu élevé car je suis à 100 % suite à la SEP en 2008, mon mari paie 45 euros par mois et est également à 100 % suite problème cardiaque en 2007.</t>
  </si>
  <si>
    <t>orkl-102689</t>
  </si>
  <si>
    <t>Rapidité, efficacité et disponibilité : je reste très content et satisfait de ma mutuelle depuis mon adhésion il y 5 ans.
Le service client, à l'écoute, répond toujours très rapidement.
De plus, je trouve les offres de remboursement particulièrement intéressante (dans mon cas dentaite et medecine douce).</t>
  </si>
  <si>
    <t>monique23-102680</t>
  </si>
  <si>
    <t xml:space="preserve">je résume en disant 38 ans de bons et loyaux services, et comme je vieillis j'espère que cela ne va pas cesser. 
Continuez à vous battre pour nous, la santé ne doit pas être un luxe, mais sans mutuelle cela le serait.
J'ai été malade à l'étranger et une fois j'ai été hospitalisée et j'ai été remboursée de tous les frais engagés, cela a pris un peu de temps mais tout m'a été remboursé;
Donc pour tout ceci merci!   </t>
  </si>
  <si>
    <t>arthur-102567</t>
  </si>
  <si>
    <t>Mon assurance santé MGP est fiable mais un peu trop cher pour des retraités.
Les conseillers sont disponibles et sympathiques 
certains soins ou prestations ou aide ne sont 
pas pris en charge par comparaison .</t>
  </si>
  <si>
    <t>13/01/2021</t>
  </si>
  <si>
    <t>fg-102535</t>
  </si>
  <si>
    <t>Très peu d’attente pour rentrer en contact avec un conseiller. Mon interlocutrice a été très efficace, à l’issue de notre conversation téléphonique j’ai reçu par mail la documentation dont j’avais besoin.
Les tarifs sont adaptés à chaque situation. Je suis périodiquement sollicitée pour faire le point sur mon contrat mutuelle qui permet selon les besoins de faire des économies. 
Seul bémol je suis bloquée par INTERIALE (ancienne mutuelle) au niveau de ma CPAM, ce qui aurait permis à la MGP de gérer ma sécurité sociale et ma mutuelle, comme c’est le cas de plusieurs de mes collègues. Les remboursements serait faits par une seule entité. Depuis 2015 j’en suis satisfaite de la MGP.</t>
  </si>
  <si>
    <t>12/01/2021</t>
  </si>
  <si>
    <t>pier-102347</t>
  </si>
  <si>
    <t xml:space="preserve">Adhérent depuis 1981 à la mgp je suis très satisfait des prestations apportées par ma mutuelle. La réponse téléphonique apportée est toujours au top. </t>
  </si>
  <si>
    <t>08/01/2021</t>
  </si>
  <si>
    <t>mekija--102195</t>
  </si>
  <si>
    <t xml:space="preserve">Bonne mutuelle dans.sa globalité . Malgre du retard lors du confinement dans.les remboursement Réactivité au téléphone 
Relevés de remboursement facile à comprendre.  </t>
  </si>
  <si>
    <t>05/01/2021</t>
  </si>
  <si>
    <t>nic-cas-102139</t>
  </si>
  <si>
    <t xml:space="preserve">Service et personnel au top.
Tous mes appels au service client ont été concluants et satisfaisants, notamment grâce à l'efficacité et l'amabilité des agents.
Le seul point noir de cette assurance, au même titre que toutes les assurances estampillées POLICE, sont les tarifs au dessus des assurances civiles. </t>
  </si>
  <si>
    <t>04/01/2021</t>
  </si>
  <si>
    <t>oceaneb-101978</t>
  </si>
  <si>
    <t>J'ai été trés satisfaite des prix proposés et ainsi que de l'aide de la conseillère mgp que j'ai sollicité par téléphone, toutes mes questions ont été répondues.</t>
  </si>
  <si>
    <t>29/12/2020</t>
  </si>
  <si>
    <t xml:space="preserve">Comptant à ce jour des relations téléphonique.Ainsi que les prestations. Je recommande autour de moi la MGP. En espérant avoir répondu à vos attentes </t>
  </si>
  <si>
    <t>daneluzzo-101096</t>
  </si>
  <si>
    <t>j'ai 68 ans,   en 2021 mes cotisations vont grimper a 117.00 par mois ....ce qui commence a faire cher , en 2022 surement 120.00 euros par mois ..etc ...j'entends souvent la reflexion des professionnels .....votre mutuelle n'est pas des plus généreuse !!! je suis au niveau ..tradition ..</t>
  </si>
  <si>
    <t>benj-99523</t>
  </si>
  <si>
    <t xml:space="preserve">Plutôt content dans l'ensemble au niveau des prestations et des interlocuteurs. Étant peu malade ou n'ayant pas de gros soucis concernant l'optique, les dents, il est vrai que je n'ai pas trop à faire avec la sécurité sociale et la mutuelle.
Dernièrement j'ai eu des examens à passer et là des séances de rééducation avec le kinésithérapeute, j'attends de voir ce qu'il en resulte au niveau du remboursement. Mais pour l'instant, je suis satisfait. </t>
  </si>
  <si>
    <t>02/11/2020</t>
  </si>
  <si>
    <t>mimi-99362</t>
  </si>
  <si>
    <t>A la mgp depuis 38 ans, je n'ai eu aucun soucis de remboursement. Mutuelle assez chère, mais remboursement à la hauteur. Très satisfait. Je conseil la Mgp pour la réactivité des agents</t>
  </si>
  <si>
    <t>29/10/2020</t>
  </si>
  <si>
    <t>oliveres-gerard-99351</t>
  </si>
  <si>
    <t xml:space="preserve">Pour l instant, j ai eu des conseillers à l écoute qui ont bien répondu à mes demandes, j ai été correctement dirigé. Je n ai pas comparé les tarifs avec les autres assureurs, ou mutuelles, je suppose que la concurrence joue son rôle... </t>
  </si>
  <si>
    <t>djosp77-99039</t>
  </si>
  <si>
    <t>Bonne mutuelle un peu plus chère que les autres mais les prestations sont bonnes et la nouvelle gamme lyria a l'air plutôt intéressante surtout pour la médecine alternative</t>
  </si>
  <si>
    <t>21/10/2020</t>
  </si>
  <si>
    <t>nicolas-98996</t>
  </si>
  <si>
    <t>Large gammes de protection.
Pour tous les budgets.
Suivi personnalisé de son dossier.
Réponse rapide.
Remboursements effectués dans les temps.
Plateforme d'appels à notre écoute.
Je recommande.</t>
  </si>
  <si>
    <t>1955-98301</t>
  </si>
  <si>
    <t xml:space="preserve">Les agents que j 'ai par téléphone  sont professionnels ,d 'une gentillesse,  et  très à l' écoute de votre demande. Par contre les cotisations  option Évolution sont  trop chères et augmentent avec  l'âge. </t>
  </si>
  <si>
    <t>03/10/2020</t>
  </si>
  <si>
    <t>bebeche17450762-98194</t>
  </si>
  <si>
    <t xml:space="preserve">Excellente mutuelle, personnel à l écoute très sympathique et sérieux, professionnel.
Toujours un plaisir de vous contacter. 
C est une mutuelle que j ai recommandé à nombre de collègues travaillant dans la police nationale pour les besoins adaptés à chacun d entre nous.
Cordialement </t>
  </si>
  <si>
    <t>chespl-98135</t>
  </si>
  <si>
    <t>Très bon accueil et prise en charge au téléphone.
Évidemment on aimerait de meilleurs remboursements pour les soins dentaires et les lunettes de vue .</t>
  </si>
  <si>
    <t>eric-ngn-97834</t>
  </si>
  <si>
    <t xml:space="preserve">Bonjour, je trouve que le degré de satisfaction n'est pas proportionnel aux augmentation des tarifs.
Je suis toujours bien conseillé et bien accueilli mais à quel prix.
Bien cordialement </t>
  </si>
  <si>
    <t>25/09/2020</t>
  </si>
  <si>
    <t>jerome78-97828</t>
  </si>
  <si>
    <t>Il y a beaucoup de prestations non prises en charge comme les chambres individuelles qui sont restreintes dans le temps. Les dépassements de kinésithérapie etc...il faut avoir recours aux sur mutuelles pourquoi ne pas proposer une surmutuelle aux adhérents ?</t>
  </si>
  <si>
    <t>cat-97697</t>
  </si>
  <si>
    <t>La MGP est une assurance santé très à l'écoute de ses assurés, et nous sommes toujours bien reçus au téléphone.
Son site internet  MGP est très clair,  et très détaillé.</t>
  </si>
  <si>
    <t>22/09/2020</t>
  </si>
  <si>
    <t>yan-97561</t>
  </si>
  <si>
    <t>Cette assurance-mutuelle est réactive et à l'écoute des assurés.
Les interlocuteurs gèrent les opérations courantes et les dossiers hors normes avec beaucoup de professionnalisme. 
A recommander</t>
  </si>
  <si>
    <t>xav-97516</t>
  </si>
  <si>
    <t>pour prélever la cotisation c’est toujours a jour mais quand il s’agit de rembourser...là, vraiment ca fait plus que de tarder surtout quand il s’agit de somme considérable!!!!!</t>
  </si>
  <si>
    <t>17/09/2020</t>
  </si>
  <si>
    <t>sauveur-97354</t>
  </si>
  <si>
    <t>Nous sommes a la MGP depuis 1972 
Personnel très professionnel très a l'écoute 
Les tarifs sont corrects .
Les remboursements sont tres rapides
Ne changez rien .....
Cordialement
M.RIPOLL</t>
  </si>
  <si>
    <t>14/09/2020</t>
  </si>
  <si>
    <t>step-97273</t>
  </si>
  <si>
    <t>Nous avons toujours été satisfaits de notre choix de la MGP et apprécions la disponibilité  et l'amabilité des conseillers . La possibilité de leur demander des conseils, des adresses en passant par Santéclair est un atout</t>
  </si>
  <si>
    <t>11/09/2020</t>
  </si>
  <si>
    <t>jfmichel-96638</t>
  </si>
  <si>
    <t xml:space="preserve">Très bonne mutuelle.
Aucun soucis après plus de trente ans. 
Je la recommande fortement. 
Mutuelle dans la moyenne des prix avec de bonne prise en charge. </t>
  </si>
  <si>
    <t>25/08/2020</t>
  </si>
  <si>
    <t>piyu-96620</t>
  </si>
  <si>
    <t xml:space="preserve">Je ne suis pas satisfaite du montant des remboursements ophtalmiques et et orthodontie que ce soit pour adultes ou enfants. 
Je suis en milieu de gamme, et obligé de monter au niveau superieur en espérant que les remboursements seront meilleurs. </t>
  </si>
  <si>
    <t>24/08/2020</t>
  </si>
  <si>
    <t>lolo-95885</t>
  </si>
  <si>
    <t xml:space="preserve">malgré la récession sur le personnel que la mutuelle a connu,les services sont toujours aussi rapides et les réponses apportées sont précises et courtoises
reste le prix des contrats qui sont un peu élevés.
certains remboursements comme les semelles orthopédiques ou séances d’ostéopathe devraient augmenter car la generation future connais plus de douleurs de dos et de pieds vu les l;activité moderne </t>
  </si>
  <si>
    <t>04/08/2020</t>
  </si>
  <si>
    <t>mewen35-94891</t>
  </si>
  <si>
    <t>Mme mr bjr
Je suis à la M.GP. Depuis 39 ans ( 1981 ) en retraite depuis 2011,jai 64 ans, j'en suis arrivé à cotiser 127 € par mois, est ce normal ? Je voudrais votre avis mme mr dirigeant de la M.G.P. Merci</t>
  </si>
  <si>
    <t>23/07/2020</t>
  </si>
  <si>
    <t>pepette0403-91339</t>
  </si>
  <si>
    <t xml:space="preserve">Un service clientèle à l'ecoute, très réactif! Temps d'attente correct! Une conseillère plus qu' agréable, disponible, bienveillante! Elle m'a assistee dans la création  de mon compte car le site ne marchait pas depuis des semaines </t>
  </si>
  <si>
    <t>17/06/2020</t>
  </si>
  <si>
    <t>chris-90358</t>
  </si>
  <si>
    <t>Mutuelle assez chère, mais bonne couverture. Agence fermée actuellement</t>
  </si>
  <si>
    <t>09/06/2020</t>
  </si>
  <si>
    <t>ericargenteuil95-90195</t>
  </si>
  <si>
    <t>À mes côtés depuis plus de vingt ans</t>
  </si>
  <si>
    <t>04/06/2020</t>
  </si>
  <si>
    <t>ceran62-90025</t>
  </si>
  <si>
    <t>Je suis satisfait de ma mutuelle. 
Je les ai contacté téléphoniquement, aucun soucis pour avoir quelqu'un qui a répondu à mes questions.</t>
  </si>
  <si>
    <t>28/05/2020</t>
  </si>
  <si>
    <t>vividu33-89905</t>
  </si>
  <si>
    <t>Tres decue par le Montant de la prise en charge des depassements d honoraires pour une intervention urgente et  necessaire....</t>
  </si>
  <si>
    <t>25/05/2020</t>
  </si>
  <si>
    <t>engue59-89588</t>
  </si>
  <si>
    <t>Pas déçu, je suis à cette mutuelle depuis plus de 10 ans</t>
  </si>
  <si>
    <t>13/05/2020</t>
  </si>
  <si>
    <t>secri74-89416</t>
  </si>
  <si>
    <t>Suite à mon appel, ma téléconseilllère a su répondre à mes demandes, clairement et professionnellement. Très agréable en ligne et très claire.</t>
  </si>
  <si>
    <t>06/05/2020</t>
  </si>
  <si>
    <t>laualex-89386</t>
  </si>
  <si>
    <t xml:space="preserve">Chez la MGP depuis 9 ans, toujours satisfaite de leur service, même si il y a des problèmes de gestion ou autre, tout est toujours résolu rapidement. </t>
  </si>
  <si>
    <t>05/05/2020</t>
  </si>
  <si>
    <t>polair14-89083</t>
  </si>
  <si>
    <t>Joignable durant les horaires les plus creux sinon attente assez longue</t>
  </si>
  <si>
    <t>23/04/2020</t>
  </si>
  <si>
    <t>snoop-89062</t>
  </si>
  <si>
    <t>professionnelle a l'ecoute et sachant repondre aux questions</t>
  </si>
  <si>
    <t>22/04/2020</t>
  </si>
  <si>
    <t>applemat-87837</t>
  </si>
  <si>
    <t>IMPOSSIBLE A CONTACTER, cette mutuelle est le régime obligatoire/ caisse sécu des policiers nationaux français, donc pas le choix que de passer par MGP. RECRUTEZ DU PERSONNEL SVP, votre site web indique:
150 conseillers spécialisés, répartis sur l'ensemble du territoire au sein de 16 agences.
COMBIEN D'ENTRE EUX REPONDENT AU TELEPHONE ???</t>
  </si>
  <si>
    <t>02/03/2020</t>
  </si>
  <si>
    <t>loule-87399</t>
  </si>
  <si>
    <t>Je suis adhérent à cette mutuelle depuis plus de 50 ans ,j'en ai été le délégué durant des années j'ai été initié à cette fonction par les membres fondateurs de cette mutuelle et je suis fier d'avoir aidé  collègues lorsque j'ai eu à le faire mais depuis quelques années,je suis scandalisé de voir ce que nous avions créé est devenu en particulier pour les plus anciens abandonnés par les responsables actuels qui pensent sans doute que les papis et mamies dont certains sont centenaires doivent s'adapter sans aucune aide aux contraintes technologiques de notre temps,ma foi ça pourrait se comprendre si le fonctionnement de la mutuelle était satisfaisant mais ce n'est pas le cas si je me réfère aux difficultés que je rencontre pour obtenir des renseignements sur un remboursement non effectué à ce jour.</t>
  </si>
  <si>
    <t>20/02/2020</t>
  </si>
  <si>
    <t>donadi-86939</t>
  </si>
  <si>
    <t>Je suis venu chez vous à 25 ans j'en ai 68 ,je suis très mécontent je viens de passer demi-heure à essayer de vous avoir par téléphone,peine perdue je trouve cela INADMISSIBLE nous ne sommes que des vaches à lait,je sais ce qu'il me reste à faire à bon entendeur salut</t>
  </si>
  <si>
    <t>10/02/2020</t>
  </si>
  <si>
    <t>on18-79530</t>
  </si>
  <si>
    <t>Je suis directeur à la Protection judiciaire de la jeunesse. J'ai pris attache à la MGP afin d'établir un devis. Commercial très agressif qui refuse de me donner les éléments.
A fuir</t>
  </si>
  <si>
    <t>bb13-76271</t>
  </si>
  <si>
    <t xml:space="preserve">Bonne mutuelle dans l'ensemble, service de rappel utile, le prix ne sont pas au top niveau concurrence mais ca reste intéressant rapport qualité </t>
  </si>
  <si>
    <t>27/05/2019</t>
  </si>
  <si>
    <t>mimi-76022</t>
  </si>
  <si>
    <t>rien à ajouter si ce n'est que je suis client depuis mon entrée dans la Police.Nationale en 1973 !..................................</t>
  </si>
  <si>
    <t>17/05/2019</t>
  </si>
  <si>
    <t>deep-66502</t>
  </si>
  <si>
    <t>Mon épouse a cotisée durant 27 ans à la MGP sans avoir un seul jour de maladie et sans jamais a avoir besoin du moindre médoc. Trois ans après être en retraite, elle a déclarée une maladie rare et orpheline. Nos problèmes avec la MGP vont commencer. Alors qu' elle se trouve depuis trois mois en hospitalisation à plus de 800 kms du domicile, nous apprenons que la demande d' ALD avec le protocole de soins n'a pas été reçue par la MGP !! - le service social du CHU de Dijon a transmis les documents à la MGP Dijon pour transmission au médecin conseil de notre domicile via la MGP Créteil - et ce chassé croissé va durée plus de 10 mois.Pour finalement recevoir un courrier nous apprenant que mon épouse n'a pas une maladie, mais qu'elle a été victime d'un accident du travail. Depuis nous sommes blacklisté dès que nous téléphonons, plus aucune réponse à nos courriers avec LR avec AR.
Nous nous sommes retourné vers le TASS, mais il faut compter plus de trois ans pour qu'un jugement soit prononcé. En attendant l'état de santé de mon épouse s'est fortement dégradé en l'absence de soins adaptés.</t>
  </si>
  <si>
    <t>31/08/2018</t>
  </si>
  <si>
    <t>anneso-65970</t>
  </si>
  <si>
    <t>PLUS QUE DECUE!
Accouchement le 1er Juillet, j'ai transmis le reçu sur avance et bulletin de situation car j'ai avancé les frais de la chambre (200euros), j'ai reçu deux courriers de deux personnes différentes (ils sont tellement bien coordonnés à la MGP que pour un courrier envoyé: 2 personnes le gèrent et après on s'étonne de la lenteur de traitement des dossiers...) me disant que je dois leur transmettre les actes réalisés, le montant et le taux de remboursement pour être prise en charge! SAUF qu'il s'agit d'une prestation mutuelle et non sécurité sociale! et la MGP insiste lourdement pour avoir cela! La maternité n'a jamais vu cela et n'a rien d'autre à donner en papiers puisqu'elle a donné le nécessaire.
On m'a compté des frais de participation forfaitaire et retenues à partir de mon 6ème mois de grossesse et fait une récupération pour certaines après (ILLEGAL, et ce, confirmé par autre mutuelle et avocat!), et j'en passe! 
Recours juridique en cours auprès du TGI de CRETEIL!</t>
  </si>
  <si>
    <t>03/08/2018</t>
  </si>
  <si>
    <t>audrey38-65740</t>
  </si>
  <si>
    <t>déçue ..cliente depuis 1996..j'ai vu la qualité  des prestations baisser..si bien que pour le taux de rbt c certains actes..j'ai du prendre une 2ème mutuelle.. (conseil donné  par le conseiller mgp..qd même.  Bref. .maintenant que j'ai cette sur.complémentaire..sur des actes non remboursés par la mgp.il me fait à chq fois une attestation de non  rbt. .que je n'arrive jamais à avoir. .a croire  qu'ils en font exprès. . la c'est  décidé je vais quitter  la mgp..marre de me battre pour obtenir une simple attestation. .</t>
  </si>
  <si>
    <t>25/07/2018</t>
  </si>
  <si>
    <t>choupy92-63875</t>
  </si>
  <si>
    <t>Policier actif bientôt en retraite et adhérente depuis plus de 35 ans, je suis très déçue de la MGP depuis quelques années. La qualité baisse ainsi que les remboursements, les cotisations augmentent. Beaucoup de souci pour se faire rembourser des frais de kiné prescrits après une opération d'un genou en avril 2017 pas encore solutionné.</t>
  </si>
  <si>
    <t>09/05/2018</t>
  </si>
  <si>
    <t>vivijean-61622</t>
  </si>
  <si>
    <t xml:space="preserve">Depuis octobre 2017 j'attends mes remboursements de transport . Je rappelle que je suis en A L D à cent pour cent pour ma maladie neurologique , que je suis handicapé et que jusqu'à présent j'étais remboursé sans problème et que tous les 4 mois je dois recevoir des soins spécifiques à 90 kms de mon domicile. J'ai écrit au directeur de la M G P et à ce jour je n'ai toujours pas de réponse!!! je suis adhérent à cette mutuelle depuis 1975!!   </t>
  </si>
  <si>
    <t>21/02/2018</t>
  </si>
  <si>
    <t>bandicop-60779</t>
  </si>
  <si>
    <t>Je suis à la MGP et franchement la seule fois où je les appelle je tombe sur une c******e avec l accent du Sud qui me répond "VOUS TROUVEREZ VOTRE REPONSE DANS LES CONDITIONS GENERALES DU CONTRAT" alors que je demandais un renseignement chiffré!! lorsque j indique que l'ophtalmo m'a délivré une ordonnance mais que j ignore s il y a 1 ou 2 corrections elle me fait comprendre que je suis un abruti! sur un simple coup de fil la MGP j ai compris que je devais regarder ailleurs!  sachant qu au vu du remboursement ptique annoncé ce jour est beaucoup moins élevé que celui lors de la signature du contrat! bye bye la MGP !!</t>
  </si>
  <si>
    <t>24/01/2018</t>
  </si>
  <si>
    <t>nino33-36765</t>
  </si>
  <si>
    <t>La MGP n'arrive plus à gérer ses adhérents, plan social économique en 2017 avec plus de 80 salariés licenciés et plus de la moitié des agences fermées.
Les salariés s'en vont les uns après les autres les cotisations augmentent, relations adhérents catastrophiques</t>
  </si>
  <si>
    <t>31/12/2017</t>
  </si>
  <si>
    <t>pigeon-voyageur-57573</t>
  </si>
  <si>
    <t>Mon beau père était assuré chez MGP. Nous avons fait les formalités pour toucher le capital décès et l'allocation obsèques. 
Pas possible de joindre le service qui gère le dossier, pas possible de leur transmettre de documents, pas de réponses à part "attendez" et "c'est le service qui gère"</t>
  </si>
  <si>
    <t>25/09/2017</t>
  </si>
  <si>
    <t>mamanp-55742</t>
  </si>
  <si>
    <t>adhérente depuis 1979 depuis 5 ans c'est la catastrophe perte de documents malgré plusieurs envois désagréables au téléphone on regrette nos agences locales je vais en partir avant la retraite y en a marre</t>
  </si>
  <si>
    <t>30/06/2017</t>
  </si>
  <si>
    <t>semtex31200-53525</t>
  </si>
  <si>
    <t>L'agence de Toulouse est souvent fermée les Après-midi donc on se déplace pour rien mais c'est toujours exceptionnel. Le personnel est de moins en moins compétent . je pense que que de grandes réformes sont à opérer sinon bon nombre d'adhérents vont déserter (moi le premier. Mon épouse à son départ en retraite est partie ailleurs ° Les remboursements commencent à traîner. En continuant sur de telles bases la fin de cette mutuelle est entrain de se programmer</t>
  </si>
  <si>
    <t>23/03/2017</t>
  </si>
  <si>
    <t>hd-51696</t>
  </si>
  <si>
    <t xml:space="preserve">Je ne connais pas pire mutuelle que la MGP. J'ai quitté INTERIALE pour la MGP Au 1er janvier 2016. Depuis mon adhésion aucun changement n'a été effectué auprès d'interiale. Suite à ce manque de sérieux et de professionnalisme de la part de la MGP cela fait un an que je suis toujours chez interiale pour le régime sécurité social. 
Le pire c'est que depuis un an MGP n'a jamais jouée son rôle de mutuelle car sur toute les prestations je n'ai jamais été remboursé de la part mutuelle. 
Par contre pour le débiter de ma cotisation mensuel ça pas d'oubli. 
Je déconseille fortement cette mutuelle à toutes personnes qui voudraient y adhérer. </t>
  </si>
  <si>
    <t>26/01/2017</t>
  </si>
  <si>
    <t>didlout-51549</t>
  </si>
  <si>
    <t>Adhérent pendant trente ans, il s'avère difficile d'obtenir une résiliation sans heurt. Impossible d'obtenir un état des sommes dues, seulement un commandement à payer des sommes indues; Mon départ est du à des erreurs répétées concernant les prestations et services. L'accueil téléphonique est courtois mais reste systématiquement sans effet - "un conseiller vous rappellera". Résultat courriers multiples en LRAR et obtsination de la MGP 
- Mutuelle à fuir avant d'ahérer ..;</t>
  </si>
  <si>
    <t>22/01/2017</t>
  </si>
  <si>
    <t>diidyn21-139699</t>
  </si>
  <si>
    <t xml:space="preserve">Bonjour
Depuis plusieurs jours impossible d'aller sur le site. J'ai besoin transmettre des documents poir un remboursement urgent !! J'espère que la mutuelle à pas déposé le bilan.
Meecibpar avance de tenir au courant les adhérents.
Cordialement </t>
  </si>
  <si>
    <t>APRIL</t>
  </si>
  <si>
    <t>alicia-c-138734</t>
  </si>
  <si>
    <t xml:space="preserve">Je suis satisfaite du service,
J'ai déjà eu à faire à vos service en 2018 2020.
Votre service téléphonique et réactif et performant. Les conseillers sont géniaux.
Je vous recommande auprès de mon entourage </t>
  </si>
  <si>
    <t>02/11/2021</t>
  </si>
  <si>
    <t>eric-m-138705</t>
  </si>
  <si>
    <t xml:space="preserve">simple rapide et efficace 
a voir au niveau des remboursements mais j y croit 
je recommande april leur cotisation son raisonnable pour une bonne mutuelle </t>
  </si>
  <si>
    <t>jaelle--a-138537</t>
  </si>
  <si>
    <t xml:space="preserve">Je suis satisfaite de votre agence de mutuelle j'espère ne pas être déçu de votre part merci de votre compréhension et votre confiance à bientôt monsieur ou madame </t>
  </si>
  <si>
    <t>29/10/2021</t>
  </si>
  <si>
    <t>fuad-h-138497</t>
  </si>
  <si>
    <t xml:space="preserve">les tarifs sont  vraiment bons à voir maintenant comment je serai remboursé en fonction de me besoins.
Si par ailleurs je besoin de changer de formule votre comparateur est vraiment facile d'utilisation
</t>
  </si>
  <si>
    <t>28/10/2021</t>
  </si>
  <si>
    <t>tatiane-n-138361</t>
  </si>
  <si>
    <t xml:space="preserve">je suis satisfaite des services, prix abordables, en espérant que tout fonctionnera et que je serais rembourser assez vite. en étant étudiante je n'ai pas les moyens de payer mes soin à 100%. </t>
  </si>
  <si>
    <t>shan-g-138322</t>
  </si>
  <si>
    <t>niquel, le conseiller au téléphone a été sympa et nous sommes convaincus que nous avons fait le bon choix. Je vous remercie encore :)
a très bientôt,
Cordialement</t>
  </si>
  <si>
    <t>26/10/2021</t>
  </si>
  <si>
    <t>georges-wilfried-a-138314</t>
  </si>
  <si>
    <t>Satisfait très rapide je reçois ma carte de mutuelle par courrier ?merci de me tenir au courant par téléphone où par mail j'espère avoir une réponse rapide</t>
  </si>
  <si>
    <t>killian-m-138274</t>
  </si>
  <si>
    <t>Votre formulaire d'adhésion est nul. Il ne fonctionne pas, j'ai passé plus de 1h30 pour remplir un formulaire sensé prendre "moins de 5 min". Sinon le prix proposé avec la couverture est parfait !</t>
  </si>
  <si>
    <t>francois--l-138094</t>
  </si>
  <si>
    <t xml:space="preserve">La prise en compte pour s'assurer très très rapide satisfaite de la rapidité pour s'assurer très bonne prise en compte très très contente merci pour tout </t>
  </si>
  <si>
    <t>25/10/2021</t>
  </si>
  <si>
    <t>el-anziz-m-138174</t>
  </si>
  <si>
    <t>Je suis bien satisfait des conditions très bien expliquer et je conseillerais à un proche de demander le même assurance c'est le début mais pour moi ça me va.</t>
  </si>
  <si>
    <t>24/10/2021</t>
  </si>
  <si>
    <t>alain-j-138125</t>
  </si>
  <si>
    <t>SATISTAIT DU SERVICE PROPOSE
BON RAPPORT QUALITE / PRIX
JE RECOMMANDE VIVEMENT CETTE ASSURANCE
PLEINE SATISFACTION DE CE CONTRAT
A BIENTOT SATISFAIT SATISAIT</t>
  </si>
  <si>
    <t>23/10/2021</t>
  </si>
  <si>
    <t>margo-l-138042</t>
  </si>
  <si>
    <t>Très satisfaite du service en ligne !
Prix satisfaisant  !
Démarche simple et rapide !
Recommandé par une amie !
Apparemment remboursement très rapide !</t>
  </si>
  <si>
    <t>22/10/2021</t>
  </si>
  <si>
    <t>chokri-r-138026</t>
  </si>
  <si>
    <t xml:space="preserve">application facile a utiliser
les prix sont vraiment  correct
pratique a faire
ne prend que quelques minutes pour remplir les informations vraiment simples a trouvet
</t>
  </si>
  <si>
    <t>denis-d-137893</t>
  </si>
  <si>
    <t xml:space="preserve">Très satisfaite de la mutuelle j’ai connu cette mutuelle part une tiers personne et très contente de connaître tous sa et espère être très bien couverte </t>
  </si>
  <si>
    <t>20/10/2021</t>
  </si>
  <si>
    <t>steven-f-137858</t>
  </si>
  <si>
    <t>Super génial une assurance qui va vite malheureusement caurait était cool d'été assuré le Jour même.mais bon on ne peux pas tout avoir. Merci pour ce contrat expresse</t>
  </si>
  <si>
    <t>virginie-l-137695</t>
  </si>
  <si>
    <t xml:space="preserve">Je suis tres satisfaite de la rapidité et du prix de mon contrat les prestations sont parfaites pour ma famille et moi même, le site est très bien organisé </t>
  </si>
  <si>
    <t>pat-137556</t>
  </si>
  <si>
    <t>J ai fais la connaissance de votre mutuelle dans le cadre d un contrat d entreprise ,je suis  satisfaite de vos services que j ai  constater lors de mes dernieres interventions chirurgicales je continue donc avec un contrat similaire en individuel 
Cordialement</t>
  </si>
  <si>
    <t>maelle-l-137436</t>
  </si>
  <si>
    <t xml:space="preserve">Je suis pas satisfaite de la date de début du contrat car il est écrit dans votre CG que l'adhésion se fait dès le lendemain de la souscription. Les prix sont correct pour un contrat basic. </t>
  </si>
  <si>
    <t>jordan-m-137343</t>
  </si>
  <si>
    <t xml:space="preserve">A voir sur le long terme.mais pour le moment ras souscription rapide la mutuelle a l’air de bien remboursé car mon ancienne ne répondais pas à mes attentes. </t>
  </si>
  <si>
    <t>nicolas-b-137274</t>
  </si>
  <si>
    <t>simple et pratique adhésion 100% en ligne tarif compétitif avec une bonne modulation des garanties merci pour la rapidité et intuitivité de la démarche</t>
  </si>
  <si>
    <t>melissa--d-136919</t>
  </si>
  <si>
    <t xml:space="preserve">je suis satisfait de votre service  
merci pour les informations et votre service pour aider vos clients a souscrire a une mutuelle santé. les prix sont très abordables </t>
  </si>
  <si>
    <t>aude-c-136828</t>
  </si>
  <si>
    <t>Je suis satisfaite du service. Juste à savoir comment je reçois ma carte de mutuelle, si je reçois par mail ou par courrier. Ça serait mieux par mail comme cela je peux l imprimer</t>
  </si>
  <si>
    <t>09/10/2021</t>
  </si>
  <si>
    <t>david-a-136814</t>
  </si>
  <si>
    <t>je suis satisfait du service, c'est parfait et pas cher. l'adhésion est très simple et clair tout est bien expliqué. La signature électronique est parfaite</t>
  </si>
  <si>
    <t>stephanie-l-136646</t>
  </si>
  <si>
    <t xml:space="preserve">NICKEL 
Rapide et efficace
Facilite de souscription
Les garanties sont meilleures et pour un moindre coute 
Je recommande a cent pour cent
Merci april
</t>
  </si>
  <si>
    <t>dipayen-y-136563</t>
  </si>
  <si>
    <t xml:space="preserve">Je souhaiterais être couverte à compter du 8 octobre 2021car j'en ai besoin aujourd'hui c'est très important pourriez vous m'envoyer mon assurance couverture par mail ce matin cordialement </t>
  </si>
  <si>
    <t>laetitia-g-136068</t>
  </si>
  <si>
    <t>Je suis satisfait du tarif et de la rapidité des explications et des informations données. 
Reste à voir sur la durée si ça se déroulera bien... 
A suivre</t>
  </si>
  <si>
    <t>sandrine-l-135625</t>
  </si>
  <si>
    <t>Bonjour, pour le moment je suis satisfaite de l'approche du service à voir avec le temps si besoin je retournerai sur le site .
Cordialement Mme Dadine</t>
  </si>
  <si>
    <t>02/10/2021</t>
  </si>
  <si>
    <t>michelle-a-135530</t>
  </si>
  <si>
    <t xml:space="preserve">Je suis tres satisfaite et du devis et du prix qui ma ete proposer. Rapide simple tres bien expliquer le site et tres bien représenter je suis deja assure. </t>
  </si>
  <si>
    <t>grey-x-135339</t>
  </si>
  <si>
    <t xml:space="preserve">Satisfait  bon tarifs rapides et efficaces perseverez bon travail ne rien lacher accepter les pauvres ne pas avoir de prejuges faire preuve d humanite </t>
  </si>
  <si>
    <t>30/09/2021</t>
  </si>
  <si>
    <t>yasmina-m-135279</t>
  </si>
  <si>
    <t>Je ne sais pas encore je n'ai pas testé car je viens de prendre ce contrat, je laisserai un avis plus objectif dans quelques mois mais dommage qu'il faille absolument laisser un avis des la signature du contrat</t>
  </si>
  <si>
    <t>sylvia-r-135177</t>
  </si>
  <si>
    <t xml:space="preserve">Facile rapide c'est parfait niveau souscription merci beaucoup pour votre aide et de m'avoir bien conseiller je vous recommande vivement à très bientôt </t>
  </si>
  <si>
    <t>florian-f-134975</t>
  </si>
  <si>
    <t>Je suis très satisfait notamment concernant d’efficacité d’inscription en ligne via la plate-forme April, mais aussi au niveau des prix les plus attractifs du marché.</t>
  </si>
  <si>
    <t>younes-mehdi-d-134871</t>
  </si>
  <si>
    <t xml:space="preserve">Satisfait des prix , et des services compris t très rapide, ludique simple dacsait je le recommande à mes amis et ma famille le délai de remboursement est rapide </t>
  </si>
  <si>
    <t>toulousain-100003</t>
  </si>
  <si>
    <t>Les mutuelles se sont engagées auprès du gouvernement à ne pas augmenter ni répertorié le reste à charge.
Comme d'habitude des paroles en l'air, aucun acte.
Résultat augmentation des cotisations!!!</t>
  </si>
  <si>
    <t>31/05/2021</t>
  </si>
  <si>
    <t>willy-114798</t>
  </si>
  <si>
    <t xml:space="preserve">Très mauvais mutuelle 
J'ai des options niveau 5 et 0 remboursements ne prise en charge malgré que c'est noté dans les options.
Une mutuelle à éviter </t>
  </si>
  <si>
    <t>25/05/2021</t>
  </si>
  <si>
    <t>tessa-114027</t>
  </si>
  <si>
    <t>J'ai été démarchée par deux conseillers April pour mes parents âgés. Tarifs attractifs, mais néanmoins j'ai voulu revoir les prestations pour des soins dentaires (implants). Ils tergiversent tous les deux depuis le mois de mars... Résultats : j'ai perdu 3 mois, ils m'ont menée en bateau. Mdr ! suis allée chez un concurrent, et j'ai convenu le jour même suite au devis soumis et à leur écoute ! Une horreur s'est deux conseillers de chez April, à croire qu'ils n'ont pas besoin de clients.... Bref, ravie de ne pas avoir contracté avec eux vu les avis...</t>
  </si>
  <si>
    <t>17/05/2021</t>
  </si>
  <si>
    <t>joelle-112325</t>
  </si>
  <si>
    <t>pas satisfaite du tout car depuis mon adhésion je n'ai reçu aucun remboursement 
et ce n'est pas forcement le contrat le plus abordable 
aucun contacts et interlocuteur 
seul compte l'encaissement des mensualités</t>
  </si>
  <si>
    <t>vito-111372</t>
  </si>
  <si>
    <t>Horrible. Ne rembourse pas les soins dentaires, alors que c'est censé être une obligation légale. (Reste à charge zéro) Je vous déconseille très déformement !</t>
  </si>
  <si>
    <t>23/04/2021</t>
  </si>
  <si>
    <t>viky-7464</t>
  </si>
  <si>
    <t xml:space="preserve">Pas très compétitif et en plus  des remboursements incompréhensibles très déçus de cette mutuelle !!!! j'espère trouver mieux dans les plus bref délais </t>
  </si>
  <si>
    <t>juju-106460</t>
  </si>
  <si>
    <t xml:space="preserve">Voilà déjà 1 mois que j attends de la part d April le remboursement de frais de séances de kinésithérapie, la CPAM a effectué le remboursement de sa part en 2 jours et leur a transmis les informations; Je leur ai écrit un mail il y’a une semaine pour savoir ce qu’il en était et aucune réponse, malgré un accusé de réception automatique, indiquant une réponse dans les meilleurs délais.
Depuis j ai eu d autres frais à avancer, tous remboursés en partie par la cpam et rien de leur part; il y en a en tout entre 100€ et 150€, ce qui représente un manque non négligeable dans mon budget mensuel!!
Par contre sur internet ils affirment effectuer des remboursements sous 48h! Quel décalage!!
Ce qui est sûr c’est que les cotisations, elles, continuent d augmenter, et sont prélevées en temps et en heure pas de soucis!
</t>
  </si>
  <si>
    <t>seyfrid-104402</t>
  </si>
  <si>
    <t xml:space="preserve">A fuir! Cela fait bientôt 3 mois que mon dossier n'est pas à jour! Des vrais charlots. Et quel galère pour avoir quelqu'un en ligne au téléphone. Beaucoup de promesses mais aucune tenue !
</t>
  </si>
  <si>
    <t>le-creole--102206</t>
  </si>
  <si>
    <t xml:space="preserve">Assurance à fuir ! Les 2 premières années je présente juste mes rappels de vaccination, tout va bien ... Puis il y a 2 ans, je leur envoie la même facture annuelle par le même vétérinaire, ils me refusent le remboursement, arguant que « rappel de vaccination » ne leur dit pas de quels vaccins il s’agit, et que je ne peux donc bénéficier de mon « forfait prévention » ... Soit, mon véto refait la facture en détaillant les vaccins, et oh surprise, la toux du chenil n’est plus prise en compte, du coup ils ne remboursent que 44€ ... Euh, un forfait prévention, quand il est défini comme tel, rembourse ... la prévention, toux du chenil incluse messieurs dames de chez April ... Mais bon, l’année suivante je renvois ma facture ANNUELLE de rappel de vaccins, en détaillant les vaccins, sait on jamais ... et refus, car j’aurai déjà utilisé mon forfait ... bah oui, l’année d’avant puisqu’il s’agit d’un rappel ANNUEL ... Je leur mets le nez dedans, ils consentent à me rembourser, moins la toux du chenil bien sûr ... Ça a été la goutte d’eau qui m’a fait résilier à l’appel de cotisation suivant. Quand chez SantéVet ou Jim&amp;Joe on rembourse 50€ par an en forfait prévention quand ils reçoivent la facture « rappel de vaccination » sans tortiller des fesses  ... 
Bref, À FUIRE !!!! </t>
  </si>
  <si>
    <t>christa-101607</t>
  </si>
  <si>
    <t xml:space="preserve">Demarche totalement abusive .reçu  aucun dossier de souscription ni dématérialisé  ni autre .aucune signature .ni utilisation d un code signature .
Pourtant je reçois 1 carte d assuré  et un avis à prelevement .
Cette démarche abusive vaut d être dénoncé  . April à éviter absolument. </t>
  </si>
  <si>
    <t>18/12/2020</t>
  </si>
  <si>
    <t>christelle--100980</t>
  </si>
  <si>
    <t xml:space="preserve">Super mutuelle
Au niveau rapport qualité prix super cela est en fonction de nos moyen, de notre fonction. 
Jr n'est rien à dire sur cette mutuelle. Merci </t>
  </si>
  <si>
    <t>04/12/2020</t>
  </si>
  <si>
    <t>manorina-100382</t>
  </si>
  <si>
    <t xml:space="preserve">Suite à ma séparation puis au décès de mon mari , j'ai dû changer mon contrat APRIL . Du coup tout est reparti de zéro . or pour l'optique que je n utilise que modérément on refuse de m'appliquer le tarif réservé aux anciens clients . par ailleurs je suis à 100% pour  les frais médicaux donc je ne leur coûte pas cher . Aucune négociation possible après des années de contrats pour 2 et La prime est chère 133euros par mois ! </t>
  </si>
  <si>
    <t>20/11/2020</t>
  </si>
  <si>
    <t>marion-100060</t>
  </si>
  <si>
    <t>L'agence de Vienne (Isère) ayant été fermée il m'a été impossible de joindre une personne au téléphone capable de me fournir ma carte verte qui aurait dû m'être envoyée au moins 15 jours avant l'échéance et à ce jour je n'ai toujours rien reçu. J'ai appelé les 2 numéros qui sont inscrits emon contrat et l'un est une plateforme située à l'étranger et ils m'ont dit qu'ils ne pouvaient rien faire et l'autre c'est un numéro à Lyon que j'ai appelé aussi et  j'ai eu la même réponse. En insistant un peu la personne  qui m'a répondu à fait quelques recherches et devait m'envoyer mes documents par mail et courrier. A ce jour je n'ai toujours rien reçu. Je fais donc des devis pour prendre une autre assurance. Donc je ne recommande pas du tout cette assurance.</t>
  </si>
  <si>
    <t>13/11/2020</t>
  </si>
  <si>
    <t>johnlobb-16306</t>
  </si>
  <si>
    <t>Bonjour.
Je suis client April depuis 4 ou 5 ans pour ma complémenyaire santé. Je paye 320 euros par mois, vous avez bien lu. Je reçois un jour une publicité April pour faire un devis complémentaire santé, amusant. Je fais la simulation, pour les mêmes garanties on me propose un tarif de 198 euros mensuels.
J'écris au service clients qui déjà me répond avec un mail automatique "Nous vous répondrons dans les 2 mois"... Sidérant.. Je viens de recevoir une réponse de la "Responsable Relation Clients Santé" et voici ce quon me dit :
"Je regrette de ne pouvoir donner une suite favorable à votre demande de révision des cotisations et ce après une étude du dossier.
Soyez assuré que celles-ci sont calculées au plus juste. Je regrette le traitement tardif de votre demande."
Je vais bien sûr aller voir ailleurs où les prix sont deux fois moins chers.
Ce monde est dingue !!</t>
  </si>
  <si>
    <t>11/11/2020</t>
  </si>
  <si>
    <t>danyfr93-99790</t>
  </si>
  <si>
    <t>bonne societe de ces 2années de moi de ce groupe mais 2021 tres cher de ne pas etre de moi encore et avoir recu de message ce jour disant plus en dessous de 70eu /et avoir fait un AR de résiliation avec un peu de retard mais de faire cette demande de CB de pas de débit en janvier 2021 PAS utile de m'appeler si ces frais dépasse 68eu sur 12mois tres cher aux dessus /</t>
  </si>
  <si>
    <t>07/11/2020</t>
  </si>
  <si>
    <t>messence--99724</t>
  </si>
  <si>
    <t>très bon rapport qualité prix et remboursé rapidement et réponse à toutes questions au telephone rapide et très competent et aimable RAS je recommande cette mutuelle</t>
  </si>
  <si>
    <t>06/11/2020</t>
  </si>
  <si>
    <t>aucun-98537</t>
  </si>
  <si>
    <t>je suis trés mécontent de cette mutuelle qui n'oublie pas les prélévements mensuels mais qui rembourse quand elle a le temps et méme PAS du tout. J'attends un remboursement depuis juillet????</t>
  </si>
  <si>
    <t>09/10/2020</t>
  </si>
  <si>
    <t>patsad-97736</t>
  </si>
  <si>
    <t xml:space="preserve">Mutuelle que je ne conseille pas.  Des frais de gestion aléatoires sont prélevés à chaque remboursement de cette mutuelle.  Jamais le même montant pour la part mutuelle de 7€50 d'une visite médicale. </t>
  </si>
  <si>
    <t>23/09/2020</t>
  </si>
  <si>
    <t>taloueric-97485</t>
  </si>
  <si>
    <t>Pas de clarté au niveau des remboursements .soit disant une reduction de 8% .au depart du contrat .mais 2 euros debiter pour chaque acte (medecin 2 ,€pharmacie 2 euros en moins sur chaque remboursement  .</t>
  </si>
  <si>
    <t>16/09/2020</t>
  </si>
  <si>
    <t>didine-12176</t>
  </si>
  <si>
    <t xml:space="preserve">Une assurance en dessous de tout. Qui rembourse ce qu'elle veut quand elle le veut. Qui plus est c une assurance qui rembourse sur facture ou pas. Comme si lorsque l'on tombe malade on demande une facture. On paie et on attend le remboursement. Heureusement que la SS ne fait pas la même chose car bonjour la déforestation !On est loin des 48h du contrat. Pour les avoir c pire qu'appeler le Saint Père et quand on les a c'est bla bla bla et rien au bout. Je bloque ma prochaine mensualité et je résilie dans la foulée. </t>
  </si>
  <si>
    <t>karazen-88655</t>
  </si>
  <si>
    <t xml:space="preserve">Je suis assuré depuis juillet 2019, et je peux affirmer que cette mutuelle ne vaut pas mieux que les autres.
Je demande, fin novembre 2019, via mon espace assuré, de basculer du niveau 4 (75,83 Euros/mois) vers le niveau 2 (44,06 Euros/mois). Je constate, en janvier 2020, que ma demande n'est pas prise en compte puisque on continnue à me prélever le montant correspondant au niveau 4. Je contacte par téléphone mon interlocutrice du cabinet Proassur qui m'affirme qu'on va corriger cette erreur et me rembourser la différence. Je constate plus tard que je suis toujours prélevé des 75 Euros et qq. Je fais opposition à ce prélèvement, et je reçois de suite un appel du service financier me demandant de régler ma cotisation tout en précisant que cet appel est enregistré. Je dis que je refuse de régler la cotisation tant que ma demande de basculer du niveau 4 vers le niveau 2 n'est pas prise en compte, et tant que je ne suis pas remboursé de la différence. J'essaie de joindre au téléphone le service de gestion de mon contrat ; ni la mutuelle ni le cabinet Proassur ne répondent. J'envoie alors des messages de réclamation, qui restent sans suite.
Quelques semaines après, je reçois un courrier postal de la mutuelle me disant que ma demande n'a pas été prise en compte. Je fais de nouveau plusieurs réclamations, auprès de la mutuelle et du cabinet Proassur. Je reçois de nouveau un autre courrier disant que ma demande a finalement été prise en compte, à condition que je règle les cotisations des mois de janvier à mars, et que le passage du niveau 4 au niveau 2 ne peut être effectif qu'à partir du mois d'avril, alors qu'il était convenu tout le contraire !
Je reçois aujourd'hui même, le 02 avril 2020, plusieurs appels du service financier me disant que je suis mis en demeure et que sans règlement de mes cotisations mon dossier passera en contentieux !!!
</t>
  </si>
  <si>
    <t>02/04/2020</t>
  </si>
  <si>
    <t>almart-87617</t>
  </si>
  <si>
    <t xml:space="preserve">Contacts au depart tres chaleureux et accueuil ouvert et clair attention ce n est que le debut accrochez vous
</t>
  </si>
  <si>
    <t>mr-87444</t>
  </si>
  <si>
    <t xml:space="preserve">J'ai bien expliqué à mon interlocuteur chez APRIL que j'ai besoin des specialists et des interventions pour mon genou.  Il m'a assuré que l'option de couverture qu'il m'a recommandée sera adapté à mes besoins de soins et que je serai entièrement remboursé.  Or, visiblement, il n'avait pas tenu compte de ce besoin, car pour le premier rdv avec mon médecin pour mon genou, il restait beaucoup pour moi à régler.  De plus il a mis l'option pour moi à payer les frais de gestion, sans m'expliquer la consequence de cette option.  Cette option diminue le remboursement a chaque visite au médecin, pharmacie, dentists, ou même aux magasins de lunettes ou des autres prestataire de santé. En ajoutant cela au mauvaise couverture de specialist de genou AVRIL a fini par rembourser seulement 8% de la prestation. Avec cette option, il sera impossible pour moi à avoir l'intervention de soin que je grave besoin, et sans cela, j'ai risque d'être handicapée!  J'était vendu une couverture à une prix bas, mais sans répondre à mes besoins, je fini par perdre la confiance et je me demande quoi autre dans la couverture vendu n'est correspond pas à ce qui a été promis par téléphone!! Je demande pour une résiliation, car il est importante d'avoir la confiance à mon assurer, mais aussi d'avoir une mutuelle qui répond mieux à mes besoins de soins à une prix abordable.  Je demande pour une résiliation, car pour le prix, la couverture n'est pas super. J'étais informé que cela sera compliqué!  Alors, je dois me battre pour sortir de ce contrat qui ne répond pas à mes besoins et qui est déjà très chère.  </t>
  </si>
  <si>
    <t>waffyz-85984</t>
  </si>
  <si>
    <t>Inscrite à la mutuelle pour animaux je n'ai jusqu'alors pas eu de souci. Mais depuis quelques temps aucune réponse à mes mail. Inhoignable aujourd'hui par tel. Retard de remboursements. Appel de cotisations pas clair</t>
  </si>
  <si>
    <t>16/01/2020</t>
  </si>
  <si>
    <t>jimmyhacc-85358</t>
  </si>
  <si>
    <t>Une cata cette mutuel, répond à côté de la plaque quand il s'agit de remboursement. Culture le dossier alors même qu'ils nous disent qu'il manque un élément et donc nous oblige à refaire une demande plutôt qu'à ajouter le document au dossier et le meilleur c'est que le document demander à deja été fournie. Un délai de traitement inadmissible lent long (20 jours pour avoir une réponse honteuse).
Je ne vous la recommande pas du tout et je vais rapidement leur dire au revoir.</t>
  </si>
  <si>
    <t>30/12/2019</t>
  </si>
  <si>
    <t>zodraz-81638</t>
  </si>
  <si>
    <t>bonjour donc si j'ai bien compris si j'utilise ma carte vitale ou tiers payant plusieurs fois dans le mois pour regler mon generaliste,la pharmacie, radios ou analyses j'aurais des frais de gestion cumulés en fin de mois ou pas ?</t>
  </si>
  <si>
    <t>05/12/2019</t>
  </si>
  <si>
    <t>rs-81206</t>
  </si>
  <si>
    <t>excellent fonctionnement administratif , mais retraités, faites gaffe aux évolutions de tarifs !!</t>
  </si>
  <si>
    <t>21/11/2019</t>
  </si>
  <si>
    <t>papa58-80883</t>
  </si>
  <si>
    <t>comment dire un Commentaire ? si ce n'est que c'est une Mutuelle pas sérieuse</t>
  </si>
  <si>
    <t>10/11/2019</t>
  </si>
  <si>
    <t>crition03-80718</t>
  </si>
  <si>
    <t>tout est fait pour ne pas pouvoir résilier facilement , échéancier transmis tardivement . inutile d'appeler pour de l'aide, les conseillères sont contre vous .</t>
  </si>
  <si>
    <t>05/11/2019</t>
  </si>
  <si>
    <t>moi-77365</t>
  </si>
  <si>
    <t>J'ai du quitter April à grand regret pour adhérer à la mutuelle choisie par mon employeur. Je conseille vivement.</t>
  </si>
  <si>
    <t>05/07/2019</t>
  </si>
  <si>
    <t>virgil-76451</t>
  </si>
  <si>
    <t>Attractif pour les garanties et le prix par rapport aux autres mutuelles. Par contre, April passe rapidement sur la clause "euro malin". A chaque télétransmission, 2 euros de frais, ce qui fait que les remboursements vous concernant sont toujours pratiquement nuls. Ce qui est fort, c'est que la télétransmission a été conçu pour faire des économies de papier. Je change de mutuelle dès que possible !!!</t>
  </si>
  <si>
    <t>najoua67-70611</t>
  </si>
  <si>
    <t xml:space="preserve">Depuis que j ai envoyer une lettre de resiliation plus de reponse de leur part ni email ni telephone
Et je viens d apprendre qu ils n ont pas payer 990e suite a mon hispitalisation 
L hopital viens de me dire que apres de multiple relence chez april c est a moi de payer
Je reve C est a April de payer et ils le feront </t>
  </si>
  <si>
    <t>25/01/2019</t>
  </si>
  <si>
    <t>fc-70540</t>
  </si>
  <si>
    <t xml:space="preserve">Lenteur de traitement de dossier pour encaisser une mensualité de plus. Il trouve votre téléphone juste quand vous couper les prélèvements. Et ce cache derrière leurs règlement bravo April ils assures </t>
  </si>
  <si>
    <t>olive-69839</t>
  </si>
  <si>
    <t>A fuir si vous le pouvez. De mauvaise foi, prêt a tout pour ne pas rembourser. Se permettent même d exiger des informations confidentielles médicales quils nont aucunement le droit de demander. Ne paie pas sans jamais se donner la peine dinformer le client HONTEUX</t>
  </si>
  <si>
    <t>03/01/2019</t>
  </si>
  <si>
    <t>annick-69836</t>
  </si>
  <si>
    <t>Qualité de la communication, notamment numérique, qui laisse à désirer. Le tarif qui était attractif lors du démarchage est revalorisé très fortement par la suite : en 2017 + 17 % par rapport à 2016 (1ère année chez April) et le tarif de 2018 subit une nouvelle hausse de 6.62 %, soit bien plus que la moyenne nationale qui serait de 2 à 3 %. Il va de soi que si 2019 devait être de la même veine, je nhésiterai pas à faire jouer la concurrence.</t>
  </si>
  <si>
    <t>fred-69781</t>
  </si>
  <si>
    <t xml:space="preserve">NE REPONDENT ni au téléphone, ni au courrier, ni aux mails.... Quant aux remboursements ils arrivent tard, ou JAMAIS. A FUIR ! Ils payent quelqu un pour vous répondre sur ce site ici mais ne donnent pas suite non plus. J ai 2 amis qui sont venus se plaindre ici.... au moins je mets au courant les internautes </t>
  </si>
  <si>
    <t>31/12/2018</t>
  </si>
  <si>
    <t>marley-69736</t>
  </si>
  <si>
    <t xml:space="preserve">A fuir ! Procédure de résiliation chronophage.
Le service recouvrement (pour réclamer de l'argent)  plus réactif que le service en soi.
Suivez les avis faites l'impasse. </t>
  </si>
  <si>
    <t>28/12/2018</t>
  </si>
  <si>
    <t>pf-67967</t>
  </si>
  <si>
    <t>Je viens de demander l'intervention du tribunal d'instance. APRIL refuse de me verser les indemnites dues j'ai du me soumettre au medecin expert april sur convocation le 16 juillet 3 mois après l'accident expertise baclée pas de consultation ou si peu avec un medecin qui ne vous ecoute pas APRIL dit  devoir donner une reponse 1 mois apres l expertise jai eu relancé par recommande april j'ai recu une photocopie de cette expertise bourrée de fausses informations fin septembre 2018 5 mois après l accident j ai détaille l ensemble des dysfonctionnements indiscutables que j'ai relevé toute reponse un courrier en octobre 2018 qui m annonce que april se donne 30 jours pour reflechir a la situation Je propose aux personnes qui rencontrent ce type de probleme de me contacter par mail fosse-pascal@orange.fr</t>
  </si>
  <si>
    <t>22/10/2018</t>
  </si>
  <si>
    <t>romain-65460</t>
  </si>
  <si>
    <t xml:space="preserve">Je paie 110€/mois, à l'étranger. Suivant la procédure, j'ai pris les photos de mes factures médicales avec mon téléphone, puis j'ai expédié les documents via leur application.
Le lendemain j'ai reçu comme réponse : " non remboursé car nous n'avons pas l'attestation médicale de confidentialité" 
J'aurais nettement préféré pouvoir leur expédier tous mes documents par ordinateur, sans passer par leur application de remboursement qui ne précise pas qu'il faut expédier l'attestation médicale de confidentialité (et qui m'a bien fait perdre mon temps). Je ne suis pas surpris de ce qui m'arrive, je trouvais curieux d'expédier des documents médicaux simplement avec mon portable pour être remboursé sans expédier d'attestation médicale.
J'apprends la procédure de remboursement par sérendipité ??
Du reste, sachez tout de même que j'ai des gonflements dans le cou et que les médecins veulent me faire passer un scanner et une biopsie en urgence. Dans le doute j'ai annulé, car je préfère dépenser mon temps et mon argent pour me faire plaisir désormais ! ?? </t>
  </si>
  <si>
    <t>13/07/2018</t>
  </si>
  <si>
    <t>mech-64996</t>
  </si>
  <si>
    <t>une vrai galère.ne veut pas rembourser les frais d'orthodentie  alors qu'entre moi et mon employeur nous payons plus de 200€ par mois.je Déconseille clairement.</t>
  </si>
  <si>
    <t>22/06/2018</t>
  </si>
  <si>
    <t>liza-63415</t>
  </si>
  <si>
    <t xml:space="preserve">je suis tres contente de cette mutuelle niveau garantie niveau rembourssement je suis satisfaite du service client ils repondent generalement assez vite </t>
  </si>
  <si>
    <t>rcommeruine-61102</t>
  </si>
  <si>
    <t>A fuir. Ne rembourse pas vos soins , ne sait que ponctionner dans votre compte et le jour où il y a le moindre pépin,  il vous envoie des lettres huissiers, harcèlement telephonique et saisie dans vos compte peu importe votre situation. Et vous vous retrouvez à ne même plus pouvoir soigner pour des mois à venir. Une de mes plus grosse erreur de ma vie.</t>
  </si>
  <si>
    <t>03/02/2018</t>
  </si>
  <si>
    <t>nrv-61038</t>
  </si>
  <si>
    <t>Courtier aux méthodes plus que douteuses</t>
  </si>
  <si>
    <t>jennifer-59430</t>
  </si>
  <si>
    <t>J'ai un contrat que je paye déjà de 93€ par mois et on m'a informé d'une augmentation à 103 ou 108€ pour une evolutive 6 mon échéance sera en février je vais résilier et passer à agpm</t>
  </si>
  <si>
    <t>05/12/2017</t>
  </si>
  <si>
    <t>lucag-59025</t>
  </si>
  <si>
    <t>Service client à éviter ! Raccroche au nez de ses assurés !!</t>
  </si>
  <si>
    <t>22/11/2017</t>
  </si>
  <si>
    <t>brunoc-58264</t>
  </si>
  <si>
    <t>Ma mère a souscrit un contrat de complémentaire santé à 100€ par mois par téléphone, sans vraiment s'en rendre compte depuis qu'elle a fait un AVC. Je leur ai exposé le cas alors que le délai de résiliation était largement dépassé, et ils ont annulé le contrat avant le démarrage. Bravo et merci à eux.</t>
  </si>
  <si>
    <t>02/11/2017</t>
  </si>
  <si>
    <t>thierry-40950</t>
  </si>
  <si>
    <t>catastrophique cette société.
Hausse 35% sur un an.
Service client lamentable.</t>
  </si>
  <si>
    <t>omega-57556</t>
  </si>
  <si>
    <t>Bonjour ils sont très longs, à répondre pour les devis et ne répondent. Pas au requêtes quand on a.besoin de renseignements.</t>
  </si>
  <si>
    <t>24/09/2017</t>
  </si>
  <si>
    <t>francine-56682</t>
  </si>
  <si>
    <t>Sans aucun scrupule a démarcher par tel et ensuite à domicile des personnes agées comme ma mère, 92 ans, afin de leur souscrire un futur contrat et résilier leur mutuelle plus avantageuse.Je parle d'abus de faiblesse!! HONTEUX!</t>
  </si>
  <si>
    <t>16/08/2017</t>
  </si>
  <si>
    <t>cam-54106</t>
  </si>
  <si>
    <t>Cette mutuelle refuse la portabilité familiale est m'a envoyé le texte suivant "le maintien de cette couverture ne pourra pas profiter à vos ayants droit, en particulier à votre conjoint et vos enfants qui ne peuvent en effet prétendre au bénéfice de l’article 4 de la loi Evin" Alors que dans le texte de la loi cité par April il est clairement marqué que les conditions de change pas :  (les anciens salariés) ils bénéficient à titre temporaire du maintien de ces garanties.</t>
  </si>
  <si>
    <t>16/04/2017</t>
  </si>
  <si>
    <t>01/04/2017</t>
  </si>
  <si>
    <t>tzeltal-45400</t>
  </si>
  <si>
    <t>April est une bonne mutuelle santé si vous n'avez pas de problème de santé.
Pour le reste, je conseille de les éviter.
Je dois me faire opérer dans trois semaines, et je ne sais toujours pas quel sera le montant de leur prise en charge, malgré deux relances auxquelles ils n'ont pas répondu ni même envoyé un accusé de réception.
De plus, leur simulateur me donne un remboursement dérisoire, alors même que je suis sensé être remboursé à 180 % de la BR de la SECU.
EN bref, je paye près de 40 euros par mois pour de garanties floues et insuffisantes, avec un service client décevant.
Cela va d'ailleurs me conduire à résilier cette mutuelle dès la prochaine échéance.</t>
  </si>
  <si>
    <t>13/04/2017</t>
  </si>
  <si>
    <t>charlesb-53558</t>
  </si>
  <si>
    <t>Nous constatons dans les courriers et courriels d'April que notre mot de passe est rappellé régulièrement, en clair  !
Le service réclamation a été informé mais ne voit pas le problème ! C'est un grave manquement à la sécurité des données des clients. Une honte en 2017.</t>
  </si>
  <si>
    <t>24/03/2017</t>
  </si>
  <si>
    <t>simonet-53347</t>
  </si>
  <si>
    <t xml:space="preserve">Fuyez cette assurance qui n'a aucune ethique: souscription d'une mutuelle santé à des personnes agées qui en possèdent déjà une... et de plus avec signature électronique alors que la personne ne dispose pas d'internet, ni de portable... on se demande comment ils font!!! </t>
  </si>
  <si>
    <t>17/03/2017</t>
  </si>
  <si>
    <t>joe-52990</t>
  </si>
  <si>
    <t>une question
en signant un contrat mutuelle santé  le 31 decembre  . la  compagnie d'assurance peut elle appliquer une augmentation  au 1 er janvier si possible une réponse  par mail  joemartin@yahou.fr</t>
  </si>
  <si>
    <t>04/03/2017</t>
  </si>
  <si>
    <t>leo-gen-50530</t>
  </si>
  <si>
    <t>Assurance à bannir - nous avons cette assurance, car contractée par l'entreprise donc obligatoire (quel dommage !!)</t>
  </si>
  <si>
    <t>21/12/2016</t>
  </si>
  <si>
    <t>bulle-50460</t>
  </si>
  <si>
    <t xml:space="preserve">Bjr,
Je viens de lire dans les avis qu'April n'est pas soumis à la loi Chatel ???  Qu'il y a des tranches d'âge qui s'appliquent au contrat alors que le commercial vient de me dire que non... est-ce juste à la souscription ou tous les ans ?
Je trouve toutes les propositions relativement opaques : on doit penser à poser les bonnes questions à la bonne personne !
A la retraite le 1er janvier 2017, je pensais y souscrire
mais quid du bon contrat et de la bonne personne. 
Le "courtier" paraît toujours parfait au moment de la souscription, sauf que ce n'est plus lui qui gère derrière, si j'ai bien compris au travers des différents avis lus ici ???
April à t’il des bureaux en France, dépend on de la législation française en cas de problème ???
Qui peut me renseigner rapidement ?
Merci d'avance
</t>
  </si>
  <si>
    <t>19/12/2016</t>
  </si>
  <si>
    <t>alex59-139455</t>
  </si>
  <si>
    <t xml:space="preserve">Je déconseille Fortement trop d'attente téléphonique,trop de service, trop de bla bla ça va pas vite sauf pour faire signer et puis t'es la bloqué 1ans je déconseille. </t>
  </si>
  <si>
    <t>Néoliane Santé</t>
  </si>
  <si>
    <t>12/11/2021</t>
  </si>
  <si>
    <t>cbo55-139024</t>
  </si>
  <si>
    <t>Une vraie catastrophe avec cette mutuelle que j'ai prise au 01/01/2021. Les remboursements se font au bout de 3 à 4 semaines par rapport à la date de remboursement de l'Assurance Maladie bien que la télétransmission soit en place, mais à condition d'avoir relancé plusieurs fois. J'ai bien sûr résilié au 31/12/2021. A EVITER !!!!</t>
  </si>
  <si>
    <t>05/11/2021</t>
  </si>
  <si>
    <t>marie84350-138982</t>
  </si>
  <si>
    <t xml:space="preserve">Très à l'écoute et très réactifs. Je recommande cette assurance. Le service clientèle est très facilement joignable et règle immédiatement une réclamation </t>
  </si>
  <si>
    <t>04/11/2021</t>
  </si>
  <si>
    <t>roxy-138857</t>
  </si>
  <si>
    <t>Jai eu Emeline au téléphone pour un problème de télétransmission et elle a pu me renseigner sue ce qui n'allait pas et sur la démarche à suivre. Je suis trés satisfaite.</t>
  </si>
  <si>
    <t>03/11/2021</t>
  </si>
  <si>
    <t>neant-138625</t>
  </si>
  <si>
    <t>Bonjour, nous avons ete reçu par Ramata, qui nous a donnée entiere satisfaction sur toutes les questions que nous lui avons posé ainsi que tous les renseignements demandés.
Contact tres agreable avec cette personne. Merci.Mme Chauveau</t>
  </si>
  <si>
    <t>30/10/2021</t>
  </si>
  <si>
    <t>jacquetti-138483</t>
  </si>
  <si>
    <t>ce jour 28 OCTOBRE j ai telephoné pour une demande de prise en charge j'ai été en relation avec SOKHNA que je remercie? J ai été très satisfaite de son accueil des renseignements que j'ai pu avoir et de son efficacité
Je vous remercie beaucoup</t>
  </si>
  <si>
    <t>miza-138451</t>
  </si>
  <si>
    <t>bonjour
renseignée par Rawane, avec amabilité, a bien répondu à mes demandes au sujet de remboursements qui tardaient à venir.
ses réponses étaient claires.</t>
  </si>
  <si>
    <t>nv-138376</t>
  </si>
  <si>
    <t>Mr Daouda a été à l'écoute de mes demandes et a bien pris le temps de m'y répondre correctement ainsi que de bien m'expliquer comment utiliser le service de demande de remboursement sans perdre patience.</t>
  </si>
  <si>
    <t>mimifit-138197</t>
  </si>
  <si>
    <t>Les remboursements pratiqués par Neoliane ne m'ont pas satisfaite cependant à chaque appel les interlocuteurs sont très courtois et polis en particulier Daouda que j'ai eu au téléphone ce jour et qui à su me renseigner de manière très professionnelle avec beaucoup de patience. Merci Daouda.</t>
  </si>
  <si>
    <t>marie-combabessou-138086</t>
  </si>
  <si>
    <t xml:space="preserve">Je suis satisfaite des garanties proposées par la mutuelle. Ayant contacté le service client à plusieurs reprises, les interlocuteurs sont toujours à l'écoute des demandes et proposent des solutions adaptées. Merci à eux pour leur professionnalisme. </t>
  </si>
  <si>
    <t>djebar76--138067</t>
  </si>
  <si>
    <t xml:space="preserve">Neoliane, c'est une mutuelle qui serve a rien, je me suis inscrit chez neoliane le premie mois ils mon fait un prélèvement normal,  le deuxième mois ils sont prélevée double de ce que mon proposé , es rembourser même pas les frais de médecine, es les pharmacies ils mon refusé cette mutuelle, tellement ils ont essayé de les rejoindre au téléphone ça répond même pas , c'est une mutuelle a éviter car ces pas sérieux,  </t>
  </si>
  <si>
    <t>miss-137903</t>
  </si>
  <si>
    <t>TRÈS SATISFAITE DES RÉPONSE DE DIALLO AVE amabilité ET SAVOIR FAIRE CELA FAT PLAISIR D ÊTRE EN COMMUNICATIONS AVEC DU PERSONNEL COMPÉTENT ENCORE MERCI</t>
  </si>
  <si>
    <t>kitsou-137881</t>
  </si>
  <si>
    <t xml:space="preserve">Emeline a été extra de gentillesses de compréhension et de résolution de problème , tout comme sa collègue que j'avais eu auparavant , dans la même journée .
Merci mesdames  de votre patience et copréhension 
bon courage </t>
  </si>
  <si>
    <t>bingers-137785</t>
  </si>
  <si>
    <t>Mon avis sur Emeline
Très bon accueil
Explication très claire
Bonne qualité d'écoute
Sur l'assureur, il n'y a rien de particulier sauf une remarque concernant la prise en charge des soins dentaires</t>
  </si>
  <si>
    <t>alain-schmidt-137759</t>
  </si>
  <si>
    <t>ayant un problème de résiliation a propos d'un autre assureur, j'aimerais remercier d'avance Néoliane ainsi que Mme Khadidiatou afin de clarifier ce litige.</t>
  </si>
  <si>
    <t>alice-137642</t>
  </si>
  <si>
    <t xml:space="preserve">je suis client depuis juillet 2020. premiere expérience en septembre 2020  déastreuse pour demande de lunettre avec un opticien partenaire carte blanche garantie prysme. L´assurance m´a fait tourner en rond pendant deux mois, sans me remboursser l´option de la garantie prysme. Aujourd hui le problème se répète. Ne sont toujours pas à la hauteur de vous soumettre la liste des opticiens sur votre région pour avante garantie Prysme. Maintenant la raison est le changement de logitiel qui ne  permet pas de trouver la liste des opticiens et ceci depuis janvier 202. La solution est de faire le tour des opticiens jusqu a ce que vous en trouvez un.  Deuxiemement il ont rayé mes enfants du contrat sans m´avoir informé ou encore m´avoir adressé les raisons depuis cette année.m Mais la demande de cotitation debut Janvier 2021, ils etaient bien enrégistré.   Sur mon compte rien de changé, ils sont toujours enrégistrés. Personne ne  se sent responsable, que des mots. Une assurance a éviter si vous ne voulez pas des problèmes. Du jamais vu depuis 40 ans. </t>
  </si>
  <si>
    <t>francoise--137491</t>
  </si>
  <si>
    <t xml:space="preserve">Très vite mis en relation 
Personne compétente qui à répondu à mes questions. 
Je remercie Maria pour son professionnalisme et sa gentillesse au téléphone 
</t>
  </si>
  <si>
    <t>jodu62-137410</t>
  </si>
  <si>
    <t xml:space="preserve"> reçue par "Maria", pour ma première demande téléphonique, je suis satisfaite des réponses apportées à ma demande, et de la gentillesse et l'amabilité de cette personne. Merci beaucoup.</t>
  </si>
  <si>
    <t>abder-137330</t>
  </si>
  <si>
    <t xml:space="preserve">Bon relationnel avec le client qui m'a régulariser un souci avec la première connexion et actuellement dans l'attente pour un réglage pour mon prélèvement. 
Mention à aboubakar.
</t>
  </si>
  <si>
    <t>laulau27-137279</t>
  </si>
  <si>
    <t>Très bon accueil téléphonique
Conseillère très compétente
Un peu perdu pour transmettre un document tout s’est bien passé
Nouvelle adhérente à partir de janvier 2022</t>
  </si>
  <si>
    <t>manu-137137</t>
  </si>
  <si>
    <t>Bonjour , 
J'ai eu besoin d'un renseignement concernant mon contrat Néoliane santé pour ma file Léa TIM TIM qui vient d'avoir 18 ans , mon interlocutrice Mariama a pris en charge ma demande et m'a expliqué ce que je devais faire , merci .</t>
  </si>
  <si>
    <t>joe-137104</t>
  </si>
  <si>
    <t xml:space="preserve">Fall reçoit  une note de 5/5 de ma part pou l'ensemble  ..de notre entretien téléphonique et des resultats
Je suis totalement  satisfait  de sa compétence  et de son amabilité </t>
  </si>
  <si>
    <t>maryse-137042</t>
  </si>
  <si>
    <t xml:space="preserve">Après avoir appelé pour un renseignement concernant  mes remboursements que je n "avais encore pas  eu  j 'ai eu une dame s 'appelant MARIAMA qui m'a bien répondu et fut trés accueillante </t>
  </si>
  <si>
    <t>fouz-137031</t>
  </si>
  <si>
    <t xml:space="preserve">Suite à mon entretien téléphonique de ce jour concernant mon adhésion auprès de Néoliane, je remercie vivement Nabil qui m'a donné entière satisfaction quand à ma demande, il a répondu à toutes les questions que je lui avais soumis. 
Merci pour votre écoute et votre professionnalisme. 
Fouzia Tamimy </t>
  </si>
  <si>
    <t>marcel-136671</t>
  </si>
  <si>
    <t xml:space="preserve">Bonjour , 
Afin de savoir si mes soins dentaires ont bien fait l'objet d'un remboursement , ce matin , impossibilité de me connecter . Je me permets donc de vous contacter par téléphone . Mon appel est pris en compte rapidement  par SOKHNA , qui avec beaucoup de patience ( car je ne suis pas un érudit sur internet), parvient à résoudre ce problème . Elle m'a paru très sympathique et très professionnelle . Puis elle m'a renseigné sur l'avancé de ce dossier . 
 Encore un grand merci à cette personne ! 
   Michel </t>
  </si>
  <si>
    <t>mara-136248</t>
  </si>
  <si>
    <t xml:space="preserve">Ce matin, j’ai eu affaire à Nasrine qui a été charmante, courtoise et efficace. Elle a su répondre à mes questions et m’a encouragée à en poser d’autres auxquelles elle a donné des réponses claires et précises. </t>
  </si>
  <si>
    <t>lili68-136468</t>
  </si>
  <si>
    <t>J'ai étais bien renseigné lors de ma communication téléphonique avec M. Rawane. Il était très agréable et à l'écoute lors de ma demande d'information.</t>
  </si>
  <si>
    <t>callymero-136361</t>
  </si>
  <si>
    <t xml:space="preserve">J ai ma mutuelle et je suis adhérente depuis aujourd'hui chez Neoliane pour un contrat de surcomplémentaire santé. J ai appelé pour avoir mon numéro d adhérente. Daouda, mon interlocuteur a très bien répondu à ma demande. Je ne peux pas me prononcer sur les remboursements, délais ou autres car pas encore concernée. Mais je ne manquerait pas de le faire que ce soit bon ou mauvais.  
Les 4 étoiles concernent l échange d aujourd'hui.  </t>
  </si>
  <si>
    <t>a--marylene--135414</t>
  </si>
  <si>
    <t xml:space="preserve">Personnellement je suis très contente de leurs services . Quand j’ai un problème il me suffit de les appeler et ils répondent à mes questions et règlent le problème. Leurs formulaires sont faciles à comprendre et à remplir. Un grand merci à FALL pour sa diligence. Elle est très sympathique et à l’écoute. </t>
  </si>
  <si>
    <t>sissi9185-135108</t>
  </si>
  <si>
    <t xml:space="preserve">Apres mon contact téléphonique avec la conseillère Éméline, j'ai pu effectuer mes démarches afin de mettre en place la télétransmission avec la CPAM.
Elle s'est montrée aimable et très explicite pour les démarches à faire sur le site de neoliane. </t>
  </si>
  <si>
    <t>baillon-110411</t>
  </si>
  <si>
    <t>Enfin une mutuelle que l'on peut contacter en l'occurrence Georges qui a été attentif et m'a donné la bonne procédure concernant ma demande confirmant que c'est toujours très compliqué. Les informaticiens devraient avoir un panel de personnes âgées pour s'assurer que leur développements sont adaptés pour ces derniers.</t>
  </si>
  <si>
    <t>marilou-134888</t>
  </si>
  <si>
    <t>Suite à on appel téléphonique, Rawane m'a bien répondu a mes attentes et a été attentif à mes demandes. Vu que la prise en charge de mon hospitalisation n'a pas pu être faîte sur le site, il a pris tous les renseignements afin d'effectuer lui-même la démarche.</t>
  </si>
  <si>
    <t>cali06-134297</t>
  </si>
  <si>
    <t>Pas de réactivité !! Il faut poser une question 2 fois... et de plus la réponse est souvent négative. A quoi sert cette mutuelle ? De plus, des délais longs pour être remboursée quand on l'est ... Je la quitte dès que je peux. Beaucoup de baratins lors de l'adhésion, mais la suite des prestations est mauvaise.</t>
  </si>
  <si>
    <t>24/09/2021</t>
  </si>
  <si>
    <t>lode-134019</t>
  </si>
  <si>
    <t>Contacté par téléphone il y a 2 jours par une collaboratrice de  NEOLIANE, celle-ci m'a vanté les mérites d'un contrat prévoyance, au motif que prochainement, les frais de remboursement de l'hospitalisation seraient réduits drastiquement. A la fin de son exposé, elle me demande mon IBAN. Surpris par cette précipitation, je lui indique en parler à mon assureur avant tout engagement. J'ai eu le droit de me faire copieusement" engueuler", en me disant qu'elle ne comprenait pas mes réticences. Bref, la suspicion est de rigueur . A fuir!!!</t>
  </si>
  <si>
    <t>marna58-133646</t>
  </si>
  <si>
    <t xml:space="preserve">Démarchage téléphonique nickel mais quant aux remboursements on est loin de ce qui était annoncé , rien n est pris en compte. . Personne su bout du fil pour les réclamations.
1128 euros pour un an j aurais mieux fait d investir dans un voyage plus bénéfique pour la santé. Je suis en train de faire des devis pour vite partir de la </t>
  </si>
  <si>
    <t>20/09/2021</t>
  </si>
  <si>
    <t>marianna-133643</t>
  </si>
  <si>
    <t>concerne neoliane SantEco H1, j ai bien été remboursé pour une chirurgie de l,oeil ambulatoire, suite à une communication téléphonique avec Marianna qui a été agréable, merci .</t>
  </si>
  <si>
    <t>jeff-133427</t>
  </si>
  <si>
    <t>Je ne recommande nullement ce courtier.... car cela fait quasiment 6 mois que j'attends ma carte de tiers payant... On me mène en bateau..HONTE À VOUS...????</t>
  </si>
  <si>
    <t>18/09/2021</t>
  </si>
  <si>
    <t>rogo-133327</t>
  </si>
  <si>
    <t>cela fait 15 jours que j'envoie e-mails et coups de fil , pour signaler que sur mon N° adhérent, mon identité est erronée.
En fait ILS ont laissé l’identité de l ' adhérente précédente.
je n'ai contact qu'avec des conseillers très gentils mais incompétents</t>
  </si>
  <si>
    <t>leloup-133064</t>
  </si>
  <si>
    <t>mon problème de connexion depuis le 01/09/2021 a été résolu par NABIL mon interlocuteur téléphonique ce jour ce monsieur est un grand professionnel qui connaît parfaitement son métier  Merci beaucoup</t>
  </si>
  <si>
    <t>16/09/2021</t>
  </si>
  <si>
    <t>maryline--133047</t>
  </si>
  <si>
    <t>Mutuelle manquant cruellement de sérieux tant dans le suivi de dossier qu au niveau réactivité… mail non reçu , délai incroyablement long dans le
Suivi des informations et remboursements !!!!
A fuir +++++</t>
  </si>
  <si>
    <t>dada-132964</t>
  </si>
  <si>
    <t>avec conseillère AMINATA, très bon contact téléphonique, personne qui a su me renseigner et  qui a recherché les renseignements demandés. MERCI de votre compréhension</t>
  </si>
  <si>
    <t>15/09/2021</t>
  </si>
  <si>
    <t>domi-132938</t>
  </si>
  <si>
    <t>Suite au téléphone avec la conseillère Madame Mariama,tres bien reçu,aimable,à bien résolu ma demande.
Je suis très content avec le dialogue.
Matias Domingos</t>
  </si>
  <si>
    <t>danitsa-132680</t>
  </si>
  <si>
    <t xml:space="preserve">Je suis nouvelle cliente et donc je ne peux donner mon avis que sur le prix que je trouve excellent par rapport à mon ancien assureur. Par ailleurs je peux dire que j'ai eu un super accueil par le conseiller PAPE qui a répondu à mes questions et qui m'a aidé à créer mon "espacé personnel" sur le net. </t>
  </si>
  <si>
    <t>13/09/2021</t>
  </si>
  <si>
    <t>jph-132254</t>
  </si>
  <si>
    <t xml:space="preserve"> bonjour ,très difficile de ce connecter trop de changement sur le site, tableau de remboursement pas très claire manque des précisions .
Cordialement  </t>
  </si>
  <si>
    <t>10/09/2021</t>
  </si>
  <si>
    <t>titi-131661</t>
  </si>
  <si>
    <t>Je tiens à remercier Georges que j'ai eu au téléphone ce jour pour son amabilité, sa patience, son efficacité et son professionnalisme.
C'est très agréable d'avoir des interlocuteurs de ce style.
Bonne journée
Bien Cordialement</t>
  </si>
  <si>
    <t>bk-130395</t>
  </si>
  <si>
    <t xml:space="preserve">J'ai contacté Néoliane suite à une double facturation et ma conseillère Widad a su m'apporter les réponses nécessaires. Elle a été très professionnelle, réactive et à l'écoute. Le pb est résolu à présent. Je suis satisfaite. </t>
  </si>
  <si>
    <t>31/08/2021</t>
  </si>
  <si>
    <t>avisneo-130238</t>
  </si>
  <si>
    <t xml:space="preserve">Merci beaucoup Lissa pour votre patience et pour votre explication claire. J’espère que mon prochain interlocuteur/trice serai comme Lissa. Cordialement Peizhen </t>
  </si>
  <si>
    <t>30/08/2021</t>
  </si>
  <si>
    <t>berpic-129830</t>
  </si>
  <si>
    <t xml:space="preserve">j'ai eu beaucoup de difficultés à contacter Neoliane par téléphone pour une question de remboursement de frais d'analyse médicale. De plus les documents de Néoliane, en ma possession, ne précisent pas les coordonnées d'un interlocuteur. J'ai fini par contacter Georges à Nice qui a pu répondre à toutes mes questions et m'a donné l'adresse où envoyer mes courriers. Cette adresse n'était pas indiquée sur les documents Néoliane.  </t>
  </si>
  <si>
    <t>27/08/2021</t>
  </si>
  <si>
    <t>jj-129535</t>
  </si>
  <si>
    <t xml:space="preserve">Très bon accueil de mon interlocuteur Georges , aimable de bons renseignements , et le sourire , oui le sourire , le sourire s'entends au téléphone  merci et bonne journée </t>
  </si>
  <si>
    <t>tatie-rosa-129251</t>
  </si>
  <si>
    <t>Je suis passée par infocea j'ai eu la mutuelle neoliane  par la commerciale qui m'a dit du bien au qu'elle j'ai fait confiance par contre au niveau remboursement rien vous essayez de joindre la commerciale qui ne répond pas en plus vous pouvez envoyer des mails la réponse 15 jours après sans réponse je déconseille fortement</t>
  </si>
  <si>
    <t>24/08/2021</t>
  </si>
  <si>
    <t>nenou-128537</t>
  </si>
  <si>
    <t>Rawane a été excellent, autant dans le service demandé
que dans la gentillesse et la qualité de ce service.
Je le remercie très sincèrement de son amabilité
et de sa compétence.
Grand merci à lui</t>
  </si>
  <si>
    <t>18/08/2021</t>
  </si>
  <si>
    <t>roro49-51480</t>
  </si>
  <si>
    <t xml:space="preserve">Bonjour : je suis assuré depuis 2017 et tous les ans ma cotisation augmente de plus de 10€ par mois sans compensation de remboursement, bien au contraire car depuis le premier janvier elle ne re0mbourse plus les médicaments homéopathiques, quels bénéfices importants pour toutes les mutuelles. Et surtout quand il y a un remboursement important pour un équipement optique, il faut attendre plus d'un mois avant d'être remboursé, même chose pour l'opération de la cataracte, plus de deux mois avant d'être remboursé, et dernièrement pour une prothèse dentaire j'ai du attendre plus d'un mois avant d'être remboursé, et surtout à chaque fois j'ai du envoyer 4 mails, plus 4 appels téléphoniques demandant le remboursement et  leurs réponses : (c'est parti vous l'aurez en début de semaine prochaine, il faut qu'on vérifie avant de vous rembourser, c'est parti vous l'aurez dans 72 heures, ou je fais remonter votre demande pour qu'elle soit traitée en urgence et j'en passe...) je n'ai jamais eu d'incident de paiement, mais à l'inverse quand on avance l'argent pour l'optique, la  cataracte ou les prothèses dentaires, les remboursements sont un parcours du combattant, de plus il est impossible de communiquer sur leur site car il est constamment bloqué pour demander un remboursement ou pour faire une réclamation) seule solution leur téléphoner. Un seul point positif, les petits remboursements courants de pharmacie ou de consultations sont remboursés dans les 48h après la télétransmission, c'est très bien pour ceux qui n'ont pas de problème de santé, à noter de plus nous sommes un couple pris à charge à 100% par la SS et nous payons actuellement plus de 182€ par mois, jugez vous vous-même avant d'adhérer à cette assurance santé. </t>
  </si>
  <si>
    <t>mutuelle-126372</t>
  </si>
  <si>
    <t xml:space="preserve">Bonsoir 
Suite à mon appel téléphonique je remercie Larbi pour les informations données sur mon contrat et pour ses conseils concernant une future hospitalisation. </t>
  </si>
  <si>
    <t>ladauye-126020</t>
  </si>
  <si>
    <t>EMELINE a été parfaite ! ses explications ont été détaillées et très claires, merci à elle pour sa patience et son professionnalisme C'est un plaisir de communiquer avec une conseillère comme ell</t>
  </si>
  <si>
    <t>02/08/2021</t>
  </si>
  <si>
    <t>herbon-125045</t>
  </si>
  <si>
    <t>bravo a Alimatou la seule conseillère gentille et compétente a qui j ai eu affaire depuis longtemps félicitations a elle et surtout gardez la car cela est de plus en plus rare</t>
  </si>
  <si>
    <t>francis-123320</t>
  </si>
  <si>
    <t xml:space="preserve">Bonne relation clientèle de la part d'Emeline qui a répondu à ma demande concernant un remboursement en attente depuis le 12 juin de façon professionnelle et rapidement. 
Merci à elle.
</t>
  </si>
  <si>
    <t>13/07/2021</t>
  </si>
  <si>
    <t>lou-123243</t>
  </si>
  <si>
    <t>Reçu au téléphone excellente interlocutrice précise patiente je suis pleinement satisfait de son aide il est rare de pouvoir être assisté par une personne aussi compétente et patiente merci encore</t>
  </si>
  <si>
    <t>manou-122884</t>
  </si>
  <si>
    <t>Je suis très satisfaite d’Emeline qui m’a aiguillée pour transmettre un document. Je la remercie pour sa patience, sa gentillesse et sa bienveillance car j’avais du mal à trouver ce qu’elle me demandait. Qu’elle continue dans cette voie car elle en sera toujours remercie.</t>
  </si>
  <si>
    <t>nathalie-122748</t>
  </si>
  <si>
    <t>A FUIR !!! C'est honteux de voir de nos jours des pratiques aussi désastreuses !! j'ai fait appel à un courtier pour me trouver une meilleure mutuelle que celle que j'avais, jusque là impeccable, je donne mes taux de remboursement de mon ancienne mutuelle au courtier afin qu'il me trouve une meilleure mutuelle. Il me propose néoliane en m'expliquant les taux de remboursement surtout de l'orthodontie à savoir 200% pour un tarif mensuel quasi équivalent à ce que je payais chez mon ancienne mutuelle pour un taux de remboursement équivalent à 125% de la base secu. Et là la surprise lors de mon premier remboursement de frais d'orthodontie je n'ai que la moitié de remboursé et oui les 200% sont en réalité que 100% car ils prennent en compte le remboursement de la securité sociale je n'ai jamais vu ça !!! toutes les mutuelles que j'ai faite avait le remboursement à partir de la base sécu et non en complément de celle-ci !! le courtier aurait pu le préciser lors du devis... J'espère pouvoir résilier cette mutuelle le plus rapidement possible !!</t>
  </si>
  <si>
    <t>08/07/2021</t>
  </si>
  <si>
    <t>martine63-122406</t>
  </si>
  <si>
    <t xml:space="preserve">Je ne suis pas du tout satisfaite de Néoliane. En fait j aurais dû rester à mon ancienne Mutuelle.  Les remboursements se font attendre malgré le décompte de la Sécurité Sociale. De plus un conseil aux nouveaux adhérents, réglez la totalité de votre consultation ou sinon demandez une facture si vous payez juste le tiers payant. Sinon Neoliane sans justificatif ne vous rembourse pas. Le décompte Sécu ne leur suffit pas.Sûre que je ne vais pas rester chez eux.Nouvelle depuis Mai 2021 et déçue </t>
  </si>
  <si>
    <t>05/07/2021</t>
  </si>
  <si>
    <t>trg-64346</t>
  </si>
  <si>
    <t>Néoliane répond presque systématiquement aux critiques récurrentes qui lui sont faites par l'argument suivant : " Bonjour xxxx, je suis désolé et vous informe que Néoliane ne pratique aucun démarchage direct.". Un peu trop facile de renvoyer la balle sur les courtiers qui vendent... les produits Néoliane. Néoliane est en mesure d'imposer aux courtiers les méthodes de vente de ses contrats. Or depuis plusieurs années, il semble que Néoliane ne cherche pas vraiment à le faire, puisque les pratiques commerciales agressives et trompeuses perdurent. Néoliane, la balle est dans votre camp, il faut agir maintenant si vous voulez regagner la confiance de vos potentiels clients.</t>
  </si>
  <si>
    <t>03/07/2021</t>
  </si>
  <si>
    <t>nab-121987</t>
  </si>
  <si>
    <t>J'ai eu besoin de la carte tiers payant et Maria très professionnel me l'a envoyer rapidement avec tous les renseignements dont j'avais besoin.Merci pour votre gentillesse</t>
  </si>
  <si>
    <t>belletrichardgeorges-121470</t>
  </si>
  <si>
    <t xml:space="preserve">Suite à la perte de ma carte d'assuré , j' ai contacté NEOLIANE , et dans l' heure j' ai eu une copie de ma carte  mutuelle , grâce à Maria . 
Je tenais à le faire savoir 
Dans un monde ou les contacts avec les administrations sont souvent trop impersonnelles , je trouve rassurant d' avoir en contact téléphonique une personne en chair et os et non pas un robot </t>
  </si>
  <si>
    <t>28/06/2021</t>
  </si>
  <si>
    <t>fabienne-117756</t>
  </si>
  <si>
    <t>Lors de mon appel j'ai été pris en charge par Émeline qui a été d'une efficacité rapidité remarquable très à l'écoute et d'un très grand professionnalisme
Aimable et avenante elle a su résoudre rapidement mon problème</t>
  </si>
  <si>
    <t>papa-117548</t>
  </si>
  <si>
    <t>Bonsoir,
Je viens de résoudre un problème de création de compte de manière magistrale. Grace a Maria qui a vite compris ce je désirais faire, a pris en main la création de mon compte. Cela n'a pris que quelques minutes et je l'en remercie vivement. Maria a répondue toutes mes questions sans hésiter. Si je devais de nouveau faire appel a Neoliane, je me permettrai de demander Maria comme interlocutrice. 
Cordialement</t>
  </si>
  <si>
    <t>18/06/2021</t>
  </si>
  <si>
    <t>eric97310-117402</t>
  </si>
  <si>
    <t>Bonjour, suite à mon entretien téléphonique avec Widad, j'ai eu tout les renseignements dont j'avais besoin. Elle est très sympathique et très professionnelle. Merci.</t>
  </si>
  <si>
    <t>17/06/2021</t>
  </si>
  <si>
    <t>philou-117207</t>
  </si>
  <si>
    <t xml:space="preserve">J' ai été très satisfait de la compétence professionnelle de la personne que j ' ai eu au téléphone le 16 juin 2021 vers 11h 30 . En effet , J' avais un problème urgent à régler qui était très important . Problème de chevauchement de deux mutuelles complémentaires qui m' empêchaient d' être rembourser par ma complémentaire Néoliane qui était en concurrence avec mon ancienne mutuelle '' POP SANTE '' . Problème de télétransmission avec Néoliane Santé .Grace à l ' aide de cette personne qui a résolu ce problème de télétransmission avec la Sécurité Sociale et du remboursement du 08 avril 2021 de la visite médicale chez mon médecin traitant qui n ' a pas été remboursé par votre caisse de gestion . Merci Emeline par votre gentillesse , de votre patience pour résoudre ces deux problèmes qui m ' angoissaient . Veuillez agréer , Emeline , mes sincères salutations . Philippe SERENNE  </t>
  </si>
  <si>
    <t>16/06/2021</t>
  </si>
  <si>
    <t>mady-117105</t>
  </si>
  <si>
    <t>dam est une personne très gentille et très dévouée avec ses clents mais malheureusements elle n' a pas  choisi la bonne société quoique depuis quelques temps je dois reconnaitre que les choses se sont bien arrangées continués</t>
  </si>
  <si>
    <t>elias-116991</t>
  </si>
  <si>
    <t>J'ai été démarché aujourd'hui par une conseillère Néoliane qui prétend m'appeler de la part d'un organisme de crédit auquel j'ai adhéré pour des facilités de paiement. 
La dame a un débit de parole tel qu'on ne peut en placer une. Quand je lui demande de m'envoyer la brochure pour y réfléchir à tête reposée elle me dit que ça ne sert à rien car je ne suis pas intéressé. Chose que j'ai confirmée pour le coup et là ... Elle me raccroche au nez !!!
Messieurs les responsables, je ne sais pas où vous formez vous conseillers mais vous pouvez être sûrs que je ne viendrais jamais chez vous. Ni moi ni ceux qui me demanderont conseil...</t>
  </si>
  <si>
    <t>14/06/2021</t>
  </si>
  <si>
    <t>a--116677</t>
  </si>
  <si>
    <t>J'ai eu le plaisir de demander des informations à Maria elle a été très professionnelle et ce qui est agréable extrêmement gentille et très clair sur le sujets aborder Bravo à Maria</t>
  </si>
  <si>
    <t>juliar-115973</t>
  </si>
  <si>
    <t xml:space="preserve">Très déçu !
Inscription faite via un comparateur en ligne , prix correct mais qui augmente sans que j’en sois avisée avec les années. Pas de soucis avec les remboursements ( après je vais chez le médecin une fois par an ) 
Par contre un vrai parcours du combattant pour résilier je découvre que j’ai un double contrat de prévoyance que je ne me rappelle pas avoir souscris à l’inscription, contrat qui n’est résiliable que annuellement la bel affaire ! Et pour la mutuelle résiliation censée être simple gérée par ma nouvelle mutuelle je découvre que je suis toujours prélevée alors que cela a été fait il y a un mois et demi ! Il leur manque un document que ma nouvelle mutuelle envoie dans la journée et là je découvre que je dois encore attendre un mois ( sans être vraiment sûre !) on me fait tourner en rond quand j’appelle !
A fuir ! </t>
  </si>
  <si>
    <t>fan-115518</t>
  </si>
  <si>
    <t>Suite à mon appel téléphonique de ce jour votre conseillère Nisrine a fait preuve de beaucoup de patience à mon égard et a répondu à toutes mes questions de manière très professionnelle.
Ma demande était relative à mon espace client et pour faire le point sur mes remboursements. Je suis cliente chez vous depuis le début de l'année et cet accueil ne me fait pas regretter mon choix.</t>
  </si>
  <si>
    <t>leone-59-114455</t>
  </si>
  <si>
    <t xml:space="preserve">Contrat souscrit en décembre harcèlement de ma grand mère au téléphone . Énorme problème de prises en charge malgré les garanties correspondant. Ma grand mère demande d être bien pris en charge oui avant elle payer 47 euro autre mutuel là elle est à 87 euro Au final depuis 5 mois je me bas car ma grand mère a était cher dentiste facture 675 euro recevoir un appel hier en disant non on rembourse rien il fallait faire le 100 % gratuit Le pire c est l harcèlement pour souscrire mes apres il se renvoie la balle </t>
  </si>
  <si>
    <t>clodemary-109043</t>
  </si>
  <si>
    <t xml:space="preserve">Nouvelle adhérente depuis le 1/01/21,pour l'instant il m' est difficile d'être objective , quant aux tarifs ,ils sont dans la moyenne pour des prestations correctes , un petit bémol pour les  actes  dont vous avancez les frais (5 à 6 semaines)pour être remboursée !!!!!!!par contre j'apprécie l'espace adhérent : clair ,suivi des demandes ... </t>
  </si>
  <si>
    <t>papichou-114279</t>
  </si>
  <si>
    <t>Aujourd'hui , j'ai eu Léa au téléphone : j'ai conversé avec une jeune femme charmante , avec une voix envoûtante , et parfaitement compétente , qui m'a sorti d'un problème informatique insoluble pour moi .
J'adresse un très grand merci à cette personne !!</t>
  </si>
  <si>
    <t>dominique-59-114200</t>
  </si>
  <si>
    <t>Très mauvaise mutuelle.. ne rembourse rien. Obligation de prendre prestation en 100% santé si vous voulez rentrer dans vos frais. Mais cela n'est toujours possible donc reste à payer si on veux se soigner correctement.. lors de ma souscription on m'a fait miroiter qu'il était meilleurs que mon ancienne avec une cotisation inférieure mais c'est faux.. je me retrouve dans une situation où je dois choisir une priorité dans mon choix de soins dont j'ai besoin.. Neoliane = mutuelle pour seniors riches.. ça ne court pas les rues... A éviter...</t>
  </si>
  <si>
    <t>roubo-114142</t>
  </si>
  <si>
    <t xml:space="preserve">  Nisrine est tres bonne conseillère,  aimable, bien expliquée les avantages concernant le contrat souscrit
Relationnelle et professionnelle. Je la recommande fortement. </t>
  </si>
  <si>
    <t>jojo-113904</t>
  </si>
  <si>
    <t xml:space="preserve">Le remboursement est très long 8 semaines après plusieurs relances mais ils ne réponde pas et j'avais un devis accepté . Sur le site sa affiche traité </t>
  </si>
  <si>
    <t>16/05/2021</t>
  </si>
  <si>
    <t>clairette-113614</t>
  </si>
  <si>
    <t>J'ai une personne au téléphone qui s'appelle "Emeline", c'est une personne très professionnelle et très sympathique qui m'a très bien renseignée et aidée aussi bien pour créer mon compte que je ne parvenais pas à faire qu'au sujet de renseignements complémentaires concernant la mutuelle santé.</t>
  </si>
  <si>
    <t>13/05/2021</t>
  </si>
  <si>
    <t>dom-113549</t>
  </si>
  <si>
    <t>J ai été reçu par Aminata et franchement j ai aimé son professionnalisme sa gentillesse et surtout sa persévérance pour me retrouver et m'envoyer tous les documents que je lui ai demandés.
Encore un grand merci à Aminata .</t>
  </si>
  <si>
    <t>12/05/2021</t>
  </si>
  <si>
    <t>sassetotais--113536</t>
  </si>
  <si>
    <t xml:space="preserve">La personne qui m'a renseignée était très courtoise et a répondu d'une manière satisfaisante à tous mes questionnements. Je sais désormais comment procéder pour transmettre une demande de remboursement ou un prise en charge. </t>
  </si>
  <si>
    <t>chrispon-113407</t>
  </si>
  <si>
    <t>La conseillère Saliha m'a répondu avec beaucoup de gentillesse à mes questions et m'a très bien dirigée dans la démarche pour les remboursements et créer mon espace adhérent. Merci</t>
  </si>
  <si>
    <t>bribri-113045</t>
  </si>
  <si>
    <t>J'ai obtenu de LEA, conseillère, toutes les réponses dont j'avais besoin. Je signale également que ce contact avec LEA a été agréable et très satisfaisant.</t>
  </si>
  <si>
    <t>goutzi-112139</t>
  </si>
  <si>
    <t>Pour l'instant je suis satisfait, mais il n'est pas toujours simple de vous  joindre au téléphone
et vos délais récents de remboursement n'ont pas été très rapides.
Cordialement.
Pierangeli Maurizio</t>
  </si>
  <si>
    <t>29/04/2021</t>
  </si>
  <si>
    <t>ferhat-59-111931</t>
  </si>
  <si>
    <t xml:space="preserve">Concernant la conseillère, je dirais qu'elle a été très professionnelle et au delà des informations qu'elle m'a apporté. Si chacun de mes appels pouvaient être traités de la sorte, on ne serait plus tenté à changer de mutuelle. </t>
  </si>
  <si>
    <t>28/04/2021</t>
  </si>
  <si>
    <t>bernard-de-nice-111926</t>
  </si>
  <si>
    <t>J'avais souscrit par erreur deux mutuelles santé dont l'une chez NEOLIANE .
Quand je m'en suis rendu compte, je me suis rapproché de NEOLIANE dont la souscription avait été faite après celle signée chez un concurrent. Les justificatifs demandés ayant été fournis, j'ai contacté un représentant de NEOLIANE pour savoir ce qui avait été décidé au sujet de ma demande d'annulation de souscription . Mon interlocutrice , une dame AMINATA , m'a parfaitement écouté, renseigné et m'a envoyé mon annulation d'adhésion . Je remercie cette personne pour son amabilité, sa courtoisie et son sens aigüe du relationnel qui valorise la société pour laquelle elle  travaille.</t>
  </si>
  <si>
    <t>glad-111811</t>
  </si>
  <si>
    <t>Majelis le courtier avec qui j ai souscrit le contrat neoliane est au top mais neoliane de la m.... le centre de gestion  est incapable de répondre,  d etre courtois,  et donne de fausses info,vous envoie des mails pour vous réclamer des documents deja transmis, incompétence...  A FUIIIIIR</t>
  </si>
  <si>
    <t>27/04/2021</t>
  </si>
  <si>
    <t>dbs-111313</t>
  </si>
  <si>
    <t>Pour un besoin spécifique, Léa a su me répondre précisément sur le contrat demandé Un excellent accueil et très agréable au téléphone, et disponibilité</t>
  </si>
  <si>
    <t>22/04/2021</t>
  </si>
  <si>
    <t>pascale-111274</t>
  </si>
  <si>
    <t xml:space="preserve">Nullement satisfaite des services de NEOLIANE qui nous fait perdre du temps à réclamer des documents à notre ancienne compagnie d'assurance et  nous renvoie systématiquement vers notre courtier, même si ce dernier n'a pas respecté ses engagements. A priori en cas de réclamation ou modification, seul le courtier peut intervenir sur notre contrat. </t>
  </si>
  <si>
    <t>coquelicot-110908</t>
  </si>
  <si>
    <t xml:space="preserve">A chaque fois que j'ai téléphoné à Néoliane pour avoir des renseignements sur le suivi d'un de mes dossiers, j'ai été très bien accueillie  et renseignée.
La dernière fois Emeline a été très aimable patiente et très efficace. Ma situation a été débloquée en quelques minutes.
</t>
  </si>
  <si>
    <t>19/04/2021</t>
  </si>
  <si>
    <t>morgane83340-110677</t>
  </si>
  <si>
    <t xml:space="preserve">SCANDALEUX !!!
Des courtiers demarchent les gens par téléphone, peut importe leur méthode, se servent des personnes fragiles pour arriver à leur fin.
Ma maman malade, psychologiquement, et physiquement s'est faite avoir, et lorsque je m'en suis rendue compte...On galère à résilier et surprise on ne peut pas résiler avant 1 an ! Contrat signé électronique ment soit disant ? Ma maman a déjà du mal à envoyé un SMS, du mal à y croire qu'elle ai pu signé quoi que ce soit.
Elle se retrouve avec la cmu ( soit disant un motif eligible pour résiliation précisé sur leur site mais non !) et au RSA, elle galère déjà à finir le mois et doit payer dans le vent un service qui ne lui sert à rien.
Leurs méthodes sont HONTEUSES, SCANDALEUSES et profite des gens naïfs et faibles sans défense !!!!!!!!
À fuir absolument !!!!!!!! </t>
  </si>
  <si>
    <t>mia-110661</t>
  </si>
  <si>
    <t xml:space="preserve">Mme Widad a été très aimable et serviable au possible. Elle m’a rappelée et soutenue dans ma démarche et Bien renseignée. 
Merci beaucoup.
Martine Langlois </t>
  </si>
  <si>
    <t>andrey-31-110414</t>
  </si>
  <si>
    <t xml:space="preserve">Très bien renseigné par une personne aimable ,compétente et de bon conseil.
Je recommande vivement cette mutuelle qui me convient parfaitement.
Et je ne veux plus avoir à faire avec des marchand d'illusions incapables de suivre leurs dossiers.
</t>
  </si>
  <si>
    <t>coco-110319</t>
  </si>
  <si>
    <t>Assurance santé, qui se fout de ses adhérents, aucune réactivité sauf pour les prélèvements. 2 mois d'attente pour un simple remboursement, et j'en passe..demande des résiliation non prise en compte avec justificatif. a ne pas recommander</t>
  </si>
  <si>
    <t>14/04/2021</t>
  </si>
  <si>
    <t>ruiz-nat-108683</t>
  </si>
  <si>
    <t xml:space="preserve">Très bien accueilli et très bien renseigné 
Ravi de mon échange téléphonique encore merci Angélique
Un bon prix et un bon service 
</t>
  </si>
  <si>
    <t>racoon-110239</t>
  </si>
  <si>
    <t>Excellent contact avec Émeline, qui a su répondre à ma demande de résiliation avec rapidité et professionnalisme.
Seul bémol : plus de 10 mn d’attente au téléphone avant d’être mis en contact avec un interlocuteur.</t>
  </si>
  <si>
    <t>arnold-aurelie-110233</t>
  </si>
  <si>
    <t>Bonjour,
J’ai étais très bien renseigné par l'interlocutrice Angélique, aimable patiente et très souriante elle a su résoudre le problème avec beaucoup d’efficacité.
Très satisfait de cette mutuelle je recommande. 
Madame Arnold</t>
  </si>
  <si>
    <t>alberte-108763</t>
  </si>
  <si>
    <t>Ma correspondante QUAMAR a été très gentille et m'a apporté tout son aide, elle est très professionnelle, elle connait bien son travail , si j'ai un autre problème je n'hésiterai pas à l'appeler</t>
  </si>
  <si>
    <t>dom42asi--108691</t>
  </si>
  <si>
    <t>Bonjour, nouvel adhérent , j'avais des éléments à faire préciser. J'ai eu comme interlocutrice Salhia,qui face à mes demandes c'est montrée très disponible, extrêmement professionnelle et d'une grande amabilité.  Bravo !  Bonne continuation !</t>
  </si>
  <si>
    <t>sval-108549</t>
  </si>
  <si>
    <t>J'ai été très bien reçu par Emeline , à répondu à mes attente et mes demande, très courtoise ,agréable et efficace , compréhensive,  reponse claire et nette</t>
  </si>
  <si>
    <t>30/03/2021</t>
  </si>
  <si>
    <t>fredo-108500</t>
  </si>
  <si>
    <t xml:space="preserve">Superbe conseillère aimable et serviable ça change de certaines personnes qui sert à rien très content de l avoir et que je recommande à tous le monde </t>
  </si>
  <si>
    <t>guilbert-105815</t>
  </si>
  <si>
    <t xml:space="preserve">tres facile d'y entrer véritable galère pour en sortir tres mauvaise fois réponse tres tres longue afin de continuer les prélèvements apres le contrat résilié on ne vous écoute pas au tel c'est usant et fatigant on se bat contre un moulin 
</t>
  </si>
  <si>
    <t>franrhone-107891</t>
  </si>
  <si>
    <t>J'ai eu un échange téléphonique avec Emeline. Cette dernière a été très agréable et sympathique. J'ai eu le renseignement que je cherchais sans aucune difficulté.
Franca MARROCCO</t>
  </si>
  <si>
    <t>rattoa-107687</t>
  </si>
  <si>
    <t>Bonjour,
C'est Angélique qui s'est occupé de moi.
Elle a été très réactive et a su répondre à toutes mes questions.
En plus de ça, une voix très douce!
Je recommande +++
Cdlt</t>
  </si>
  <si>
    <t>23/03/2021</t>
  </si>
  <si>
    <t>suziep-107619</t>
  </si>
  <si>
    <t>Emeline a bien répondu à ma demande , Très accueillante et réactive. 
Très bon accueil et rassurante . Elle a effectué des changements d'informations  qui n'avait pas été effectué avant.  Donc, parfait.</t>
  </si>
  <si>
    <t>drinedraw-107472</t>
  </si>
  <si>
    <t>Cliente depuis 2012 chez Néoliane, je suis entièrement satisfaite par leur rapidité de remboursement. Je remets à jour mon contrat ce matin avec un agent agréable et disponible.
Je recommande vivement !</t>
  </si>
  <si>
    <t>hermione-107426</t>
  </si>
  <si>
    <t xml:space="preserve">J'ai eu Emeline au téléphone, personne très sympathique, mais surtout compétente, elle a su débrouiller la situation compliquée dans laquelle je me trouvais.
</t>
  </si>
  <si>
    <t>jeanyves81-107377</t>
  </si>
  <si>
    <t>Assuré depuis le 1er janvier... c'est très compliqué! Injoignable!  remboursement par via médis impossible contrairement aux assurances données avant souscription. Très déçu!</t>
  </si>
  <si>
    <t>21/03/2021</t>
  </si>
  <si>
    <t>fanfa-107160</t>
  </si>
  <si>
    <t>J’ai contacté votre mutuelle et j’ai été accueillie par Houria. Cette hôtesse est chaleureuse accueillante et disponible un vrai moment de plaisir merci pour son efficacité.</t>
  </si>
  <si>
    <t>agnes-107071</t>
  </si>
  <si>
    <t>IMANE a été très aimable, très efficace, très accueillante et très à l'écoute de ma demande.
Elle m'a renseignée avec gentillesse.
Elle m'a transmis le devis que j'attendais.</t>
  </si>
  <si>
    <t>neo23048459-106978</t>
  </si>
  <si>
    <t>par 2 fois j'ai du téléphoner à Néoliane à 3 jours d'intervalle. J'ai toujours été très bien reçue; la première fois je ne connais pas le om de mon interlocuteur mais ça c'est bien passé  
la deuxième fois avec Saliha j'ai eu tous les renseignement voulus ( étant nouvelle adhérente) avec gentillesse. Surtout que je ne suis plus très jeune. Merci Neoliane</t>
  </si>
  <si>
    <t>cs2000-106643</t>
  </si>
  <si>
    <t xml:space="preserve">Contente d'être partie de chez eux, on m'a vendu du rêve et impossible de joindre le courtier pour au moins changer d'option. Pour se faire rembourser la croix et la bannière, une lenteur administrative incroyable et je ne parle même pas du manque de communication entre services.
Et j'ai trouvé l'espace adhérent archaïque. 
Apres resiliation pour defaut de conseils pour ma mere et moi,  ma mere est restee chez eux (grande erreur!) pensant quils se rendrait compte de sa fidélité malgré tout, que Cela venait du courtier (l'option n'était pas du tout adaptée) et que nous avions donc souscrit un nouveau contrat toujours chez eux mais auprès d'un autre courtier.
Au lieu de ca pas de courrier de bienvenue (elle n'a pas internet..) par contre un courrier d'impayés en décembre alors que son contrat prend effet le 1 janv...Cetait une erreur...2 cartes d'adhérents envoyées le contrat résilié et le bon.
Ensuite ils ont prélevé la 1ere cotisation mais du contrat résilié nous avons donc fait opposition,  suite a ca courrier d'impayé a n'en plus finir (ils n'économisent pas de papier ni de timbres..) en gonflant la note avec des frais de rejets alors que l'erreur vient d'eux. Nous avons refusé de payer les frais de rejet via notre courtier qui nous a bien aidé car impossible de les joindre (repondeur musique pendant 20 mn puis ca raccroche..) et quand vous arrivez a les joindre des interlocuteurs peu courtois qui ne comprennent pas et sont blasés, ils se renvoient la balle et le problème toujours non réglé,  malgré nos courriers ar bien réceptionnés, cela a traîné longtemps pour obtenir une réponse et quils fassent " un geste gracieux" et exceptionnel! en acceptant de ne pas compter les frais de rejets (pas de 1ere cotisation offerte pour la gêne occasionnée, ne revons pas) es appels ont continué même après avoir régularisé la situation (oralement on reexpliquait la situation et qu'elle été réglée..) Ils ont également encaissé les chèques de régularisation le même mois pour une maigre retraite c'était tres dur (alors qu'envoyé très rapidementde notre coté) . Ils n'ont pas de considération pour l'être humain et il s'agit d'assurance prévoyance santé,  le côté humanitaire est une priorité il me semble et ils ne cherchent pas à fidéliser leurs clientèle. Voilà mon expérience avec neoliane. </t>
  </si>
  <si>
    <t>cri-1323-106636</t>
  </si>
  <si>
    <t>Suite à un entretien téléphonique avec Emeline, je tiens à témoigner du professionnalisme de cette personne. Elle a été compétente dans ses explications, a fait preuve d'amabilité, de courtoisie et de patience tout au long de notre échange téléphonique.  Bravo.!</t>
  </si>
  <si>
    <t>loutre30-106369</t>
  </si>
  <si>
    <t>Achraf a très bien compris ma demande et a su y répondre avec efficacité. Il a été très courtois et serviable.  Il a été très professionnel et compétent</t>
  </si>
  <si>
    <t>foudi-106104</t>
  </si>
  <si>
    <t>Je suis bien content de les avoir quitter, je paie tous les mois et lorsque je vais consulter, ils ne remboursent pas la partie mutuelle. Je demande un remboursement sachant que j'ai envoyé les décompte de sécurité sociale 
qui normalement leurs à été transmis et on me demande les factures alors que ça fait 1an!!!! Je ne conseille absolument pas cette mutuelle</t>
  </si>
  <si>
    <t>alainn-89575</t>
  </si>
  <si>
    <t xml:space="preserve">Je suis passé par un courtier mutuelle de l adour qui conseille plusieurs types de contrats. J étais chez neoliane l année dernière et j ai changé pour cegema en faisant les démarches en juillet 2020 pour une date effective au 1er janvier 2021.
L ancienne mutuelle neoliane malgré de multiples relances n a pas annulé la télé transmission et la nouvelle mutuelle ne peut régler les soins. 
Je ne sais plus quoi faire et je ne trouve pas normal d être pris en otage. </t>
  </si>
  <si>
    <t>alain815-104241</t>
  </si>
  <si>
    <t>impossible de les  joindre il ne réponde ni au tel ni par mail 
je ne suis toujours pas remboursé au bout d'un mois salutation
lllllllllllllllllllllllllllllllllllllllllllllllllllllllllllllllllllllllllllllllllllllllllllllllllllllllllllllllllllllllllllllllllllllllllllllllllllllll</t>
  </si>
  <si>
    <t>nounette-104102</t>
  </si>
  <si>
    <t>Un courtier a changé le contrat de ma maman elle a 88 ans . Pas moyen de les avoir au tel et sur internet le compte en ligne une grosse daube à fuire pas moyen de se faire rembourser, pas d adresse je vais lui changé de mutuelle .</t>
  </si>
  <si>
    <t>13/02/2021</t>
  </si>
  <si>
    <t>laurine-103951</t>
  </si>
  <si>
    <t>Intervention supprimée à la demande de l'internaute.</t>
  </si>
  <si>
    <t>papie-103916</t>
  </si>
  <si>
    <t>EVITEZ CETTE MUTUELLE ! Cette mutuelle ne semble pas être une mutuelle. j'ai essayé de téléphoner pour demander des informations, je suis tombé sur une accueil téléphonique qui devait être au Maroc ou en Tunisie avec une personne qui ma demandé de justifier de mon n° d'adhérent, de mon nom, de ma date de naissance, de mon tél, de mon adresse, de mon adresse mail  pour m'informer qu'elle ne pouvait répondre à aucune de  mes questions et m'a donner l'adresse mail où je pourrais expliquer mes demandes. Il s'avère que l'adresse mail ne répond pas à mes demandes... alors que faire ? C'est une mutuelle mutique  avec un système d'exploitation des rembloursements de premier ordre, mais dès que l'on est dans des demandes plus individuelles, il n'y a plus personne.... je ne suis pas convaincu que cette mutuelle en est réellement une. Il ne faut pas contracter ce type de mutuelle.</t>
  </si>
  <si>
    <t>chant-103660</t>
  </si>
  <si>
    <t xml:space="preserve">J ai basculé  de April  à Veoliane par l intermédiaire  d un courtière qui reste muette à mes nombreux  appels  qui a oublié de me retirer de April , du coup je paie deux  complémentaires santé,  pour résoudre  ce problème  je contacte Veoliane qui reste sourde à ma demande .
Complémentaire Veoliane je ne suis pas contente du tout de vos réponses , 
Ayant résilier mon contrat chez april qui prendra effet le 3 Mars J exige le remboursement  de mes deux mois de cotisations chez Veoliane </t>
  </si>
  <si>
    <t>violette-103629</t>
  </si>
  <si>
    <t xml:space="preserve">J'ai adhéré à Néoliane sur le conseil d'un courtier, Deevea Conseil, en février 2020 pour un contrat qui a débuté le 01/012021. Je le regrette amèrement, c'est une vraie pétaudière, Néoliane, pas moyen de se connecter à l'espace adhérent, c'est un labyrinthe d'identités différentes, entre assure-neoliane.meprotege.fr qui ne mène à rien, suivi d'an espace adhérent Neoliane avec un identifiant et un mot de passe qui ne mène à rien, complété par un centre de gestion qui ne répond pas au téléphone. Tout est aléatoire et imprévisible, un devis de soins dentaire accepté par gestion gestion@mutua.fr, mais des frais jamais remboursés par personne. Bref, un bazar pas possible, un centre de gestion qui vous demande de renouveller votre appel après 20 minutes d'attente. La totale. 
NEOLIANE UNE MUTUELLE A EVITER ABSOLUMENT
</t>
  </si>
  <si>
    <t>bino-103555</t>
  </si>
  <si>
    <t xml:space="preserve">Les remboursements de prestations sont médiocres. Le service client est inaccessible et toujours débardé et grosse galère pour résilier le contrat avec eux.
Mutuelle à fuire ! </t>
  </si>
  <si>
    <t>jmf-103231</t>
  </si>
  <si>
    <t>Grand regret d'avoir souscrit par le biais d'un courtier, envoi de mail répétitifs a la personne qui m'a vendu ce contrat sans pour cela avoir de réponse cohérente, impossible de joindre au téléphone, bref on vends et si souci par la suite, plus personne c'est vraiment du commerce au rabais</t>
  </si>
  <si>
    <t>pati-31-102523</t>
  </si>
  <si>
    <t>mutuelle à fuir j'ai souscrit mon contrat par l'intermédiaire du courtier 2a assures à bayonne hors nous sommes le 25 janvier 2021 et toujours pas de télétransmission pour mon mari ancien fonctionnaire par contre les prélèvements sont bien effectué sur le compte j'avais fait confiance à mon courtier avec qui je suis depuis plusieurs années mais c'est le groupe epsil néoliane santiane généralie qui sont soit des incompétents soit autres j'avais déja sans le savoir par l'intermédiaire de santiane eu affaire à eux et avaient eux les mêmes problèmes de plus pour résilier c'est pratiquement impossible ils vous disent ne pas avoir reçu les lettres rar alors que nous avons les reçues aussi faites très attention et ne souscrivez pas avec ces gens là</t>
  </si>
  <si>
    <t>sissidu61-103095</t>
  </si>
  <si>
    <t>Adhérente depuis le 01/08/2020, j'ai été séduite par leur tarif après avoir étudié plusieurs propositions de mutuelle. Je regrette ! Augmentation des tarifs sans un courrier explicatif du pourquoi...10 % de plus. Si tout s'est bien passé au début : l'ouverture du compte sur internet, carte tiers payant reçue rapidement, et quelques remboursements rapides de complément médecin généraliste (fait automatiquement par mon médecin), je suis beaucoup moins "heureuse" depuis novembre. Changement de coordonnés, envoi de devis dentaire (ca se gâte), relancé plusieurs fois, sans succès, aucune réponse de leur part. IDEM pour leur COURTIER... aujourd'hui réclamation à Nice. Je vais continuer à relancer même si ca doit durer, je ne lâcherai pas, même après résiliation. Merci pour la nouvelle loi qui nous permet de changer de mutuelle...Des le 1er aout prochain, je résilie, bloque les prélèvements bancaires et vais trouver une mutuelle uniquement pour les soins hospitaliers, pour le reste, je payerais de ma poche en mettant de coté. Les mutuelles ne sont plus ce qu'elles étaient. Cet avis n'est pas suspect.. 62 ans, et marre que l'on me prenne pour une andouille. !</t>
  </si>
  <si>
    <t>alain--103074</t>
  </si>
  <si>
    <t xml:space="preserve">Une mutuelle qui ne répond pas aux messages pour les devis optique chez Afflelou toujours en attente c'est une mutuelle à ne pas souscrire même pour le 100% santé </t>
  </si>
  <si>
    <t>lauracrd-102791</t>
  </si>
  <si>
    <t>Mutuelle absolument pourrie, y'a pas d'autre mot. Les remboursements sont extrêmement rares voire inexistants, donc vous payez chaque mois une somme bien rondelette pour rien, disons-le clairement. Quant au service client, c'est une vraie tannée... Comptez chaque fois entre 30 minutes et une heure d'attente avant que quelqu'un (d'incompétent, généralement) daigne vous répondre au téléphone. Quand ils vous répondent. Un seul mot : FUYEZ.</t>
  </si>
  <si>
    <t>ninique-102769</t>
  </si>
  <si>
    <t xml:space="preserve">Inscrite depuis 3ans. Jusque là ça allait. Il y a un mois j'ai envoyé un devis pour frais anesthésiste, j'ai eu du mal à avoir la réponse. Et là, l'opticien essaie de les avoir pour savoir a combien j'ai le droit de remboursement : impossible d'avoir la réponse. Je réfléchis à partir ailleurs..
</t>
  </si>
  <si>
    <t>17/01/2021</t>
  </si>
  <si>
    <t>nicky-102690</t>
  </si>
  <si>
    <t>Je suis nouvelle cliente chez Néoliane depuis le 1/1/2021 et à ce jour, 16 Janvier, malgré plusieurs appels IL EST IMPOSSIBLE DE SE CREER UN COMPTE SUR INTERNET.....
Je trouve cela désolant car on ne peut pas suivre ses remboursements......</t>
  </si>
  <si>
    <t>duchmoll-102521</t>
  </si>
  <si>
    <t xml:space="preserve">Je suis adhérent chez Néoliane ,mon contrat démarre au 01/01/2021 et à ce jour la  télétransmission n'est toujours pas en place par contre le montant de ma cotisation a bien été prélevé à la date dans l'immédiat je ne peux que constater que ce qui est dit dans les commentaires semble conforme avec la façon d'opérer de cette mutuelle .
Moi même j'appréhende la suite car c'est vrai que les réponses sont rares ,je vais quand même utiliser cette mutuelle qui ne m'inspire pas confiance maiis je peux me tromper et je saurai le reconnaitre ,c'est un courtier d'un cabinet d'assurances ECG-Assurances dont le prénom est Armand avec qui j'ai souscrit je ne le recommande pas car lui aussi ne répond pas souvent.
</t>
  </si>
  <si>
    <t>jmc-102505</t>
  </si>
  <si>
    <t xml:space="preserve"> Un an passé chez eux : payé 1945€, remboursements 240€.
j'ai attendu de janvier à fin juillet pour que la télétransmission avec ma CPAM soit mise en place(environ 10 relances par courriels) . 
Les joindre au téléphone? Service commercial à Nice: Toujours+ de 30mn d'attente pour s'entendre dire poliment que l'on va transmettre au centre de gestion, qui se trouve à Toulouse! Et que l'on ne peut pas joindre en direct.
Il m'a fallu pendant 8 mois télécharger mes feuilles de remboursement /AMELI,et les envoyer par courriels(heureusement):remboursé environ 10 à 15 jours après.
Ma nouvelle complémentaire à fait la résiliation du contrat. Je leur avais donné pouvoir.
Par mesure de précaution, j'ai fait une LR de confirmation à Néoliane. Ils n'acceptaient pas la résiliation, de mon nouvel assureur, au prétexte que ce n'était pas moi qui avais signé la résiliation, bien qu'ils avaient reçu copie du pouvoir .
Concernant ma LR, ils ont prétexté qu'elle n'était pas signée.
J'ai envoyé par courriel la copie du mandat de signature, et une copie de ma LR visée que j'avais en archive.
Réponse: acceptation par le service client de Nice, et refus du centre de gestion par courriel.
J'ai menacé ce dernier de poursuites, mais n'ai pas reçu de réponse.
J'ai suspendu les prélèvements  au 15 décembre. J'ai reçu un courriel me disant qu'il regrettaient de me voir partir!!!
Ma nouvelle complémentaire m'a prévenu, la semaine dernière, qu'ils ne pouvaient pas mettre en place la télétransmission avec la CPAM. J'a demandé à Néoliane (sce client, bien sûr) de faire faire le nécessaire par le centre de gestion, et de me prévenir de l'exécution de mon ordre. 72h après, rien de fait, je les ai relancés par courriel. Une demi journée après, pas de nouvelles, mais mon nouvel assureur m'a prévenu qu'ils étaient connectés avec la CPAM.
Conclusion: Si vous aimez les ennuis, cotisez à cette société d'assurance!</t>
  </si>
  <si>
    <t>karine-68281</t>
  </si>
  <si>
    <t>Il semblerait que tous les avis négatifs soient notifiés comme "suspects", je vais donc laisser le mien tout de même pour faire part de mon mécontentement objectif.
Cliente depuis 2 ans, je demande une prise en charge pour une 1ère paire de lunettes pour ma fille début décembre et à ce jour ( 1mois 1/2 tout de même) toujours pas d'accord ou de réponse de la mutuelle ( l'opticien lui même n'a jamais rencontré de telles lenteurs pour une demande de prise en.charge pour un remboursement d'une centaine d'euros seulement..) 
La carte de tiers payant toujours pas reçue non plus pour 2021, obligée de téléphoner pour en faire la demande, après 10 min d'attente une personne vous répond qu'ils ont un souci technique et qu'ils ne peuvent accéder à votre dossier . Il faut rappeler..
Bref..</t>
  </si>
  <si>
    <t>brume-oceane-100447</t>
  </si>
  <si>
    <t>Bonjour, je voulais vous signaler l 'assurance Néoliane santé prévoyance , sise à Reims qui démarche téléphoniquement des clients un peu trop crédules... Cet organisme excelle  pour convaincre. En fait, ils jouent éhontément sur les mots et abusent de la confiance  de ses clients, afin que ces derniers souscrivent massivement  à ses contrats. On nous promet des indemnisations substantielles, suite à une hospitalisation accidentelle de 5 jours minima. Pour ma part , j 'ai été hospitalisée une semaine entière, amenée aux urgences par les pompiers de ma ville qui n 'ont eu d'autre recours que de fracturer le store et la vitre de ma cuisine pour me porter secours. J 'étais dans l 'incapacité absolue d'aller leur ouvrir ma porte d'entrée, ayant brutalement et soudainement été prises de vertiges rotatifs importants, en même temps que de nauséées et de diarhhées.Herureusement que j 'ai pu appuyer sur le bouton de ma télé assistance dont le bracelet entoure mon poignet. Ainsi, cette dernière a pu appeler les secours.
J 'ai fourni à Néoliane Santé prévoyance tous les justificatifs et documents demandés, dont un écrit détaillé de ce qu'il m 'était advenu. Je viens de recevoir une réponse négative , au motif fallacieux que les indemnisations concernaient uniquement des accidents. Dans mon cas, à leurs yeux, je n 'étais pas dans ce cas de figure!!  L 'attestation d'intervention des pompiers à mon domicile, le bulletin d'hospitalisation et mon  écrit détaillé concernant les circonstances de mon accident. Avec la mauvaise foi qui caractérise trop souvent, hélas, les assureurs, pour ne pas avoir à indemniser leurs clients , ils ont joué sur les mots, me prenant au passage pour une idiote!Outre un abus de confiance, je dénonce un abus de pouvoir subtilement orchestrés parcet organisme. Mon médecin traitant n 'a pu me fournir un certificat médical, étant absent au moment  des faits dûment relatés Je voulais porter à votre connaissance ces exactions commises à mon encontre, afin d'éviter que d'autres personnes en soient victimes..
Merci et mes salutations  distinguées,
Dominique Brugière</t>
  </si>
  <si>
    <t>yo-101403</t>
  </si>
  <si>
    <t>Attention mutuelle qui appelle souvent au domicile des gens en faisant croire que c est pas une mutuelle mais qui sont là pour palier à la sécu qui nous rembourse soit disant plus correctement l hospitalisation !!!!  !!!</t>
  </si>
  <si>
    <t>14/12/2020</t>
  </si>
  <si>
    <t>marc-101287</t>
  </si>
  <si>
    <t xml:space="preserve">très de écoute de Mame, bonnes explications , très bonne initiative pour aider et enfin fort aimable , très pro  merci . Comme je serai vraiment client en 2021 j'espère que cette confiance sera la meme
</t>
  </si>
  <si>
    <t>11/12/2020</t>
  </si>
  <si>
    <t>jocelyn-99882</t>
  </si>
  <si>
    <t>Néoliane n'a aucun professionalisme, leur procédure sont floues, il est extremement difficile de résilier un contrat chez eux. Je n'ai jamais vu ça, personnellement pour résilier, cela m'a pris 6 mois, plusieurs heures au téléphone avec leur service client et 4 lettres recommandées accusées receptions qu'ils faisaient semblant de ne pas avoir reçu pour pouvoir poursuivre mon contrat.</t>
  </si>
  <si>
    <t>07/12/2020</t>
  </si>
  <si>
    <t>lilia--100832</t>
  </si>
  <si>
    <t>À fuir à tout prix ! J’attends depuis plusieurs semaines une réponse à un devis dentaire.
Au téléphone, après plusieurs appels et de très longues attentes , il sont incapables de vous renseigner correctement. Quand vous avez terminé l’échange si il y a échange, vous n’avez pas de réponse à vos questions. J’attends également un remboursement et toujours rien. Nulle, nulle, nulle cette mutuelle.</t>
  </si>
  <si>
    <t>sophie-100555</t>
  </si>
  <si>
    <t xml:space="preserve">Pratique le démarchage et la vente abusive par téléphone avec usurpation d'identité, la personne au téléphone m'a dit a plusieurs reprises travailler pour CSM Conseil (qui est en réalité un cabinet d'expert comptable, qui n'a rien à voir ...) Ne m'a jamais communiquer le nom de néoliane. Numéro appelant : 0563887050. Ne leur donnez aucune information, ni ne communiquez par de code qu'ils peuvent vous envoyez par mail ou sms qui sert de signature électronique ou accord pour prélèvement bancaire ! </t>
  </si>
  <si>
    <t>24/11/2020</t>
  </si>
  <si>
    <t>strecya25--100053</t>
  </si>
  <si>
    <t>Le délai d’attente est extrêmement long. Sinon dans l’ensemble tout est correct, le conseiller a été aimable et très précis dans ces réponses. Merci beaucoup</t>
  </si>
  <si>
    <t>bullekipik-99540</t>
  </si>
  <si>
    <t>Très déçue également de cette mutuelle et j'ai hâte d'arriver à la date anniversaire pour en changer. J'ai eu du mal à ce que la télétransmission soit mise en place. Elle est finalement en place depuis le 3 octobre et cependant je n'ai toujours pas été remboursée suite à une visite chez mon médecin traitant le 16 octobre dernier alors que la CPAM a bien transmis le document à la mutuelle. Ils me disent qu'ils ne l'ont pas reçu alors que la CPAM me confirme que ça a bien été fait et d'ailleurs quand je vais sur le compte Ameli il est bien indiqué que le document concernant la consultation chez mon médecin a bien été transmis à la mutuelle par "télétransmission". Tout comme vous JE DECONSEILLE FORTEMENT CETTE MUTUELLE qui en plus est très onéreuse</t>
  </si>
  <si>
    <t>chuteur-99483</t>
  </si>
  <si>
    <t xml:space="preserve">Courrier recommandé adressé en mars 2020 resté sans réponse 7 mois plus tard ! Ils font la sourde oreille mais par contre n'oublient pas d'adresser leur nouvel échéancier.
Je ne recommande cette mutuelle à personne. Si vous les appelez, vous aurez de la chance d'avoir un interlocuteur au bout de 15 ou 20 minutes. Le siège clients est à Nice (06), le Centre de gestion à Muret(31).  Ils semblent ne pas vouloir se connaitre puisque le courrier adressé à l'un n'est pas retransmis à l'autre si nécessaire.
Leur comportement commercial est très très agressif. J'ai adressé un courriel au service contentieux lui aussi resté sans réponse ! De vrais charlots ! </t>
  </si>
  <si>
    <t>lucie-44784</t>
  </si>
  <si>
    <t>Neoliane santé une catastrophe.  Chère et mal remboursée. J'en  paye les conséquences moralement. Toujours se battre pour les relancer. Par contre  il débite notre compe au jour à  date et à  heure.
Fuyez les en courant.
Il peuvent se payer leurs bureaux sur la promenade des anglais à  Nice 06.
Je les quitte fin d'année nayant pas pu plus tôt, mais soulagée  moralement et financierement. Ne vous laissez pas piéger vous aussi par ces .....</t>
  </si>
  <si>
    <t>13/10/2020</t>
  </si>
  <si>
    <t>maximo-98589</t>
  </si>
  <si>
    <t>Je recommande sans hésiter ! J'ai fait souscrire mon père à cet assurance santé qui a couvert tous ses frais médicaux jusqu'à son décès. Quand je leur ai demander des infos pour la résiliation le jour du décès, ils ont été tout à fait humain et tout s'est très bien passé. C'était fin 2019 mais je tenais à partager cette expérience positive. Je n'ai jamais eu affaire à un assureur aussi professionnel !</t>
  </si>
  <si>
    <t>10/10/2020</t>
  </si>
  <si>
    <t>kael-57700</t>
  </si>
  <si>
    <t>Très déçue , sur une opération qui m aura couté 550 euros , Neoliane me rembourse 139 euros .
Sur une échographie de 130 euros , le régime obligatoire me rembourse 30 euros et la mutuelle rien du tout car dépassement d honoraires de la part de la clinique .
Mieux vaut être fortunée et choisir  une excellente mutuelle ou être pauvre et dépendre d une mutuelle de l’état ou de l ACS .
Mes frais de mutuelle dépassent de beaucoup les remboursements effectués .</t>
  </si>
  <si>
    <t>tom-98398</t>
  </si>
  <si>
    <t>suite à mon appel ce jour concernant plusieurs renseignements mon interlocutrice LAMIA m'a renseigné sur tous les points que je lui ai demandé, je la remercie pour son accueil et ses explications claires</t>
  </si>
  <si>
    <t>elizabete--97844</t>
  </si>
  <si>
    <t xml:space="preserve">La personne m'a très bien expliqué comment je devais faire pour resilier mon contrat.
Les demarches a faires sur internet on été très claires 
Cordialement Adam Elizabete </t>
  </si>
  <si>
    <t>jb-97759</t>
  </si>
  <si>
    <t xml:space="preserve">Avoir autant d'intermédiaires incompétents autours de vous est une prouesse à ce niveau. Un centre de gestion à 450 km de votre siège, des courtiers partout en France... Vous êtes des anciens de chez K par K ou un truc du genre c'est ça ?! 
Ma pauvre grand-mère est tombée dans le panneau, bravo à vous ! 
Je tiens aussi à féliciter votre service clients rempli de personnes charmantes et très professionnelles qui connaissent leur métier sur le bout des doigts... Prochaine étape formez les sur les assurances santés et vous serez presque au top. Ca leur évitera de se faire engueuler et de devenir aigris </t>
  </si>
  <si>
    <t>chloe-97545</t>
  </si>
  <si>
    <t>Expérience effroyable avec cette assurance. Un courtier a tenté de me vendre l'assurance il y a deux mois en se faisant passer pour la sécurité sociale. Après avoir été mise en confiance je lui ai fournis les informations dont il avait besoin. Puis lorsqu'il a parlé de contrat j'ai commencé à me douter que quelque chose n'allait pas et je me suis rétractée immédiatement pendant cet appel. Très aimable, ce premier démarcheur a de fait tout annulé. J'ai rappelé Neoliane quelques jours plus tard pour confirmer qu'aucun contrat n'avait été signé et validé ce qu'ils m'ont confirmé. Mais hier, surprise, un nouveau démarcheur ou courtier me joint et m'enjoint à continuer les démarches entreprises en m'annonçant que je n'avais pas le droit de revenir sur ma décision de ne pas valider le contrat, que peu lui importait mon refus oral, qu'il y aurait prélèvement que je le veuille ou non, et il a fini par des menaces avant de me raccrocher au nez... Depuis je souhaite les joindre pour vérifier ses dires avant de prendre des mesures mais impossible de les joindre...</t>
  </si>
  <si>
    <t>chouette44-97554</t>
  </si>
  <si>
    <t xml:space="preserve">le 3avril  je demande une mutuelle individuelle chez Aviva on me répond on vous rappelle dans 10 minutes et ils m'ont rappelé que le mois apres donc je me suis retrouvée sans mutuelle donc j'ai trouvé la neoliane le mois de mai et je suis bien contente plus de remboursement et moins chère que aviva c'est vraiment la débandade à fuir cette mutuelle en fin de compte je suis bien contente qu'ils ne me rappelle pas le mois d avril car j'ai trouvé 100% mieux. Avant de faire partie du groupe aviva était vraiment bien. Je donne la note de 0 sur tout les points de vue bien sur pour aviva et 20/20 pour la neoliane </t>
  </si>
  <si>
    <t>leti66-97459</t>
  </si>
  <si>
    <t>Premier contact téléphonique avec Nadège super satisfaite car j'ai reçu un accueil agréable et toutes les réponses à mes interrogations c'était très clair</t>
  </si>
  <si>
    <t>blando-97407</t>
  </si>
  <si>
    <t>aucun souci et tarif très compétitif depuis 3 ans retraitée et en ald tarif étudié et conseillère à l'écoute et disponible à tout moment hospitalisée un mois en clinique je n'ai rien déboursé</t>
  </si>
  <si>
    <t>15/09/2020</t>
  </si>
  <si>
    <t>stefmarseille-97406</t>
  </si>
  <si>
    <t>un très bonne mutuelle je confirme. je l ai eu depuis 6 ans et honnêtement je ne me pleins pas du tous sincèrement. le tiers payant la qualité de service oh que je me sens serein en sécurité</t>
  </si>
  <si>
    <t>stef187-97405</t>
  </si>
  <si>
    <t>tres bonne mutuelle qui est la quand on en a besoin, que ce soi par telephone ou quand on se fait rembourser avec la carte. j'ai eu ce contrat a travers un demarchage au telephone, j'etais un peu septique ou depart, mais au final je men rejouis et je nhesite pas a en venter les merites a mon entourage tout autant satisfsait que moi</t>
  </si>
  <si>
    <t>jack3269-97154</t>
  </si>
  <si>
    <t xml:space="preserve">Je suis pour le moment chez Noliane , il est vrai que je n'ai pas eu de demande particulière , je viens de lire les avis sur cette assurance , j'avoue que je suis refroidi et me demande si je ne dois pas changer d'assurance </t>
  </si>
  <si>
    <t>08/09/2020</t>
  </si>
  <si>
    <t>insastifait-42401</t>
  </si>
  <si>
    <t>Aux abonnés absents, devis dentaire envoyé, jamais de réponse, décompte de la sécu envoyé, facture acquittée de mon dentiste envoyée depuis plus de 2 mois, plusieurs réclamations, aucune réponse, j'envisage de changer.</t>
  </si>
  <si>
    <t>02/09/2020</t>
  </si>
  <si>
    <t>papy1jm-96761</t>
  </si>
  <si>
    <t>a fuire absolument ne repond a aucun mail aucun suivi aucun interlocuteur
une annee de galere heureusement la fin de l annee arrive j ai deja pris contact
avec un assureur LOCAL legerement plus cher tant pis</t>
  </si>
  <si>
    <t>pollux-96716</t>
  </si>
  <si>
    <t xml:space="preserve"> . Ayant été hospitalisée pour un cancer du sein  le 24/07/2020 , j'ai toutes les peines du monde à me faire indemniser pour 2 jours d'hospitalisation alors que j'ai souscrit une assurance hospitalisation à raison de 30 euros/jour . J'envois des mails pas de réponse  , je téléphone on ne décroche pas et le pompon hier quelqu'un a enfin daigné répondre et alors la je suis tombée sur une dame qui apparemment n'était pas en phase avec mon contrat</t>
  </si>
  <si>
    <t>27/08/2020</t>
  </si>
  <si>
    <t>duvaledith-95988</t>
  </si>
  <si>
    <t>Le service client est inexistant. Impossible d'obtenir une réponse à mes demandes formulées ainsi qu'il est conseillé par mail que ce soit auprès de Santiane qui transmet au courtier ni auprès du courtier directement. Quant au téléphone, après 45 mn d'attente sans réponse, je raccroche. 
Dès qu'il s'agit d'une prise en charge autre que les consultations ou médicaments habituels, il faut se "battre" pour obtenir le remboursement prévu au contrat.
C'est une façon pour la mutuelle d'augmenter ses bénéfices en lassant ses adhérents.
Et je peux témoigner que ce n'est pas la crise de la COVID qui empêche la bonne marche de cette mutuelle car bien avant le problème était le même.</t>
  </si>
  <si>
    <t>06/08/2020</t>
  </si>
  <si>
    <t>nickie-95916</t>
  </si>
  <si>
    <t>très satisfaite de l'échange avec mon conseiller et de ma demande  par téléphone
très bonne Assurance Santé et des services clients réponse rapide 
Cordialement</t>
  </si>
  <si>
    <t>monparis-95887</t>
  </si>
  <si>
    <t xml:space="preserve">Je suis étonnée des commentaires des clients de cette mutuelle pour le remboursement en dentaire et optique car personnellement, je n'ai eu aucun problème avec eux... Je suis toujours sous contrat avec eux, ça fait maintenant 3ans. J'ai toujours eu mes remboursements en tant et en heure, le service client est très réactif par mail. Et par telephone aussi </t>
  </si>
  <si>
    <t>eman77-95649</t>
  </si>
  <si>
    <t>depuis 8 ans à la neoliane sante  50% de bonus, toujours remboursé et prise en charge correctement.mes enfants sont inscrits depuis 2ans, et sans aucun problèmes .j avais un devis dentaire de 2400eurs j ai paye que 200euros. A l hopital j ai rien paye meme avec ma chambre seul. 
Je suis étonné franchement des avis négatifs.Il y a toujours moins cherchais on juge une assurance qu'en cas de problèmes, et franchement je n'ai rien à dire sur la neoliane. j'ajoute que je n'ai aucun intérêt chez eux! on note toujours les problèmes et bien pour une fois je dis chapeau à cette assurance pour son travail sérieux. maniement il y aura toujours des grincheux !!!</t>
  </si>
  <si>
    <t>29/07/2020</t>
  </si>
  <si>
    <t>titus-93098</t>
  </si>
  <si>
    <t xml:space="preserve">Suite a une augmentation significative de cotisation sans aucun courrier me prévenant, et après consultation des statuts  je décide de résilier mon contrat de mutuelle.
Malgré plusieurs échanges accompagnés de documents  inconstestables, ma demande est dite "IRRECEVABLE"
a ce jour  (juillet 2020)  j'ai reçu deux mises en demeure de paiement  et suis averti de transfert de mon dossier a une huissier  !!!
j'ai inscrit une réclamation auprès du site officiel signal.conso.fr   </t>
  </si>
  <si>
    <t>tagerling-89952</t>
  </si>
  <si>
    <t>Il faut relancer à chaque demande.</t>
  </si>
  <si>
    <t>stopabusassurance-89675</t>
  </si>
  <si>
    <t xml:space="preserve">Surprise en allant enfin rendre visite à mon Parrain grâce au deconfinement j'apprends qu'il a été abusé par le démarchage téléphonique de DNASSUR qui lui a vendu un contrat Obsèques Néoliane pour lui et son épouse. Probablement il a donné le code à quatre chiffres envoyé par SMS par l'operateur sans scrupules. On me dit qu'il avait 15 jours après reception du contrat pour se retracter. L'envelloppe est toujours fermé. 81 ans et un AVC, son épouse luttant contre un cancer et sans aucun revenu il ne comprend pas ce qui lui arrive et me demande de vérifier les prélèvement bancaires. Prélèvements au nom de Mutuelle Bleue. Il faut le faire.
Je suis en colère et je dois résilier avec deux mois de préavis. Néoliane me dit que les sommes versés ne sont pas remboursables. Sur les Forums c'est toujours le même déroulé.
Quand est ce que ces gens seront vraiment sanctionnés ?
Je vais me rapprocher de la Direction de la Répression des Fraudes. </t>
  </si>
  <si>
    <t>15/05/2020</t>
  </si>
  <si>
    <t>katia-89636</t>
  </si>
  <si>
    <t xml:space="preserve">Une honte ! On vient de m'appeler pour me proposer un contrat d'assurance supplémentaire pour une indemnité supplémentaire en cas d'hospitalisation. Personne très gentil tout le long, et on en vient au faite qu'il faille que je paie 10€ de + par mois, donc je lui dis que ça ne m'intéresse pas et là on me raccroche au nez ! Franchement aucun respect, une vraie honte à cette personne. C'est là qu'on voit que nous ne sommes intéressants que lorsqu'on leur donne de la tune. A fuire ! Il ferait mieux de laisser son boulot à quelqu'un qui le mériterais ! </t>
  </si>
  <si>
    <t>14/05/2020</t>
  </si>
  <si>
    <t>antoineairline-89067</t>
  </si>
  <si>
    <t>Après avoir discuté avec la commerciale, j'ai accepté de prendre cette mutuelle. Aucun soucis pour envoyer le contrat, aucun soucis pour les prélèvements, par contre aucun remboursement n'a jamais été effectué !!! Tous les frais sont à ma charge, et on m'explique chaque semaine que ma situation va être régularisée dans les 48h. Il ne reste plus qu'à bloquer le prélèvement pour limiter la casse. C'est de loin la pire mutuelle que je connaisse. Je ne trouve rien de positif.</t>
  </si>
  <si>
    <t>19-72448</t>
  </si>
  <si>
    <t xml:space="preserve">, une horreur de mensonges lors de la vente j'ai réussi à quitter néoliane après bien des complications. aucune gestion clientèle , personne ne répond jamais au telélphone , des remboursements qui arrivent au bout de 6 à 8 mois à force de réclamer . la pire mutuelle de ma vie c'est néoliane , à fuir très très vite </t>
  </si>
  <si>
    <t>isabeller03-88998</t>
  </si>
  <si>
    <t>Mutuelle à éviter totalement ! Ils m'ont contactée en septembre 2019. Etant bénéficiaire de l'ACS, je leur ai dit que je pensais que cette dernière serait renouvelée, et donc, je ne souhaitais pas m'engager auprès d'eux, malgré leur prix compétitif. Ils m'ont forcée à signer je ne sais quel papier par informatique, voire même par téléphone, en s'engageant à ce que le contrat soit annulé si mon ACS était renouvelée. Cette dernière a été, comme prévu, renouvelée au 1er avril. Coronavirus oblige, les papiers me sont parvenus un peu tard. Du coup, bien qu'ils étaient prévenus dès le départ, ils m'ont prélevée les 105 euros du premier mois.... et ne veulent pas me les restituer !!!</t>
  </si>
  <si>
    <t>20/04/2020</t>
  </si>
  <si>
    <t>dav45-88984</t>
  </si>
  <si>
    <t>Si le dossier est complet il n y a aucun problème. Le dossier est transmis à un médecin conseil qui prendra la décision.Je conseillé ce contrat pour tout les gens. car dans la vie il y a toujours des imprévus</t>
  </si>
  <si>
    <t>19/04/2020</t>
  </si>
  <si>
    <t>je vous ai donné un avis sur Santiane en fait il s'agit de Néoliane. en résumé néoliane passe par un centre de gestion MUTUAGESTION qui n'est pas du tout fait pour ce travail .cela fait 3 mois que j'attends un remboursements de soins chirurgicaux légers.Mutua m'informe que mon dossier est bien pris en compte mais qu'il faut patienter,depuis 14 janvier !!!!</t>
  </si>
  <si>
    <t>plumette-88153</t>
  </si>
  <si>
    <t>Je réagiis au commentaire de clients de néoliane santé et ainsi que des réponses données par Néoliane santé.
Je rencontre les mêmes problèmes concernant mes remboursements. J'ai des soins dentaires courants effectués le 3/12/19 traités par la SS et décompte transmis à MUTUA GESTION, afin que ceux-ci effectuent mon remboursement, je n'ai toujours pas été remboursé. Idem début février pour des séances de Kinésithérapie, décompte transmis à Mutua gestion, toujours pas remboursé. Ce sont des soins courants qui ne nécessitent pas de factures en plus(car mon contrat stipule bien que ce genre d'actes est traités directement après réception du décompte) Il n'y aucun dépassement d'honoraires.
Depuis le 29/01/20 j'ai déposé une réclamation avec mon décompte et en plus une facture concernant mes frais dentaires que je n'étais pas obligée de fournir, je n'ai toujours pas été remboursé et je n'ai aucune nouvelle malgré appels depuis 1 mois incessants quelques soient le jour et l'heure (même les plages horaires qu'ils disent plus accessibles, c'est  faux). Un site internet qui depuis 10 jours au moins ne fonctionne plus car impossible de se connecter. " il est mit : Site inaccessible". Or, ce site, nous sert pour déposer des réclamations, des factures, des devis, des prises en charges.... Comment Néoliane, puisse intervenir sur ce site et répondre aux clients de Néoliane, de se connecter sur un site qui ne fonctionne pas depuis un certain temps et de déposer des réclamations, alors que même si nous les déposons ,elles ne sont mêmes pas traitées depuis des mois.
Aujourd'hui, 10 mars, encore une tentative restée sans résultats. Par, contre aujourd'hui ma cotisation et celle de mon conjoint a bien été prélevé.
Donc en tant qu' adhérent, je vous demande d'être honnête et de renseigné les adhérents afin de savoir ce qu'il se passe au sein de votre société. Les renseignements cités plus haut par Néoliane sont erronés, car je suis depuis 3 mois bloqués dans mes démarches effectuées  auprès d'eux car impossible des les joindre quelque soit (téléphone, site,...) . Ils sont muets et jouent à la politique de l'autruche. Et j'ai d'autres demandes qui n'ont pas abouties (prises en charges hospitalières qui n'ont jamais été reçu le jour de mon hospitalisation, facture ostéopathie reçue et non traitée depuis 3 semaines au moins</t>
  </si>
  <si>
    <t>10/03/2020</t>
  </si>
  <si>
    <t>marsouin65-88134</t>
  </si>
  <si>
    <t>Beaucoup trop d'intervenants pour résoudre un seul problème qui met un mois à être résolu. Cette compagnie est digne du XVIe siècle... et encore !</t>
  </si>
  <si>
    <t>09/03/2020</t>
  </si>
  <si>
    <t>amoura-88122</t>
  </si>
  <si>
    <t>Tres Mauvais service</t>
  </si>
  <si>
    <t>chetemi62-87643</t>
  </si>
  <si>
    <t>Je n' attend plus qu'une chose : la date pour résilier mon contrat</t>
  </si>
  <si>
    <t>peggy-87551</t>
  </si>
  <si>
    <t xml:space="preserve">J'attends l'acceptation d'un devis pour orthodontie que j'ai envoyé il y a 10 jours. Absence de réponse, plate forme téléphonique..
j'ai pris cette mutuelle en janvier 2020 absence d'interlocuteur ,le flou. Je n'attendrai pas toute l'année pour résilier si la situation ne bouge pas. 
Peggy Vidal
</t>
  </si>
  <si>
    <t>mok-87468</t>
  </si>
  <si>
    <t>Souscription d'un contrat santé en 2019 pour janvier 2020. Aucun suivi des demandes sur le site. Aucun moyen de les joindre par téléphone. Ils sont toujours occupés et vous font patienter pendant des heures. Les professionnels s'entendent dire que je ne suis pas adhérente, 2 mois après, alors qu'ils n'oublient pas de prélever mon compte bancaire. Je suis déjà à la recherche d'une mutuelle pour l'an prochain. A proscrire absolument</t>
  </si>
  <si>
    <t>francou120-87298</t>
  </si>
  <si>
    <t>échange avec Gwendal très satisfaisant explications claires</t>
  </si>
  <si>
    <t>18/02/2020</t>
  </si>
  <si>
    <t>christellaw9-87209</t>
  </si>
  <si>
    <t>Remboursement misérable, service client laborieux, dossier non traité depuis 5 mois (changement d'adresse qui n'a jamais été changé malgré mes nombreuses demandes) j'ai déménagé à l'étranger et présenté mes justificatifs de déménagement (visa...), ils rejettent ma demande et continue à me prélever malgré nos échanges depuis 2 mois. 0 honnêteté de leur part, une conseillère m'a dit au téléphone on accepte votre demande, pas de soucis, et au final, rien n'a été fait, et ils continuent à me harceler!! Je vous conseille de passer votre chemin concernant cet assureur</t>
  </si>
  <si>
    <t>16/02/2020</t>
  </si>
  <si>
    <t>pgv92-86943</t>
  </si>
  <si>
    <t>facture de prothèse dentaire en date du 20 décembre 2019 expédiée avec prise en charge de néoliane, au 10 février 2020 toujours rien. Mes 43 appels téléphoniques au centre de gestion n'ont jamais abouti car trop d'appels en ligne (pas étonnant. Que faire, par cntre aucun délai de retard pour le prélèvement, je n'avais jamais eu cela avec ma précédente mutuelle en 30 années.</t>
  </si>
  <si>
    <t>minouche-86718</t>
  </si>
  <si>
    <t>J ai souscrit un contrat erreur de date de naissance problème de RIB je ne peux pas me service de la carte</t>
  </si>
  <si>
    <t>04/02/2020</t>
  </si>
  <si>
    <t>nadinelp-86402</t>
  </si>
  <si>
    <t xml:space="preserve">A abusé de la vieillesse de ma maman et lui a fait changer de mutuelle en 2 minutes! Néoliasanté a entourloupé maman au téléphone. </t>
  </si>
  <si>
    <t>27/01/2020</t>
  </si>
  <si>
    <t>lulucoran-85586</t>
  </si>
  <si>
    <t xml:space="preserve">Très mécontente de leurs services mon bébé est né depuis octobre nous sommes janvier et toujours aucune affiliation à la cpam de faite et pourtant je leur ai envoyé déjà 2 mail avec attestation de sécu, pour mon changement d'adresse et de nom car je me suis mariée pareil il a fallu râler pour que les changements se fasse. Mais en attendant je n'ai aucun remboursement de fait sur les visites de mon bébé que j'ai régulièrement ayant des soucis de santé. Honteux de payer aussi cher une mutuelle qu'ils n'oublient pas d'augmenter en janvier et de ne pas être remboursé comme il se doit.
Mon mari vient d'avoir un courrier de son boulot comme quoi il doit prendre la mutuelle de son travail  j'espère que celle-ci sera plus compétente. </t>
  </si>
  <si>
    <t>07/01/2020</t>
  </si>
  <si>
    <t>cat-55-85334</t>
  </si>
  <si>
    <t>Démarchage téléphonique abusif auprès de personnes âgées et vulnérables. Les courtiers/intermédiaires disposent du RIB de leurs victimes (par quel moyen??). Néoliane se dédouane en affirmant qu'elle n'est pas responsable de ces courtiers. Etonnant, non?
Pratiques commerciales amorales.</t>
  </si>
  <si>
    <t>29/12/2019</t>
  </si>
  <si>
    <t>lucie-82099</t>
  </si>
  <si>
    <t>Service client téléphonique catastrophique (conseillers avec des phrases types), mise en attente multiples, espace client incompréhensible sur lequel nos messages envoyés ne sont pas traités et sur lequel nous n'avons aucun moyen d'action. On m'a souscrit une prévoyance alors que ça ne m'avait pas été expliqué explicitement. Je ne recommande pas ...</t>
  </si>
  <si>
    <t>mireille-81835</t>
  </si>
  <si>
    <t xml:space="preserve">J'ai été accueillie au téléphone par Gwendal, qui a su me rassurer avec Humour, 
Grand professionnel . Amabilité... conseil.... résolution de mon problème avec une efficacité redoutable. 
Franchement je souhaite que toutes vos équipes soient comme lui.
</t>
  </si>
  <si>
    <t>12/12/2019</t>
  </si>
  <si>
    <t>mic-81527</t>
  </si>
  <si>
    <t>Le suivi des dossiers de remboursements est à revoir.difficulté d'obtenir un interlocuteur compétent malgré de nombreuses relances</t>
  </si>
  <si>
    <t>02/12/2019</t>
  </si>
  <si>
    <t>ghis-81353</t>
  </si>
  <si>
    <t xml:space="preserve">J'ai été accueillie au téléphone par Gwendal, qui a su me rassurer et me conseiller avec le sourire.
</t>
  </si>
  <si>
    <t>26/11/2019</t>
  </si>
  <si>
    <t>moms57-80356</t>
  </si>
  <si>
    <t>J'ai étais client de neoliane protection juridique qui couvre beaucoup de situations et le service clients est réactif que ce soit en ligne ou au téléphone, je remercie Monsieur KHALID qui a su répondre à ma demande . Merci</t>
  </si>
  <si>
    <t>marilene-80051</t>
  </si>
  <si>
    <t>Bonjour, je suis très satisfaite de mon entretien avec votre conseillère "Mme Sabrina" qui a su être à l'écoute et agréable pour gérer les démarches de ma mère avec des explications claires et simples</t>
  </si>
  <si>
    <t>fleurs-79889</t>
  </si>
  <si>
    <t>j ai eu un agent qui se prénomme gwendal très sympa qui m a très bien renseigne et a même fait mes identifiants donc je lui donne une très bonne note</t>
  </si>
  <si>
    <t>elo5311-79886</t>
  </si>
  <si>
    <t xml:space="preserve">Mutuelle extrêmement chère mais les remboursements sont rapides. </t>
  </si>
  <si>
    <t>papito-79849</t>
  </si>
  <si>
    <t>je suis ravie de la rapidité de Gwendal qui été très réactif a ma demande et a su répondre a d'autres questions aimable</t>
  </si>
  <si>
    <t>09/10/2019</t>
  </si>
  <si>
    <t>rouky-79353</t>
  </si>
  <si>
    <t>Merci à Guendal sincères remerciements pour votre génèrosité de comprèhention de compétence et de votre attention envers moi. Il est très rare de nos jours d'avoir un interlocuteur aussi gentil avec beaucoup d'humour et des compétences irréprochables merci merci</t>
  </si>
  <si>
    <t>20/09/2019</t>
  </si>
  <si>
    <t>fred38660-78964</t>
  </si>
  <si>
    <t>Accueil téléphonique parfait.
Interlocutrice Lamia très professionnelle.
Je n'ai rien d'autre à ajouter.
................................................................................................................
Parfait</t>
  </si>
  <si>
    <t>05/09/2019</t>
  </si>
  <si>
    <t>bibi47-57869</t>
  </si>
  <si>
    <t>Une honte de penser qu'il faut plus d'un mois pour rembourser des visites médicales normales</t>
  </si>
  <si>
    <t>30/08/2019</t>
  </si>
  <si>
    <t>meules-78724</t>
  </si>
  <si>
    <t>1 mois pour être remboursé un courrier et mails depuis 2 mois sans réponse</t>
  </si>
  <si>
    <t>27/08/2019</t>
  </si>
  <si>
    <t>jojo-78073</t>
  </si>
  <si>
    <t>Tres bonnes mutuels santes.
Aucun soucis.
Sur les commentaires les gens parlent de remboursement.
Ils sont automatise aucune avance a faire.</t>
  </si>
  <si>
    <t>31/07/2019</t>
  </si>
  <si>
    <t>mvt-77852</t>
  </si>
  <si>
    <t>NEOLIANE est très médiocre. Tout est bon pour repousser les remboursements. Aucunes réactions aux mails de réclamations (que se soit sur le site ou directement par mail au service concerné). Tous laisse à croire qu'il ne veulent que votre argent.</t>
  </si>
  <si>
    <t>23/07/2019</t>
  </si>
  <si>
    <t>ubb3365-77100</t>
  </si>
  <si>
    <t>J'ai été démarché par un courtier pour Néoliane et après une discussion houleuse, j'ai raccroché sans souscrire quoi que se soit et surtout sans renvoyer par retour de message le code signifiant la signature du contrat. J'ai contacté Néoliane pour me plaindre de leurs pratiques et du fait d'avoir été insulté au téléphone, ils m'ont répondu par mail en confirmant que je n'avais rien signé et qu'il n'y avait donc pas de contrat. Alors pourquoi ce prélèvement de 11,30 aujourd'hui le 10 juillet 2019 ??? Cette pratique est scandaleuse et illégale.</t>
  </si>
  <si>
    <t>10/07/2019</t>
  </si>
  <si>
    <t xml:space="preserve">Une catastrophe. Adhérente depuis novembre 2018 la télétransmission n'est toujours pas mise en place donc toujours pas de remboursements. Ils vous demandent des documents déjà transmis. Aucun suivi de dossier. Et si jamais vous osez hausser le ton au téléphone avec les operateurs qui ne sont franchement pas agréables ils vous mettent en attente avec la musique et ne vous reprennent pas. Scandaleux a devenir dingue je n'attends qu'une chose résilier. Les tarifs sont alléchants mais les services sont vraiment médiocres. A vouloir faire des économies on perd énormément d'argent. </t>
  </si>
  <si>
    <t>raphi-senei-77337</t>
  </si>
  <si>
    <t xml:space="preserve">merci a erika il y a pas beaucoup d'interlocuteur aussi pro qu'elle! </t>
  </si>
  <si>
    <t>celine-77046</t>
  </si>
  <si>
    <t xml:space="preserve">Je regrette amèrement avoir signé ce fichus contrat une demande de prise en charge 10 jours avant une intervention de ma part et de la part de l'hôpital Et aucune prise en charge envoyer au jour J !! Inadmissible j'attend également depuis plus de 1 mois un remboursement dentaire malgres plusieurs mails envoyés avec les papiers nécessaire !! Fuyez cette mutuelle !!! </t>
  </si>
  <si>
    <t>sabi-76929</t>
  </si>
  <si>
    <t>bonjour je viens d'arriver comme nouvelle cliente je n'ai pas pus me faire un avis mais le peu me satisfait</t>
  </si>
  <si>
    <t>mancath-76884</t>
  </si>
  <si>
    <t xml:space="preserve">Un grand merci à Erika qui m'a aidé à résilier un contrat que je ne souhaitais pas et effectué par ailleurs, par un courtier en mon nom. </t>
  </si>
  <si>
    <t>18/06/2019</t>
  </si>
  <si>
    <t>saby95-76830</t>
  </si>
  <si>
    <t xml:space="preserve">Bonjour je souhaiterais résilier mes contrats car le conseiller que j'ai eu en ligne ne pas laisser le choix que de souscrire ces contrats meme après lui avoir informer que je disposait déjà de ces contrats car je travaille moi même dans les assurances. De plus il dit que qu on peut résilier dans les 15 jours après son appel alors que les contrats sont arrivés au moins 3 semaines après.
je paye 34.71Euros  tous les mois alors que j en ai pas besoin 
Démarchage forcé .nul . Merci de votre retour </t>
  </si>
  <si>
    <t>16/06/2019</t>
  </si>
  <si>
    <t>maurwn-76785</t>
  </si>
  <si>
    <t xml:space="preserve">J'ai tenté à 4reprises de les appeler, à chaque fois à des jours et des horaires différentes sans aucune réponse. J'ai également essayé de les contacter via l'espace adhérent: toujours rien. J'ai donc lu les avis pour savoir si j'étais la seule dans ce cas, et j'en suis loin. 0pointé pour le service client. </t>
  </si>
  <si>
    <t>iltaze-76665</t>
  </si>
  <si>
    <t>souscription réalisé par un de leurs prestataires par démarchage téléphonique auprès d'une personne en situation de faiblesse</t>
  </si>
  <si>
    <t>cris78-76308</t>
  </si>
  <si>
    <t>Interlocuteur très agreable.
Bons conseils pour les remboursements</t>
  </si>
  <si>
    <t>28/05/2019</t>
  </si>
  <si>
    <t>ben-76295</t>
  </si>
  <si>
    <t xml:space="preserve">Vente forcé pour avoir le plus rapidement la souscription avec mensonge de partenariat pour réduire des frais, je me suis consolé en me disant qu'après réception de mon dossier, j'aurai toujours 14 jours pour me rétracter.
Sauf que je n'ai jamais reçu ce fameux dossier ! et j'ai reçu a la place une mise en demeure pour cotisation impayé !
Heureusement d'ailleurs que le prélèvement ai été bloqué, 
</t>
  </si>
  <si>
    <t>delavega-76269</t>
  </si>
  <si>
    <t>J'ai eu un échange avec Sabrina qui a pris le temps de vérifier le suivi de ma demande et m'a répondu avec exactitude</t>
  </si>
  <si>
    <t>marie-76198</t>
  </si>
  <si>
    <t>Pour une résiliation de contrat non signé</t>
  </si>
  <si>
    <t>hanna64-75727</t>
  </si>
  <si>
    <t xml:space="preserve">Venant de me faire démarcher et après vérification de mon coté je m'aperçois que j'ai déjà ce type de contrat je rappelle le numéro qui est inscrit sur le devis .On me fait rappeler par le contrôle qualité qui tente  de me convaincre de garder le contrat ! Je confirme que je ne veux pas on me demande alors d'expliquer ce que j'ai déjà dans mon autre contrat je refuse et demande l'annulation et alors....on me raccroche au nez ! Bravo beaucoup moins commerciale que la charmante démarcheuse ! Ou comment comment j'ai l'impression de mettre fait doublement avoir ! Donc blocage du prélèvement à la banque et je vais porter plainte à la gendarmerie ! </t>
  </si>
  <si>
    <t>08/05/2019</t>
  </si>
  <si>
    <t>mgo44249-75468</t>
  </si>
  <si>
    <t>Surtout, ne pas avoir besoin d'eux!</t>
  </si>
  <si>
    <t>29/04/2019</t>
  </si>
  <si>
    <t>musette123-75099</t>
  </si>
  <si>
    <t>Bonjour, j'ai eu une communication téléphonique avec un monsieur du service client . Je ne connais pas son nom . J'ai été très bien reçue et bien renseignée . Il m'a indiqué pas à pas ce que je devais faire pour me rétracter . J'ai une bonne impression . Maintenant la suite ne dépend pas de lui, donc je verrai lorsque cette affaire sera terminée .</t>
  </si>
  <si>
    <t>chrystel-74957</t>
  </si>
  <si>
    <t>Au téléphone avec Mme Fatima Zahra. Personne très agréable souriante à l'écoute. Et compétente si ma demande par mail concernant une rétractation de contrat d'adhésion s'avère bien traitée et faite sans avoir à rappeler. J'attends donc le retour de confirmation. Merci à Fatima.</t>
  </si>
  <si>
    <t>nala-74953</t>
  </si>
  <si>
    <t xml:space="preserve">merci Mélanie
super contact cette mutuelle correspond à mon attente
merci pour les explications claires et sympathiques
je suis ravie de ce service
la mutuelle corresponds à mes besoins
merci
</t>
  </si>
  <si>
    <t>anthemise-74658</t>
  </si>
  <si>
    <t xml:space="preserve">Service client injoignable
Ne respecte pas leur parole quand ils disent 'on vous rappelle'
Délai pour avoir une réponse pour une prise en charge.. depis le 11 mars j'attend un retour sous 24h... malgré plusieurs appels et 'remontézs vers le service compétent.
Idem pour le professionnel au tente de les joindre pour avoir une réponse pour une prise en charge... 
. </t>
  </si>
  <si>
    <t>frimoussette-74500</t>
  </si>
  <si>
    <t>j'ai été démarchée par plusieurs courtiers qui m'ont vendu tout et n'importe quoi: résultat je suis engagée pour 1 an à chaque fois .J'ai pris contact avec le service clients qui m'a très bien renseignée et je remercie Erika pour son professionnalisme et son amabilité.</t>
  </si>
  <si>
    <t>27/03/2019</t>
  </si>
  <si>
    <t>patrice-72424</t>
  </si>
  <si>
    <t xml:space="preserve">depuis 2 mois j'attend un remboursement suite a un report d adhésion ils ne réponde pas au messages déposé le 21 février sur le site service client au téléphone on me dit que le virement a été effectué un jour c'est le 11 mars 3 jours après c'est le 15 mars a ce jours toujours rien sur mon compte c'est pas  sérieux je regrette déjà d'avoir signé un contrat avec eux </t>
  </si>
  <si>
    <t>25/03/2019</t>
  </si>
  <si>
    <t>aureliejour-67450</t>
  </si>
  <si>
    <t>je suis une ancienne cliente de chez eux, j'ai acheté une paire de lunettes au mois de décembre et je ne suis toujours pas remboursée (paire que j'ai du intégralement avancée!) , j'ai appelé 6 fois. rien ne bouge, et je ne suis pas remboursée!</t>
  </si>
  <si>
    <t>24/03/2019</t>
  </si>
  <si>
    <t>jethrotull-72257</t>
  </si>
  <si>
    <t xml:space="preserve">Contrairement  aux réponse des forums NEOLIANE est a l'écoute de ses clients ( client abusé par un courtier DNASSUR qui par le biais du téléphone fixe m 'ont fait signé un contrat via le portable, 4 chiffres qui en fait quand on accepte ces chiffres cela vaut signature du contrat. Je pensait avoir été piégé et la galère allait commencer pour me rétracter.
 En fait il suffit de contacter NEOLIANE via son site ou vous pouvez vous rétracter dans le délai de 14 jours légal en France. Cette société (NEOLIANE) m'a rappelé dans les délais imparties par la loi et m'a indiqué par mél que ma rétraction a été prise en considération. Je les remercie pour cette action.
</t>
  </si>
  <si>
    <t>18/03/2019</t>
  </si>
  <si>
    <t>sophie-68782</t>
  </si>
  <si>
    <t>Ma situation financière s'étant dégradée ces derniers mois, le service client m'a contacté afin de trouver une solution qui a été très bénéfique.
Je leur dis donc un grand merci.</t>
  </si>
  <si>
    <t>mdruc-71616</t>
  </si>
  <si>
    <t>Cette société pratique le harcèlement téléphonique à haute dose! Supposée aider les personnes qui ont des soucis de santé, voire sont en situation de détresse, elle va jusqu'à les faire craquer nerveusement pour obtenir ce qu'elle veut sans hésiter à utiliser la menace. J'ai un exemple concret de harcèlement sur une personne qui a souscrit de force et à qui cette "mutuelle" réclame des remboursements incompréhensibles suite à des erreurs de la mutuelle. C'est honteux. A fuire !!!!</t>
  </si>
  <si>
    <t>24/02/2019</t>
  </si>
  <si>
    <t>pinklady-71574</t>
  </si>
  <si>
    <t>J'ai eu beaucoup de consultations et d'achats de médicaments à faire. La télétransmission n'a jamais été faite de leur part, donc pas de remboursement pendant 1 an, si je ne m'en étais pas rendue compte, tous les remboursements seraient passés à l'as.
Ne souscrivez jamais à cette "assurance", l'échéancier n'a pas été envoyé à temps et malgré cela ils freinent des pieds et des mains en ne reconnaissant pas toutes les erreurs qu'ils ont commis. Cette assurance est tout simplement très chère, ne rembourse rien, fait que des erreurs, et en plus elle est impossible à résilier.
SURTOUT NE VOUS FAITES PAS AVOIR !!!</t>
  </si>
  <si>
    <t>22/02/2019</t>
  </si>
  <si>
    <t>kevin-71222</t>
  </si>
  <si>
    <t>Erika est tres gentille , c'est vraiment agréable d'avoir une interlocutrice aimable et qui répond honnetement et directement à nos questions</t>
  </si>
  <si>
    <t>12/02/2019</t>
  </si>
  <si>
    <t>val24-71177</t>
  </si>
  <si>
    <t>Cela fait une semaine que j'essaie de les joindre suite à une demande de remboursement restée sans réponse depuis le 22 janvier. Une attente interminable au téléphone ! sans jamais personne ! Je vais m'adresser à un service de consommateurs pour me venir en aide !</t>
  </si>
  <si>
    <t>golf-71171</t>
  </si>
  <si>
    <t xml:space="preserve">je suis adhérente depuis janvier 2017 , je suis très satisfaite , nous avons la possibilité de changer et les prix sont très abordables , les conseils téléphoniques sont très justes et très rapides , de plus les garanties sont très intéressantes. </t>
  </si>
  <si>
    <t>mamypipelette1215-71159</t>
  </si>
  <si>
    <t>très bonne réactivité et professionnalisme !!! conseillers à l'écoute du client !!! pas d'attente téléphoniques !!!je conseillerai vivement cette mutuelle !!!</t>
  </si>
  <si>
    <t>avithon-71085</t>
  </si>
  <si>
    <t xml:space="preserve">J'ai pu avoir au téléphone Erika, qui m'a très bien renseignée sur mon contrat. Je n'avais jamais eu quelqu'un aussi professionnel en ligne.J'appréhende tout de même la suite, parce qu'ils n'ont pas attendu d'avoir l'attestation de radiation de mon ancienne mutuelle et m'ont prélévé. </t>
  </si>
  <si>
    <t>08/02/2019</t>
  </si>
  <si>
    <t>contrat soucrit depuis octobre 2018 en reconduction d'un contrat santiane. Néoliane n'est vraiment pas à conseiller. Service commerciale trés poli mais sans réponse concrète. Remboursement frais adhésion jamais réalisé. réponse toute faite du genre" si votre problème n'est pas corrigé recontactez nous dans 8 jours"...Ca fait 3 mois. Donc surtout je ne conseille pas.</t>
  </si>
  <si>
    <t>lynthia-71048</t>
  </si>
  <si>
    <t>Mon contrat d'assurance santé devait commencer le 1 janvier.  Nous sommes le 8 février.  Néoliane prélève bien l'argent sur mon comte.  Mais, malgré de très nombreuses réclamations, ils ne m'ont toujours déclarée à la sécu, pour laquelle je n'ai pas de mutuelle.  Je n'ai toujours pas reçu de carte de tiers payant.  Leur standard  est inondé.  Ils promettent de me rappeler, mais ne le font pas.  J'ai très peur.</t>
  </si>
  <si>
    <t>i-b90048-71074</t>
  </si>
  <si>
    <t>Je réside dep. 5 mois à l'étranger. J'essaie de résilier cette mutuelle (courriers, appels, recommandé) IMPOSSIBLE! Continuent à prélever et cherchent à garder 1 partie des sommes prélevées.</t>
  </si>
  <si>
    <t>mag-70934</t>
  </si>
  <si>
    <t>Heureusement que l on tombe sur des personnes compétentes de temps en temps.
Merci erika</t>
  </si>
  <si>
    <t>04/02/2019</t>
  </si>
  <si>
    <t>lemanlili-70467</t>
  </si>
  <si>
    <t>Extrèmes difficultés au moment de la résiliation.Ne tiennent pas compte des lettres de résiliation!</t>
  </si>
  <si>
    <t>john-galt-21584</t>
  </si>
  <si>
    <t>Encore un appel ce matin d'une personne se présentant comme NEOLIANE : UNE ANOMALIE A ÉTÉ DÉTECTÉE DANS VOTRE ASSURANCE JURIDIQUE!
Demandant à cette personne quelle anomalie et dans quelle compagnie d'assurance, elle s'est lancée dans une explication fumeuse comme quoi elle appelait pour un organisme chapeautant toutes les mutuelles d'assurance. Connaissant déjà les pratiques douteuses de Néoliane pour  l'assurance santé, j'ai coupé court et demandé à être retiré de leurs fichiers. Alors prudence, ils ont changé leur discours, mais ciblent toujours les gogos imprudents.</t>
  </si>
  <si>
    <t>16/01/2019</t>
  </si>
  <si>
    <t>ade-70039</t>
  </si>
  <si>
    <t>Le conseiller à était très reactif et très sympaBonne écoute et conseil des prix abordableBonne écoute et conseil des prix abordable1</t>
  </si>
  <si>
    <t>09/01/2019</t>
  </si>
  <si>
    <t>francoise-69970</t>
  </si>
  <si>
    <t>Démarchage téléphonique abusif destiné à tromper et donc inciter l'interlocuteur à prendre un contrat à son insus.
Depuis le 6/11 je suis en micro entreprise. Néoliane m'a dit que depuis cette date je ne bénéficiais d'aucune couverture sociale et qu'il fallait y remédier tout de suite. Bêtement j'ai communiqué mes coordonnées bancaires et depuis je fais partie de leur client...je n'ai rien demandé. J'ai été dupée.....par un démarchage abusif</t>
  </si>
  <si>
    <t>07/01/2019</t>
  </si>
  <si>
    <t>hstef212-69809</t>
  </si>
  <si>
    <t>Je suis chez neoliane depuis près d'un an, jusque là pas de soucis... hospitalisation prévu pour début janvier et la ils prennent pas la chambre individuelle en charge, car mon hospitalisation fait parti des exclusions. J ai voulu résilier sous la raison de la hausse se mon échéancier donc avec la loi chattel et la, misère, ils m'ont mis des bâton ds les roues et résultats jme suis faite avoir car au final J ai pas pu résilier. 
Aucune  clarté ds leurs discours, tjr obligé de faire patienter pour se renseigner, ne comprennent que rarement votre véritable demande.
Bref à fuir</t>
  </si>
  <si>
    <t>02/01/2019</t>
  </si>
  <si>
    <t>kerran77-69576</t>
  </si>
  <si>
    <t>Comme de nombreuses assurances en ligne, tant que l'on est client, pas de problèmes. Dès que l'on souhaite quitter cette mutuelle, les soucis commencent : très compliqué de résilier son contrat et attention lorsque vous avez souscrit un contrat mutuelle, un contrat prévoyance l'est aussi, pensez à bien le résilier, pas comme moi....
Franchement, pour quelques euros de plus, vous pouvez trouver BIEN MIEUX !</t>
  </si>
  <si>
    <t>20/12/2018</t>
  </si>
  <si>
    <t>blandine-69485</t>
  </si>
  <si>
    <t xml:space="preserve">On m'appelle ce jour en se faisant passer pour ma mutuelle. 3 personnes se succèdent au téléphone pour faire me faire valider un contrat. Cela ressemble à de la vente forcée. La technique d'envoi de code Sms pour valider le contrat virtuel est pour moi une technique douteuse de vente. Pour finir, ne voulant pas signer, on m'a insultée et raccroché au nez. Au secours ! </t>
  </si>
  <si>
    <t>17/12/2018</t>
  </si>
  <si>
    <t>laurelerouzic-69477</t>
  </si>
  <si>
    <t xml:space="preserve">Très bon service client claire accueillant et rapide , j'ai réussi à trouver des garanties qui me satisfont </t>
  </si>
  <si>
    <t>caty-69306</t>
  </si>
  <si>
    <t xml:space="preserve">Entourloupe par téléphone masqué.
Néoliane Santé et Prévoyance se faisant passer pour ma mutuelle la MACIF,  m'informe comme quoi je n'avais pas envoyé un document qui était soit disant obligatoire, et m'a fait  répéter un code d'activation par téléphone pour un devis d'assurance.
Doutant de l'entourloupe, j'ai téléphoné à ma mutuelle qui m'a confirmé qu'elle n'était absolument pas associé avec Néoliane Santé. 
Sur ce j'ai appelé Néoliane pour me rétracter. 
Avec doute, j'ai confirmé ma non adhésion par mail suivant la procédure indiquée sur leur site. 
Suite à cela ils m'ont confirmé également par mail que ma demande serait traitée au plus vite et de ne pas faire d'autre réclamation pour ne pas encombrer leurs services. 
Et stupéfaction on reçoit 5 jours après un courrier comme quoi ils étaient heureux de nous compter parmi leurs nouveaux clients, et que prochainement nous recevrons par courrier notre échéancier et certificat d'adhésion.  
A la réception de celui ci nous avons reconfirmé notre non adhésion par lettre recommandée avec accusé de réception (chose à laquelle ils n'ont toujours pas répondu). 
Le lendemain nous recevons comme promis ci dessus notre échéancier et notre numéro d'adhésion qui prenait effet 4 jours avant la  réception de ce courrier. 
A ce jour nous n'arrivons plus à les contacter. 
La suite au prochain numéro. </t>
  </si>
  <si>
    <t>14/12/2018</t>
  </si>
  <si>
    <t>louloute-69273</t>
  </si>
  <si>
    <t>harcelement telephonique!!! me demande un code afin de me faire souscrire un contrat alors que j en ai deja un!! pourquoi me demander mon compte bancaire avec un code a 5 chiffre?</t>
  </si>
  <si>
    <t>10/12/2018</t>
  </si>
  <si>
    <t>sassa-68956</t>
  </si>
  <si>
    <t>mutuelle avec de bonne prestation, après avoir été mal reçu ce jour par une conseillère dont je n'ai pas le nom, j'ai été agréablement surpris par l'accueil d'Erika et par son professionnalisme. Elle a su répondre à mes attentes. Merci</t>
  </si>
  <si>
    <t>cle-68788</t>
  </si>
  <si>
    <t>PERSONNEL A L ECOUTE DES BESOINS</t>
  </si>
  <si>
    <t>21/11/2018</t>
  </si>
  <si>
    <t>vad-68448</t>
  </si>
  <si>
    <t>C est abordable les garanties sont intéressantes. La télétransmission se fait sans problème. Les devis se font rapidement
Les demandes sont traitées dans un délai respectable et avec amabilité. je recommande cette mutuelle</t>
  </si>
  <si>
    <t>08/11/2018</t>
  </si>
  <si>
    <t>vero72-68179</t>
  </si>
  <si>
    <t>Très bien prise en charge par Jérémie du service contentieux suite à un forcing par MMI COURTAGE. Néoliane a procédé à l'annulation du contrat qui m'avait été vendu par téléphone.</t>
  </si>
  <si>
    <t>07/11/2018</t>
  </si>
  <si>
    <t>gigi-68384</t>
  </si>
  <si>
    <t>Très professionnel,et efficient.Toutes les questions sont traitées.super</t>
  </si>
  <si>
    <t>06/11/2018</t>
  </si>
  <si>
    <t>yam-68019</t>
  </si>
  <si>
    <t>Je suis très satisfait de mon assurance. Conseillères et conseillers à l'écoute, de plus très aimables. En ce qui concerne les garanties rien à dire. Les remboursements très rapides. Je conseille vraiment cette mutuelle.</t>
  </si>
  <si>
    <t>24/10/2018</t>
  </si>
  <si>
    <t>marie-67875</t>
  </si>
  <si>
    <t xml:space="preserve">assurance correcte, suis adher
erente depuis 2015 aupres  de neoliane, satisfaite remboursememt rapide et correcte </t>
  </si>
  <si>
    <t>19/10/2018</t>
  </si>
  <si>
    <t>elise98-67803</t>
  </si>
  <si>
    <t>Très bonne mutuelle rapide les remboursements en adéquation avec mes besoins.</t>
  </si>
  <si>
    <t>17/10/2018</t>
  </si>
  <si>
    <t>thalie-67787</t>
  </si>
  <si>
    <t>augmentation du prix tous les ans</t>
  </si>
  <si>
    <t>maye-67752</t>
  </si>
  <si>
    <t xml:space="preserve">mon interlocutrice a était très aimable et courtoise et ma très bien renseigner sur tout les domaines demander elle a eu la patience et lintérêt requis d'une bonne conseillère pour traiter lensemble de mes demandes  je suis très satisfaite de mon entretien téléphonique </t>
  </si>
  <si>
    <t>16/10/2018</t>
  </si>
  <si>
    <t>gerard1103-67628</t>
  </si>
  <si>
    <t>Favorable tres service bon accueil Tarif compétitif RA S A recommander autour de moi</t>
  </si>
  <si>
    <t>13/10/2018</t>
  </si>
  <si>
    <t>georges-67569</t>
  </si>
  <si>
    <t xml:space="preserve">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Néoliane Santé efficace et à l'écoute de ses clients
</t>
  </si>
  <si>
    <t>11/10/2018</t>
  </si>
  <si>
    <t>riotciv-67563</t>
  </si>
  <si>
    <t>Je suis nouveau client Néoliane mutuelle depuis le 1er octobre et je n'arrivais pas à créer mon espace client, cela bloquait. Samuel m'a expliqué que cela pouvait venir du fait que je n'avais pas encore de remboursement, cependant il s'est chargé en moins d'une minute de me créer mon espace. Il a été très aimable et naturel, c'était mon 1er contact téléphonique avec Néoliane (j'ai souscrit par l'intermédiaire d'un courtier) et celui-ci a été efficace.</t>
  </si>
  <si>
    <t>alnouet-67531</t>
  </si>
  <si>
    <t>Erika a pris le temps de répondre à mes questions et de s'assurer que j'en étais satisfaite. Elle a été aimable, à l'écoute et n'a pas hésité à s'assurer des informations données afin de me garantir un vrai conseil.</t>
  </si>
  <si>
    <t>10/10/2018</t>
  </si>
  <si>
    <t>chichi-67524</t>
  </si>
  <si>
    <t xml:space="preserve">Les renborsement se ferent rapidement  le tarif  me convien les garenter me convient </t>
  </si>
  <si>
    <t>jkm890-67516</t>
  </si>
  <si>
    <t xml:space="preserve">10 Très bonne mutuelle, répondent à vos besoins et à votre service clientèle, ils sont très utiles. Merci de votre confiance </t>
  </si>
  <si>
    <t>ann-67493</t>
  </si>
  <si>
    <t xml:space="preserve">très facile d accès personnel sympathique accueillant pour les informations toujours bien renseigné et facile a joindre </t>
  </si>
  <si>
    <t>09/10/2018</t>
  </si>
  <si>
    <t>nanou35-67492</t>
  </si>
  <si>
    <t xml:space="preserve">je suis passer par senttianne jai recu un accueil clients, tres bien . satisfait du conseiller clientèle, très  bien renseigné </t>
  </si>
  <si>
    <t>pascalou66-67485</t>
  </si>
  <si>
    <t>les remboursements sont rapides bonne reactivité de l'interlocutrice les tarifs me semblent corrects</t>
  </si>
  <si>
    <t>boulj91-67447</t>
  </si>
  <si>
    <t>Je suis un nounveau client Neoliane après un échange
téléphonique avec Rabaa j'ai été très bien renseigné.</t>
  </si>
  <si>
    <t>08/10/2018</t>
  </si>
  <si>
    <t>myriam-67441</t>
  </si>
  <si>
    <t>premiere souscription j'attent de voir pour la rapiditer des rembourssements</t>
  </si>
  <si>
    <t>sissi1312-67433</t>
  </si>
  <si>
    <t>Bon contact toujours disponible bon rapport qualité prix remboursement rapide client fidèle depuis 2013</t>
  </si>
  <si>
    <t>jenkii-67427</t>
  </si>
  <si>
    <t xml:space="preserve">Personnels agréable et à l écoute, clair dans leurs explication, niveau tarif plutôt raisonnable je recommande </t>
  </si>
  <si>
    <t>mimi-67424</t>
  </si>
  <si>
    <t>accueil trés agréable et rapide de CYNTHIA
étant donné le début de ma souscription et des renseignements demandés au vue des piéces complémentaires a donnér et a joindre a mon dossier</t>
  </si>
  <si>
    <t>aurore52-67370</t>
  </si>
  <si>
    <t>Très bon explicatif de la part de ma conseillère, à l'écoute, disponible, je suis passée par elle une première fois, n'hésiterai pas à le refaire</t>
  </si>
  <si>
    <t>05/10/2018</t>
  </si>
  <si>
    <t>josephine59-67345</t>
  </si>
  <si>
    <t>impeccable iiiiiiiiiiiiiiiiiiiiiiiiiiiiiiiiiiiii</t>
  </si>
  <si>
    <t>04/10/2018</t>
  </si>
  <si>
    <t>bryan-67307</t>
  </si>
  <si>
    <t>Jai appeller pour avancer la date deffet de mon contrat et jai était très bien écouter,</t>
  </si>
  <si>
    <t>03/10/2018</t>
  </si>
  <si>
    <t>ninik-67301</t>
  </si>
  <si>
    <t>Satisfaite dans l'ensemble tant sur les garanties et la prise en charge auprès des professionnels</t>
  </si>
  <si>
    <t>anniep-67297</t>
  </si>
  <si>
    <t>je suis chez vous depuis 2016 ormis le tarif que je trouve eleve,,jesuis satisfaite de la rapidité des remboursements ,j'envois demandes de remboursements par photos et tout se passe bien .</t>
  </si>
  <si>
    <t>tyfys-67275</t>
  </si>
  <si>
    <t xml:space="preserve">neoliane assurance très serieuse,les prix tres attractifs,propose des services adaptées a votre demande ,vous rappel des que vous en avez besoin et aux heures ou vous êtes disponibles . nous sommes tres bien guides lors de l inscription ,personnel tres gentilles </t>
  </si>
  <si>
    <t>02/10/2018</t>
  </si>
  <si>
    <t>eva-67262</t>
  </si>
  <si>
    <t xml:space="preserve">Très bien, Érika donne de bons conseils, explications claires. Service accessible, site internet super, concept interessant, je vous recommanderais a l occasion. </t>
  </si>
  <si>
    <t>bergad-67227</t>
  </si>
  <si>
    <t>Parfaite gestion des dossiers. Je suis entièrement satisfait d'autant qu'ils sont traités très vite et que les règlements sont rapides. Les échanges téléphoniques rares sont toujours très courtois et enrichissants.</t>
  </si>
  <si>
    <t>pepette-67222</t>
  </si>
  <si>
    <t>bon suivi , sommes bien informés par ANTAR en espérant que cela dure longtemps, et surtout que ma mutuelle n'augmente pas tout les ans.</t>
  </si>
  <si>
    <t>mich92220-67160</t>
  </si>
  <si>
    <t>très bonne communication</t>
  </si>
  <si>
    <t>28/09/2018</t>
  </si>
  <si>
    <t>pratsac-67145</t>
  </si>
  <si>
    <t>Très satisfaite de mon entretien avec Lamia. Elle m'a donné toutes les informations nécessaires.</t>
  </si>
  <si>
    <t>27/09/2018</t>
  </si>
  <si>
    <t>hatchi-66927</t>
  </si>
  <si>
    <t>souscription     mutuelle  santé, a    voir dans le temps les remboursements</t>
  </si>
  <si>
    <t>18/09/2018</t>
  </si>
  <si>
    <t>chris13014-66694</t>
  </si>
  <si>
    <t>la personne que j'ai eu est tres competente, elle m'a tres bien expliqué en detail tous les changemements de ma nouvelle assurance ,et repondu à toutes mes questions.</t>
  </si>
  <si>
    <t>07/09/2018</t>
  </si>
  <si>
    <t>bounty-66692</t>
  </si>
  <si>
    <t>Acceuile,toujours sympat et bien clair dans les propositions et comparaisons, et de prix cela ce fait automatiquement qui plus ai par internet</t>
  </si>
  <si>
    <t>coelho86-66675</t>
  </si>
  <si>
    <t xml:space="preserve">Hier le 06 septembre 2018 je ete démarchée par un courtier scrupuleux de vos produits qui se faisait passer pour le centre de gestion agrée officiel des indépendants me forçant à signer un contrat de gestion par téléphone Bien sur croyant que cétait le vrai établissement de gestion, jai donne le code recu par sms sans faire atention que c ette un contrat de 24 euro par mois en plus elle ma encore envoie un outre sms avec un outre code pour un outre contrat de 20 euro ou je pas envoie le code parce la je me suis apercu que je me suis fait avoir La personne que me appele elle save deja mon numero iban je sais pas comment La personne au telephone elle cest apercu que je remarque que je voulez tout annulle et me a raccroche aux nez cest 44 euro de contract sans rien demande Je veux que sois tout annulle </t>
  </si>
  <si>
    <t>lynette-66645</t>
  </si>
  <si>
    <t xml:space="preserve">J' ai ete demarche par telephone le 06 /09/2018 le courtier a commencer a me parler de la CPAM je ne me suis pas mefiee ensuite de lettre qu' il m avait soit disant envoyé et que je n'ai pas reçu (réponse du courtier: perte de la poste) vérification des coordonnées bancaires !! Mais quand j ai réagit il était trop tard il m a dit que la signature électronique était faite .comment peut on abuser des gens a ce point je voudrais faire ma lettre de retrataction mais n ai pas de numéro d adhérent a noter je vais faire opposition à ma banque et si je n arrive pas a avoir mon numéro d adhérent je ferai le nécessaire en justice.Pourquoi ne sont il pas honnête et quand ils telephonent dire tout simplement que c'est pour nous proposer  une mutuelle </t>
  </si>
  <si>
    <t>06/09/2018</t>
  </si>
  <si>
    <t>ma-66528</t>
  </si>
  <si>
    <t>Comme la Mutuelle ne me remboursait pas et ne répondait pas à mes demandes, j'ai suspendu 2 prélèvements. Ils me menacent de contentieux sans avoir vu le problème sur le fond. Invraisemblable !!!</t>
  </si>
  <si>
    <t>mustapha-66391</t>
  </si>
  <si>
    <t>A déconseiller vivement une catastrophe, cher à la vue des prestations médiocres.Fuillez remboursements trés lents, à des taux déplorables, service client absent.</t>
  </si>
  <si>
    <t>24/08/2018</t>
  </si>
  <si>
    <t>manon-65880</t>
  </si>
  <si>
    <t>Aujourd'hui, le 31 Juillet 2018, je viens d'être démarchée par un revendeur scrupuleux de vos produits qui se faisait passer pour le centre de gestion agrée officiel des indépendants, me forçant à signer un contrat de gestion par téléphone. Bien sûr, croyant que c'était le vrai établissement de gestion, j'ai accepté sans pouvoir dire une seule question.
5 min plus tard, je l’appelle pour me rétracter (droit de 14j) et me raccroche au nez en me disant ne pouvoir rien faire, et de voir avec Néoliane. Je viens de faire opposition à la banque et de vous envoyer un mail au service réclamation !</t>
  </si>
  <si>
    <t>31/07/2018</t>
  </si>
  <si>
    <t>expertsmile-65243</t>
  </si>
  <si>
    <t>J'ai souscrit a une protection juridique et un capital deces avec Neoliane depuis 6 mois deja, j'ai deja pu beneficier de conseil d'un juriste a plusieurs reprise, je suis tres content avoir beneficier de cette aide pour mes petits problemes....</t>
  </si>
  <si>
    <t>04/07/2018</t>
  </si>
  <si>
    <t>ylt-64740</t>
  </si>
  <si>
    <t>Suite à un comparatif sur internet, Santiane me contacte en me disant qu'il allait résilier mon ancien contrat tout en m'assurant une meilleure prise en charge . Aujourd'hui j'ai 2 mutuelles (l'ancienne n'à pas été résiliée), mais surtout je suis toujours en attente de remboursements . Contrat signé en Mars 2017, reconduction automatique dès décembre 2017 et pour l'année 2018, lorsque j'ai voulu résilier suite à la reconduction, ça m'à été refuser car ça ne faisait pas un an que j'étais chez eux . A l'heure actuelle, suite à 2 messages + un courrier avec accusé réception, je suis toujours en attente de remboursement pour mes indemnités d'hospitalisation . C'est à ce demander s'il lise leur messagerie et traite correctement leurs dossiers, car je n'ai toujours pas reçu la moindre notification de leur part ??? A croire que lorsqu'on leur signifie que l'on veut les quitter, ils ne vous remboursent plus, ni communiquent avec vous, ils vous ignorent . Quelle honte !!</t>
  </si>
  <si>
    <t>13/06/2018</t>
  </si>
  <si>
    <t>marjo-64659</t>
  </si>
  <si>
    <t>Bonne couverture qui correspond à mes besoins sans être excessivement chère</t>
  </si>
  <si>
    <t>ratus-64578</t>
  </si>
  <si>
    <t xml:space="preserve">mes interlocuteurs de chez santiane sont toujours disponibles et accueillants et de bons conseils. Mes remboursements par teletransmissions se déroulent trés bien. Par contre je trouve que l'optique n'est pas assez remboursée.  </t>
  </si>
  <si>
    <t>07/06/2018</t>
  </si>
  <si>
    <t>nono-64544</t>
  </si>
  <si>
    <t>Je n'ai rien à dire si ce n'est l'optique qui est léger.....?......</t>
  </si>
  <si>
    <t>06/06/2018</t>
  </si>
  <si>
    <t>neos29-64539</t>
  </si>
  <si>
    <t>A fuir, tarif a + 10% par an avec diminution des garanties. 6 mois pour rembourser in trop perçu aprés LRAR.
Déplorable, incompétents, ils de foutent des clients, doivent en avoir trop.
Trés mauvaise expérience d'au moins 5 ans.</t>
  </si>
  <si>
    <t>ccile95-64532</t>
  </si>
  <si>
    <t>Appel pour faire baisser assurance de mon père. 
Conseils très bons. Mélanie ++++
Appel pour faire baisser le prix de l'assurance de mon père. 
Conseils très bons. Mélanie ++++</t>
  </si>
  <si>
    <t>nono-64503</t>
  </si>
  <si>
    <t xml:space="preserve">Bien </t>
  </si>
  <si>
    <t>05/06/2018</t>
  </si>
  <si>
    <t>cathy-64480</t>
  </si>
  <si>
    <t>prix et garantie - aide à la résiliation .........................................................................................................................................</t>
  </si>
  <si>
    <t>lili69-64386</t>
  </si>
  <si>
    <t>Bonne mutuelle très à l’ecoute essaye de nous guidez au mieux très gentille patiente</t>
  </si>
  <si>
    <t>nini77-64382</t>
  </si>
  <si>
    <t>Service client trés à l'écoute ,tarifs avantageux , Attractif aucuns soucis de rembourssement très rapide.</t>
  </si>
  <si>
    <t>tina-64336</t>
  </si>
  <si>
    <t xml:space="preserve">je suis très satisfaite des services néoliane et de la qualité d'ecoute des conseillers clientele.
</t>
  </si>
  <si>
    <t>31/05/2018</t>
  </si>
  <si>
    <t>afi-64276</t>
  </si>
  <si>
    <t>Le service remboursements est au point, l'accueil téléphonique efficace et aimable, des formules intéressantes</t>
  </si>
  <si>
    <t>sylmam-64273</t>
  </si>
  <si>
    <t>Très réactif les personnes au téléphone sont très agréable et les conseils très précieux possbilité de les avoir à presque toutes les heures c'est très bien pour les personnes comme moi c'est à dire très actives</t>
  </si>
  <si>
    <t>minouche-64237</t>
  </si>
  <si>
    <t>ai trouvre la bonne mutuelle parfaite pour la couverture et les prix sont tres tres   interessants par comparesonts</t>
  </si>
  <si>
    <t>28/05/2018</t>
  </si>
  <si>
    <t>alex-64150</t>
  </si>
  <si>
    <t xml:space="preserve">Pour vous inscrire , cela va très vite . 
En terme de remboursement , rien de très exceptionnel . 
Pour vous désinscrire , la par contre , c'est une autre histoire . 
Je paye actuellement l'erreur administrative qui a été faites sur mon dossier . 
</t>
  </si>
  <si>
    <t>23/05/2018</t>
  </si>
  <si>
    <t>ckl-64062</t>
  </si>
  <si>
    <t>interlocuteur compétent</t>
  </si>
  <si>
    <t>17/05/2018</t>
  </si>
  <si>
    <t>colombe73-64024</t>
  </si>
  <si>
    <t>pas contente  de cette mutuelle</t>
  </si>
  <si>
    <t>nathy71-63937</t>
  </si>
  <si>
    <t>Aucun remboursement depuis octobre 2017, par contre les prélévements sont bien effectués chaque mois. Ils leur manquent l'attestation de droits, et actuellement je dois leur fournir tous les décomptes de la sécurité sociale....Quelle honte !!!</t>
  </si>
  <si>
    <t>12/05/2018</t>
  </si>
  <si>
    <t>ingrid-63620</t>
  </si>
  <si>
    <t>Entièrement satisfaite du contacte téléphonique, j'ai apprécié que l'on me diminue ma cotisation. Les expliquations fournies par mon contacte téléphonique ont été parfaitement claires et sont allées au-delà de mes attentes.</t>
  </si>
  <si>
    <t>27/04/2018</t>
  </si>
  <si>
    <t>lielie-63612</t>
  </si>
  <si>
    <t>Bonne mutuelle avec des garanties satisfaisante prix encore un peu élevé mais dans la moyens de toutes les autres mutuelle ..............................................................................</t>
  </si>
  <si>
    <t>sylvie10-63585</t>
  </si>
  <si>
    <t>bonne mutuelle................................</t>
  </si>
  <si>
    <t>26/04/2018</t>
  </si>
  <si>
    <t>rita-63583</t>
  </si>
  <si>
    <t>J'ai reçu de très bons conseils
Accueil excellent 
C'est parfait</t>
  </si>
  <si>
    <t>bernard53-63536</t>
  </si>
  <si>
    <t>client depuis 2013 toujours bien garanti.
bons remboursements.bon contact</t>
  </si>
  <si>
    <t>georges-63524</t>
  </si>
  <si>
    <t>Satisfaction depuis 2013</t>
  </si>
  <si>
    <t>jojos-63513</t>
  </si>
  <si>
    <t>Je suis satisfait des services et de la carte .............. .......................................................................................... .........................................................................................................................................................................................................................</t>
  </si>
  <si>
    <t>zz-63500</t>
  </si>
  <si>
    <t>Conseillère gentille et professionnelle..........................................................................................................................................................................</t>
  </si>
  <si>
    <t>23/04/2018</t>
  </si>
  <si>
    <t>leolou-63399</t>
  </si>
  <si>
    <t>Excellent contact téléphonique avec votre agent -conseils trés pertinents qui m'ont amenée à prendre une décision immédiate - merci à Santiane</t>
  </si>
  <si>
    <t>farida-63395</t>
  </si>
  <si>
    <t>Avis très positif quand aux prestations proposées, adaptable à mon statut , disponibilites des conseillers de clientèle</t>
  </si>
  <si>
    <t>fatima59-63304</t>
  </si>
  <si>
    <t>Très satisfaite du services.  simole et bonne aide la la part des conseillers</t>
  </si>
  <si>
    <t>16/04/2018</t>
  </si>
  <si>
    <t>soldalouis-63203</t>
  </si>
  <si>
    <t>depuis 2013 les soins sont bien remboursés les tarifs sont corrects depuis cette intervention téléphoniques</t>
  </si>
  <si>
    <t>12/04/2018</t>
  </si>
  <si>
    <t>dom-62791</t>
  </si>
  <si>
    <t>suite a un litige, concernant une demande d'annulation d'adhésion par un courtier au téléphone.</t>
  </si>
  <si>
    <t>31/03/2018</t>
  </si>
  <si>
    <t>guy2-62732</t>
  </si>
  <si>
    <t xml:space="preserve">Bonjour , j'ai reçu un appel téléphonique d'un messieur soit disant mandaté par la MSA , suite à l'ouverture de mon entreprise , pas le temps de placer une parole qu'il me demande mon RIB , il me dit que cela est obligatoire pour toute nouvelle entreprise , après renseignement la MSA mandate aucune mutuelle , envoie d'une lettre recommandé avec AR et des demain dépôt de plainte à la gendarmerie , car je trouve cela honteux de ce faire passer pour une autre personne afin d'obtenir ce que l'on veux. Opposition des prélèvements et j'attend la suite des événements .   </t>
  </si>
  <si>
    <t>27/03/2018</t>
  </si>
  <si>
    <t>charlote-62332</t>
  </si>
  <si>
    <t>je ne suis pas cliente chez vous ,pourtant depuis deux mois j ai des prélevements sur mon compte cela est intolérable,je téléphone j écris j envoie mail aucune réponse .je veux le remboursements de ces prélévements cela a assez duré</t>
  </si>
  <si>
    <t>14/03/2018</t>
  </si>
  <si>
    <t>tom-62326</t>
  </si>
  <si>
    <t>Démarchage suite à une demande de renseignement le courtier m’a fait signer un contrat sans résilier mon ancienne mutuelle et neoliane a commencé à prélever et j’ai payé au mois de janvier 2018 2 cotisations impossible de me faire rembourser jusqu’à présent seul possibilité reporter mon contrat l année prochaine en 2019 courtier injoignable et chez neoliane on me balade de services en services une véritable prise en otage c’est une honte de faire ça à une personne âgée qui une petite retraite</t>
  </si>
  <si>
    <t>timycho7-62220</t>
  </si>
  <si>
    <t xml:space="preserve">Cette formule correspond aux attentes de ma famille et j'en suis très satisfait. Très bonne mutuelle à recommander
</t>
  </si>
  <si>
    <t>amad-61619</t>
  </si>
  <si>
    <t>Jamais remboursé , impossible de les joindre, mais quand nous avons demandé de resilier le contrat la reponse a été immediate qu'il n'est pas possible de le resilier sans demander pourquoi !! malgre toutes les explications de l'insatisfaction dans la lettre recommandée quelle honte!!! à fuire, malheureusement il n'y a pas l'option de 0 etoil</t>
  </si>
  <si>
    <t>jmvanab-61484</t>
  </si>
  <si>
    <t xml:space="preserve">assuré depuis 2014 chez neoliane par l'intermediaire du courtier framtis à boulogne/mer. En 2014 le remboursement prevu pour l'optique etait de 350 euros que je n'ai pas utilisé ,2015 non plus . En 2016 courrier de neoliane m'informant que les lunettes sont prises en charge à 100% et ceci pour me remercier de ma fidelité mais mes cotisations sont augmentées 
.2017 je ne change toujours pas mes lunettes 
2018 n'y voyant plus rien je me rends chez leur partenaire optique 2000, devis 510 euros et à ma grande surprise remboursement de la mutuelle neoliane 250 euros  au lieu des 350 euros  initialement prevus au contrat lors de la signature.
je contacte mon courtier FRANTIS de boulogne sur mer que je charge de contacter neoliane j'attends la reponse . Je suis tres trés  remonté et je me sens arnaqué je ne manquerai pas de poster la suite des evenements </t>
  </si>
  <si>
    <t>marie-60914</t>
  </si>
  <si>
    <t>très très déçue de Néoliane, un courtier m'a vendu un contrat Mutuel, avec soi disant zéro à charge pour les lunettes, faux, ils ne précisent pas que c'est pour des lunettes avec des verres 1er prix et une monture à 90 euros, soit un total de 200 euros, voilà les lunettes que j'ai actuellement, vraiment nulle, maintenant pour les dents, sur un devis de 1.200 euros ils ne prennent à charge que 295 euros, le reste débrouilles-toi!! et bien je resterai sans dent, je ne peux pas me permettre de régler plus de 700 euros , on vous vend du vent, en plus nous ne pouvons jamais dialoguer au téléphone avec qui que ce soit!!</t>
  </si>
  <si>
    <t>bopas-47795</t>
  </si>
  <si>
    <t xml:space="preserve">Bonjour, j'ai quitté cette mutuelle le 31/12/2017. Malheureusement j'ai eu des soins dentaires fin novembre. Comme j'avais déjà envoyé ma résiliation je n'ai pas été remboursé de mes soins. En revanche ils n'ont pas omis de me prélever la cotisation du mois de décembre qui m'assurait jusqu'au 31/12/2017. J'ai écrit et encore écrit mais bien sûr pas de réponse ni explication.     </t>
  </si>
  <si>
    <t>28/01/2018</t>
  </si>
  <si>
    <t>bachao77-60805</t>
  </si>
  <si>
    <t>EXCELLENT ACCEUIL DE VIRGINIE BONNE ECOUTE PRESTATIONS TRES BONNES ET COMPETENCES TRES BONNES NOTAMMENT MA LETTRE DE RESILIATION LES GARANTIES SONT PARFAITES ET LES OPTIONS ADAPTEES RAPIDITE DE REPONSES ET EXECUTION DU DOSSIER TRES RAPIDE</t>
  </si>
  <si>
    <t>25/01/2018</t>
  </si>
  <si>
    <t>rg-60649</t>
  </si>
  <si>
    <t>Assureur adepte de la vente téléphonique forcée.
Se fait passer pour votre mutuelle habituelle ou pour son intermédiaire. Ne laisse pas le temps de réfléchir.
A fuir en l'absence de tous les éléments nécessaires pour une bonne réflexion.</t>
  </si>
  <si>
    <t>marie-60317</t>
  </si>
  <si>
    <t xml:space="preserve">Bonjour,
J'ai été contacté ce jour par une dame qui disait avoir été alerté par un système de carence dans mon dossier santé
Je lui dis que je n'ai besoin de rien Merci...Mais insiste sur l'anomalie de mon dossier
Après avoir repris mon dossier et vérifié nom, adresse, téléphone...Elle me demande mon code IBAN sans méfiance je lui donne (grosse erreur) Elle me donne mon BIC (elle le connais !!) Je lui demande de me réexpliquer je ne comprends pas, lui demande de la part de qui elle me contacte...Toujours le meme bla bla et me dis par ailleurs que nous sommes enregistrés pour prouver que j'ai été contacté pour régulariser "ma situation"
La dame me dis m'envoyer 3 sms et de lui donner le code du 2eme..tout en restant en ligne
Mon tel coupe, je lis les sms
le 1er l'adresse pour accéder aux cond générales de mon contrat Prévoyance décès ???
le 2eme un code pour la signature me mon contrat qui débute le 01/02/2018 pour un prélèvement de X euros/mois
le 3eme les conditions générales du contrat prévoyance IJH 
Je ne comprends rien...A part que je suis entrain de me faire berner
La dame me rappelle , je refuse de lui donner le code et lui dis que je n'ai rien demandé et que je ne comprends pas..( le ton monte un peu).Plus de batterie mon tel coupe
Elle me rappelle 3-4 fois sur fixe + autant sur mobile
Lorsque je peux enfin répondre, je refuse tjrs de lui donner le code,elle me dis que nous sommes enregistrés et qu'elle s'en servira pour démontrer que je n'ai pas voulu régulariser ma situation
Elle raccroche.
Que dois je faire, toutes vos réponses seront les bienvenues...........................MERCI </t>
  </si>
  <si>
    <t>09/01/2018</t>
  </si>
  <si>
    <t>diplomat-59721</t>
  </si>
  <si>
    <t>sachez que chez néoliane si votre contrat prévoit un remboursement de 125%de celui de la SS il déduise celui ci de leur prestation cqfd</t>
  </si>
  <si>
    <t>15/12/2017</t>
  </si>
  <si>
    <t>dani13-59504</t>
  </si>
  <si>
    <t xml:space="preserve">Demarcher par telephone il m on souscrit u n contrat 
 sans signature de ma part et il me preleve depuis mars 2017.
Je lance une procedure avec mon avocat pour souscription abusif et je demande le remboursement de toutes les sommes prelevé sur mon compte sans mon autorisation </t>
  </si>
  <si>
    <t>08/12/2017</t>
  </si>
  <si>
    <t>loulou76-59416</t>
  </si>
  <si>
    <t>Ce sont des personnes peut scrupuleuse et qui ne donne pas toutes les informations. Voilà maintenant 2 ans que j'essaye de résilier mes contrats eux, ils arrivent toujours à en ressortir un dont ils ne m'avaient pas parlé. Je vous déconseille fortement de pas adhérer chez eux</t>
  </si>
  <si>
    <t>ufi-58483</t>
  </si>
  <si>
    <t>26/10/2017 sonnerie de mon tel fixe.Un répondeur m'informe d'un problème concernant mon dossier Sécurité Sociale, on m'informe de taper sur la touche 1 pour etre mis en relation avec mon interlocuteur. Une personne(féminine) fait un débit de paroles élevé pendant 2 à 3 minutes je ne comprends rien du tout, elle insiste , me demande mon No de portable. Pensant toujours avoir a faire à la CPAM je le lui communique.Sur ce, le piège se referme.Elle me demande alors, le numero IBAN de mon cpte bancaire.D une naiveté et stupidité sans nom, je le lui transmet.Le doute s'installe en moi, je regarde de nouveau mon tel portable, et je lis que je suis nouveau client chez NEOLIANE et qu'a partir du 01/11/2017 je serai prélevé tous les mois de 18euros 66. Comment qualifier ce genre de méthode? Comment qualifier ces gens qui se prètent a cette façon d'agir? RDV sur Opinion Assurance afin de dénoncer cette société prédatrice. J 'ai pu constater sur les forums que nous sommes des dizaines de personnes victimes de ces agissements.Honte à elle et à toutes celles et ceux qui la représente. Unissons- nous pour la dénoncer.</t>
  </si>
  <si>
    <t>31/10/2017</t>
  </si>
  <si>
    <t>erton59-58133</t>
  </si>
  <si>
    <t>conseillère prévalys qui me contacte et après discussion e transmet un devis par mail pour néoliane et qui se dit travailler pour courtalys
peu courtoise après lui avoir dit que je n'arrivai pas à ouvrir la pièce jointe (devis) je bloque le numéro m'appelle par numéro privé je lui indique que je n'ai pas de temps à perdre et que cela me semble bizarre à ce moment bien plus que désagréable quand je lui indique que je ne donnerai pas suite aux appels. cette personne s'appelle sarah jardi</t>
  </si>
  <si>
    <t>17/10/2017</t>
  </si>
  <si>
    <t>laure59-57855</t>
  </si>
  <si>
    <t>abonnement par telephone</t>
  </si>
  <si>
    <t>06/10/2017</t>
  </si>
  <si>
    <t>n'est pas adapté à ma situation (pris en charge à 100% par la CPAM)</t>
  </si>
  <si>
    <t>05/10/2017</t>
  </si>
  <si>
    <t>mc-57591</t>
  </si>
  <si>
    <t>Démarchage téléphonique hier. Une personne s'est fait passé pour la sécurité sociale et à la fin de la conversation s'est présenté comme Neoliane.
Le commercial m'a indiqué qu'avec la loi Macron, les frais d'hospitalisation ne sont plus pris en compte par la SS et la mutuelle. Ils avaient les informations me concernant, ils m'ont forcé à souscrire un contrat malgré mon refus. Cette personne était agressif et peu conciliante au dialogue. Du coup, il m'indique que je recevrais un contrat sous 15 jours et que les prélèvements commenceront le 1er novembre. Nul besoin de signature de ma part.
Ma fille les a contactés pour obtenir plus d'explications. Le ton est monté. Ils ne veulent rien entendre.
Comment se rétracter d'un contrat qu'on a jamais voulu sous 14 jours sans avoir ni contrat ni conditions particulières ?
De plus, la loi encadre bien plus les contrats à distance et les démarchages téléphoniques avec un consommateur.</t>
  </si>
  <si>
    <t>26/09/2017</t>
  </si>
  <si>
    <t>loga-57233</t>
  </si>
  <si>
    <t>J'ai souscrit  chez eux car mon fils doit porté un appareil dentaire , j'ai donc pris l'option initial 3+ pour être prit en charge a 200 %. Et au premier devis je me rend compte qu'il paie exactement les meme somme que la CPAM.... Ou sont les 200 % ? j'ai presque 900 euros a payer de ma poche alors ou que la mutuel me coûte déjà 112 par mois......</t>
  </si>
  <si>
    <t>10/09/2017</t>
  </si>
  <si>
    <t>annie-57133</t>
  </si>
  <si>
    <t>Démarchée en 2016 par téléphone (plusieurs appels par jour) par une certaine "Karine" qui ne répond plus après signature, bien que son message dise qu'elle vous rappellera dans la journée....
problèmes de télétransmission dont on ne m'a pas informée (?) car j'étais inconnue à la CPAM (normal, je suis retraitée enseignante et ma caisse c'est la MGEN!) 
Maintenant je ne sais pas quel problème il peut y avoir mais je n'ai encore reçu aucun remboursement sauf de la MGEN depuis janvier
Pas de réponse à mes mails non plus
Pas de réponse au téléphone.....
Peut-on parler de malhonnêteté? d'incompétence? de négligence?</t>
  </si>
  <si>
    <t>06/09/2017</t>
  </si>
  <si>
    <t>78000-37996</t>
  </si>
  <si>
    <t>j'ai cette mutuelle neoliane depuis le 1 janvier 2017 ( j'ai 70 ans )cette mutuelle est une véritable calamité surtout sur le plan administratif Exemple je me suis fait operer vers le mois de mai . 2 mois avant j'ai demandé une prise en charge , elle est arrivée a l'hôpital 1 mois après ma sortie , j'ai du avancer TOUS les frais . autres exemple , ils perdent systématiquement tous les papiers envoyé soit courrier , soit par mails et ils ne vous disent rien c'est en consultant les comptes que vous vous en apercevez . Un jour j'ai envoyé des factures par mail , et bien connaissant les flibustiers , j'ai téléphoner le lendemain MAIS a une secrétaire , qui ma confirmer avoir bien reçu les factures par mail .Au bout d'un mois ne voyant rien sur mon compte , j'ai appelé la personne qui gérait tout mon dossier , et elle a eu le culot de me dire qu'elle avait rien reçue . Pour les dents les remboursements c'est la même chose . A ce jour je me suis fait avoir sur 2 remboursements 1 de 60 euros et l'autre de 70 euros . J'ai téléphoné , j'ai écris et bien rien , il arrivent toujours a vous prouvez par A+B que les remboursements ont été fait , et ce n'est pas vrai .Ras le bol j'ai résilié , et depuis il me téléphone pratiquement tous les jours et je fais comme eux , je joue a l'autruche en ne décrochant pas . Je me suis renseigné ( trop tard ) et leur administratif est une véritable CATASTROPHE Je pense a toutes ces personnes âgées qui ne vérifient jamais leurs compte Neoliane ( remboursements ) ce que cette mutuelle doit ce mettre dans la poche .</t>
  </si>
  <si>
    <t>02/09/2017</t>
  </si>
  <si>
    <t>jeph571-56881</t>
  </si>
  <si>
    <t>du gachis de l argent par les fenetre</t>
  </si>
  <si>
    <t>exo-56232</t>
  </si>
  <si>
    <t xml:space="preserve">Bonjour, noter les garanties me sera compliqué, car je ne serai assuré que plus tard. Je me suis fait embrouiller au téléphone par une prospect "Santiane" qui m'a demandé tout un tas de trucs. J'apprends que j'aurais conclus un contrat à effet du 01/01/18 et on m'a déjà prélevé des frais de gestion. Hors, je ne puis résilier ma Mutuelle actuelle ayant une caution solidaire avec celle-ci sur un prêt. J'ai fait opposition aux prélèvements, et je pense qu'on finira au Tribunal, le fameux délai de rétractation de 14 jours étant dépassé! </t>
  </si>
  <si>
    <t>24/07/2017</t>
  </si>
  <si>
    <t>lechat123-55749</t>
  </si>
  <si>
    <t>J'ai été client Néoliane plusieurs années, tout s'est toujours bien passé, remboursé dans les temps et les conditions du contrat ont toujours été respectées. Le service client est facile à joindre.</t>
  </si>
  <si>
    <t>jl15-54842</t>
  </si>
  <si>
    <t>6 mois après mon adhésion, Néoliane ne s'est pas encore occupé de la télé transmission .Résultat
je suis seulement remboursé par la SECU.Pas sérieux de plus lorsue vous appelez le service client attendez vous à patienter au moins 15 mn......</t>
  </si>
  <si>
    <t>22/05/2017</t>
  </si>
  <si>
    <t>afef-54059</t>
  </si>
  <si>
    <t>refus de résiliation pour avis d’Échéance non reçus ne reçoit pas les recommandés ne traite pas les mails personnel désagréable et impoli qui n’hésite pas à raccrocher au nez je n'aurai assez de place pour tout citer.</t>
  </si>
  <si>
    <t>maria94-54019</t>
  </si>
  <si>
    <t>Bonjour à tous, j'espère que mon commentaire pourra aider à faire un choix judicieux. Tout ce passait bien avec Néoliane jusqu'à ce que je résilie mon contrat (je précise dans les règles de l'art avec accusé réception et largement dans les délais impartis). Aujourd’hui mon contrat pourtant résilié après bien des efforts de ma part (relance courriel et téléphonique multiples). Néoliane continu de prélever sur mon compte bancaire alors que le service client me confirme bien la résiliation de celui-ci !!!! Depuis janvier j'arrive à plus de 200 euros de prélèvement injustifié... Aucune réaction de leurs services malgré de multiples relances...</t>
  </si>
  <si>
    <t>11/04/2017</t>
  </si>
  <si>
    <t>marlmig-53318</t>
  </si>
  <si>
    <t>Au vue de tout ce que je peux lire sur Internet, il semble que Néoliane - Santiane - Mutua Gestion use d'une belle incompétence pour déguiser des méthodes douteuses. Je suis chez eux depuis 4 ans et avoue ne pas avoir été très vigilante sur les remboursements. J'ai quand même constaté l'année dernière 6 mois sans le moindre remboursement concernant mon conjoint. La raison donné par le service client "un problème informatique qui aurait supprimé la télétransmission de mon conjoint vers la sécu". Aujourd'hui, ils ont décidé de contester ma demande de résiliation pourtant légitime puisque j'adhère à une mutuelle d'entreprise obligatoire. Depuis octobre 2016, date à laquelle j'ai résilié par lettre recommandée avec attestation employeur, ils me relancent pour le paiement des cotisations auxquelles j'ai fait opposition allant même jusqu'à mandaté une société de recouvrement. Je ne vous parle évidemment pas de leur service client déplorable aussi incompétent qu'ignorant, qui vous mente et vous ballade de service en service. Bref, me voilà dans l'obligation de saisir un médiateur en assurance pour faire stopper ce harcèlement et faire valoir mes droits.</t>
  </si>
  <si>
    <t>16/03/2017</t>
  </si>
  <si>
    <t>retraitee-53083</t>
  </si>
  <si>
    <t>lors de mon adhesion en juin 2014 il m'avait été indiqué que le remboursement de lunettes était augmenté de 50% en cas de changement au bout de 2 ans ( soit 250+125=375€ pour verres simples et 400+200=600€ pour verres complexes). Or cette année donc pratiquement 3 ans apres au moment de changer nos lunettes nous apprenons après XXXX coups de téléphone que les conditions de remboursement ont changées et qu'il n'y a plus de complément même 3 ans après. Nous n'avons jamais reçu ce changement de contrat.... impossible de l'avoir d'ailleurs§</t>
  </si>
  <si>
    <t>08/03/2017</t>
  </si>
  <si>
    <t>clemence-53046</t>
  </si>
  <si>
    <t xml:space="preserve">Bonjour, 
J'ai depuis le 1 novembre un mutuelle obligatoire d'entreprise, après plusieurs courriers, mails et coups de téléphones, Néoliane santé continue à me prélever et fait la sourde oreille.fuir
</t>
  </si>
  <si>
    <t>abdou75-52520</t>
  </si>
  <si>
    <t>Je suis adhérent depuis le 1er Janvier 2016 chez Néoliane, j'ai opté pour cette complémentaire après avoir effectué des comparatifs avec mon courtier et la gamme est très intéressante car j'avais besoin de bonnes prises en charge donc le compromis est intéressant sur ma formule car je ne paye pas une fortune et les participations aux remboursements sont corrects</t>
  </si>
  <si>
    <t>anne-52446</t>
  </si>
  <si>
    <t>Je mets une étoile, car le zéro n'existe pas : je viens d'être démarchée par téléphone de façon agressive avec un brin de chantage... Je ne conclus rien par téléphone sans autres documentations ni avis, et j'ai réussi à m'en débarrasser, mais quelle insistance. C'est une façon de procéder totalement indigne.</t>
  </si>
  <si>
    <t>15/02/2017</t>
  </si>
  <si>
    <t>chris77420-52385</t>
  </si>
  <si>
    <t>Le contrat Néoliane Santé souscrit dans un premier temps a été annulé conformément à mon droit de rétractation au 31/01/2017. Cependant, le contrat prévoyance-décès souscrit et lié au précédent n'a pas été conjointement annulé alors que tous les fichiers relatifs aux coordonnées bancaires auraient dû être supprimés (demandés par LR 17 et 22/12/2016).
Conclusion, 2 prélèvements bancaires au titre de ce dernier contrat ont été opérés en janvier et février 2017!
J'ai relancé ce jour Néoliane pour obtenir le remboursement de ces deux débits.
En attente de leur réponse.
13/02/2017</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</si>
</sst>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IFERROR(__xludf.DUMMYFUNCTION("GOOGLETRANSLATE(C2,""fr"",""en"")"),"Well I didn't have to complain about it.
Ceepant attention to the driver's protaction is a bit vague.
As for the rest after 7 years of motorcycle insurance and even more in the car is a very good insurance.")</f>
        <v>Well I didn't have to complain about it.
Ceepant attention to the driver's protaction is a bit vague.
As for the rest after 7 years of motorcycle insurance and even more in the car is a very good insurance.</v>
      </c>
    </row>
    <row r="3">
      <c r="B3" s="2" t="s">
        <v>18</v>
      </c>
      <c r="C3" s="2" t="s">
        <v>19</v>
      </c>
      <c r="D3" s="2" t="s">
        <v>13</v>
      </c>
      <c r="E3" s="2" t="s">
        <v>14</v>
      </c>
      <c r="F3" s="2" t="s">
        <v>15</v>
      </c>
      <c r="G3" s="2" t="s">
        <v>20</v>
      </c>
      <c r="H3" s="2" t="s">
        <v>21</v>
      </c>
      <c r="I3" s="2" t="str">
        <f>IFERROR(__xludf.DUMMYFUNCTION("GOOGLETRANSLATE(C3,""fr"",""en"")"),"10 years of car license without an accident, I try to be insured at the Macif for my motorcycle and I treat myself as a less than nothing because I am a young motorcycle license. They ""deign"" to assure me only if I repatriate my home insurance with them"&amp;". Ashamed!")</f>
        <v>10 years of car license without an accident, I try to be insured at the Macif for my motorcycle and I treat myself as a less than nothing because I am a young motorcycle license. They "deign" to assure me only if I repatriate my home insurance with them. Ashamed!</v>
      </c>
    </row>
    <row r="4">
      <c r="B4" s="2" t="s">
        <v>22</v>
      </c>
      <c r="C4" s="2" t="s">
        <v>23</v>
      </c>
      <c r="D4" s="2" t="s">
        <v>13</v>
      </c>
      <c r="E4" s="2" t="s">
        <v>14</v>
      </c>
      <c r="F4" s="2" t="s">
        <v>15</v>
      </c>
      <c r="G4" s="2" t="s">
        <v>24</v>
      </c>
      <c r="H4" s="2" t="s">
        <v>25</v>
      </c>
      <c r="I4" s="2" t="str">
        <f>IFERROR(__xludf.DUMMYFUNCTION("GOOGLETRANSLATE(C4,""fr"",""en"")"),"Insurance to avoid 2 years that I must ask them in it with the accident that my son had on a motorcycle they did not give a damn they always find excuses each time. It's been 20 years since I have been at home but it does not prevent them from taking me f"&amp;"or a Imbilecile")</f>
        <v>Insurance to avoid 2 years that I must ask them in it with the accident that my son had on a motorcycle they did not give a damn they always find excuses each time. It's been 20 years since I have been at home but it does not prevent them from taking me for a Imbilecile</v>
      </c>
    </row>
    <row r="5">
      <c r="B5" s="2" t="s">
        <v>26</v>
      </c>
      <c r="C5" s="2" t="s">
        <v>27</v>
      </c>
      <c r="D5" s="2" t="s">
        <v>13</v>
      </c>
      <c r="E5" s="2" t="s">
        <v>14</v>
      </c>
      <c r="F5" s="2" t="s">
        <v>15</v>
      </c>
      <c r="G5" s="2" t="s">
        <v>28</v>
      </c>
      <c r="H5" s="2" t="s">
        <v>29</v>
      </c>
      <c r="I5" s="2" t="str">
        <f>IFERROR(__xludf.DUMMYFUNCTION("GOOGLETRANSLATE(C5,""fr"",""en"")"),"It is necessary that to have a discount (186euro out of a total of 531 euro) which is not negligible if we say nothing we pay the high price")</f>
        <v>It is necessary that to have a discount (186euro out of a total of 531 euro) which is not negligible if we say nothing we pay the high price</v>
      </c>
    </row>
    <row r="6">
      <c r="B6" s="2" t="s">
        <v>30</v>
      </c>
      <c r="C6" s="2" t="s">
        <v>31</v>
      </c>
      <c r="D6" s="2" t="s">
        <v>13</v>
      </c>
      <c r="E6" s="2" t="s">
        <v>14</v>
      </c>
      <c r="F6" s="2" t="s">
        <v>15</v>
      </c>
      <c r="G6" s="2" t="s">
        <v>32</v>
      </c>
      <c r="H6" s="2" t="s">
        <v>33</v>
      </c>
      <c r="I6" s="2" t="str">
        <f>IFERROR(__xludf.DUMMYFUNCTION("GOOGLETRANSLATE(C6,""fr"",""en"")"),"Insured for 3 motorcycles, multi -risk home contract and life accident coverage. I just had contact with my customer service. Very fast mail care received 3 days later. Nothing to say I advise with pleasure.")</f>
        <v>Insured for 3 motorcycles, multi -risk home contract and life accident coverage. I just had contact with my customer service. Very fast mail care received 3 days later. Nothing to say I advise with pleasure.</v>
      </c>
    </row>
    <row r="7">
      <c r="B7" s="2" t="s">
        <v>34</v>
      </c>
      <c r="C7" s="2" t="s">
        <v>35</v>
      </c>
      <c r="D7" s="2" t="s">
        <v>13</v>
      </c>
      <c r="E7" s="2" t="s">
        <v>14</v>
      </c>
      <c r="F7" s="2" t="s">
        <v>15</v>
      </c>
      <c r="G7" s="2" t="s">
        <v>36</v>
      </c>
      <c r="H7" s="2" t="s">
        <v>37</v>
      </c>
      <c r="I7" s="2" t="str">
        <f>IFERROR(__xludf.DUMMYFUNCTION("GOOGLETRANSLATE(C7,""fr"",""en"")"),"the macif its good insurance to pay you all well you do a tinkering it changes all I waited for more than 3 myself for recuperet sum behind my car I make them myself and I suits all risk")</f>
        <v>the macif its good insurance to pay you all well you do a tinkering it changes all I waited for more than 3 myself for recuperet sum behind my car I make them myself and I suits all risk</v>
      </c>
    </row>
    <row r="8">
      <c r="B8" s="2" t="s">
        <v>38</v>
      </c>
      <c r="C8" s="2" t="s">
        <v>39</v>
      </c>
      <c r="D8" s="2" t="s">
        <v>13</v>
      </c>
      <c r="E8" s="2" t="s">
        <v>14</v>
      </c>
      <c r="F8" s="2" t="s">
        <v>15</v>
      </c>
      <c r="G8" s="2" t="s">
        <v>40</v>
      </c>
      <c r="H8" s="2" t="s">
        <v>41</v>
      </c>
      <c r="I8" s="2" t="str">
        <f>IFERROR(__xludf.DUMMYFUNCTION("GOOGLETRANSLATE(C8,""fr"",""en"")"),"At the Macif we tell you that your equipment is 100%loaded, it had only 2 months my equipment when I had my accident. Result reimbursed at 60%. In addition, between the Macif, the expert and the garage no one knew where my motorcycle was!
Result: no bodi"&amp;"ly refund for hospitals, no serious follow -up, very very long procedure, new equipment not reimbursed at 100%.")</f>
        <v>At the Macif we tell you that your equipment is 100%loaded, it had only 2 months my equipment when I had my accident. Result reimbursed at 60%. In addition, between the Macif, the expert and the garage no one knew where my motorcycle was!
Result: no bodily refund for hospitals, no serious follow -up, very very long procedure, new equipment not reimbursed at 100%.</v>
      </c>
    </row>
    <row r="9">
      <c r="B9" s="2" t="s">
        <v>42</v>
      </c>
      <c r="C9" s="2" t="s">
        <v>43</v>
      </c>
      <c r="D9" s="2" t="s">
        <v>13</v>
      </c>
      <c r="E9" s="2" t="s">
        <v>14</v>
      </c>
      <c r="F9" s="2" t="s">
        <v>15</v>
      </c>
      <c r="G9" s="2" t="s">
        <v>44</v>
      </c>
      <c r="H9" s="2" t="s">
        <v>45</v>
      </c>
      <c r="I9" s="2" t="str">
        <f>IFERROR(__xludf.DUMMYFUNCTION("GOOGLETRANSLATE(C9,""fr"",""en"")"),"The Macif to flee
The Macif Grand specialist in Foutage de Figure
I had a filmed disaster, (I ride a motorbike with a camera)
I got into it from behind and they dared to classify my loss in 50/50
Dozens of mails have not changed anything in the situ"&amp;"ation, I had to call on the mediator but I had already spent months trying to assert my rights that I ended up letting go.
My accident:
I get struck at the back by a coconut that changes my line, I have a film that does not show the shock but on which"&amp;" we see the badger breaking and I who always roll on the same line.
They did not want to hear anything, if that is not bad liver because of the agreements they have between insurance I wonder what it is
I strongly recommend this company
Go to any one"&amp;" but not to these grocers")</f>
        <v>The Macif to flee
The Macif Grand specialist in Foutage de Figure
I had a filmed disaster, (I ride a motorbike with a camera)
I got into it from behind and they dared to classify my loss in 50/50
Dozens of mails have not changed anything in the situation, I had to call on the mediator but I had already spent months trying to assert my rights that I ended up letting go.
My accident:
I get struck at the back by a coconut that changes my line, I have a film that does not show the shock but on which we see the badger breaking and I who always roll on the same line.
They did not want to hear anything, if that is not bad liver because of the agreements they have between insurance I wonder what it is
I strongly recommend this company
Go to any one but not to these grocers</v>
      </c>
    </row>
    <row r="10">
      <c r="B10" s="2" t="s">
        <v>46</v>
      </c>
      <c r="C10" s="2" t="s">
        <v>47</v>
      </c>
      <c r="D10" s="2" t="s">
        <v>13</v>
      </c>
      <c r="E10" s="2" t="s">
        <v>14</v>
      </c>
      <c r="F10" s="2" t="s">
        <v>15</v>
      </c>
      <c r="G10" s="2" t="s">
        <v>48</v>
      </c>
      <c r="H10" s="2" t="s">
        <v>49</v>
      </c>
      <c r="I10" s="2" t="str">
        <f>IFERROR(__xludf.DUMMYFUNCTION("GOOGLETRANSLATE(C10,""fr"",""en"")"),"Very unsatisfied with the Macif that I strongly recommend.
Motorcycle flight insurance conditions are, among other things, gravage and have a garage.
When I took a contract with them a year ago, I took the flight option. I had no garage and therefore di"&amp;"d not have my scooter engraved, thinking of doing it as soon as I move. I then taken to an apartment with garage, but we stole my scooter in the garage 3 weeks after moving in !!! I had not taken the time to have it engraved, more busy moving. The Macif d"&amp;"id not take into account a single second of the unfortunate circumstances! I no longer have any confidence and therefore seek new insurance.")</f>
        <v>Very unsatisfied with the Macif that I strongly recommend.
Motorcycle flight insurance conditions are, among other things, gravage and have a garage.
When I took a contract with them a year ago, I took the flight option. I had no garage and therefore did not have my scooter engraved, thinking of doing it as soon as I move. I then taken to an apartment with garage, but we stole my scooter in the garage 3 weeks after moving in !!! I had not taken the time to have it engraved, more busy moving. The Macif did not take into account a single second of the unfortunate circumstances! I no longer have any confidence and therefore seek new insurance.</v>
      </c>
    </row>
    <row r="11">
      <c r="B11" s="2" t="s">
        <v>50</v>
      </c>
      <c r="C11" s="2" t="s">
        <v>51</v>
      </c>
      <c r="D11" s="2" t="s">
        <v>13</v>
      </c>
      <c r="E11" s="2" t="s">
        <v>14</v>
      </c>
      <c r="F11" s="2" t="s">
        <v>15</v>
      </c>
      <c r="G11" s="2" t="s">
        <v>52</v>
      </c>
      <c r="H11" s="2" t="s">
        <v>53</v>
      </c>
      <c r="I11" s="2" t="str">
        <f>IFERROR(__xludf.DUMMYFUNCTION("GOOGLETRANSLATE(C11,""fr"",""en"")"),"The Macif is an insurer close to its members. Following the theft of my motorcycle I had a refund which allowed me to quickly buy the same motorcycle and I did not have any price increase. I recommend this insurance, the only negative point The basic rate"&amp;" is interesting but quickly rises depending on the options and additional guarantees.")</f>
        <v>The Macif is an insurer close to its members. Following the theft of my motorcycle I had a refund which allowed me to quickly buy the same motorcycle and I did not have any price increase. I recommend this insurance, the only negative point The basic rate is interesting but quickly rises depending on the options and additional guarantees.</v>
      </c>
    </row>
    <row r="12">
      <c r="B12" s="2" t="s">
        <v>54</v>
      </c>
      <c r="C12" s="2" t="s">
        <v>55</v>
      </c>
      <c r="D12" s="2" t="s">
        <v>13</v>
      </c>
      <c r="E12" s="2" t="s">
        <v>14</v>
      </c>
      <c r="F12" s="2" t="s">
        <v>15</v>
      </c>
      <c r="G12" s="2" t="s">
        <v>56</v>
      </c>
      <c r="H12" s="2" t="s">
        <v>57</v>
      </c>
      <c r="I12" s="2" t="str">
        <f>IFERROR(__xludf.DUMMYFUNCTION("GOOGLETRANSLATE(C12,""fr"",""en"")"),"I find that the Macif hurts her job
He should check the approved garage owners, have my liar, the insurance because a motorcycle repairer has done a job is work (stolen from parts)")</f>
        <v>I find that the Macif hurts her job
He should check the approved garage owners, have my liar, the insurance because a motorcycle repairer has done a job is work (stolen from parts)</v>
      </c>
    </row>
    <row r="13">
      <c r="B13" s="2" t="s">
        <v>58</v>
      </c>
      <c r="C13" s="2" t="s">
        <v>59</v>
      </c>
      <c r="D13" s="2" t="s">
        <v>13</v>
      </c>
      <c r="E13" s="2" t="s">
        <v>14</v>
      </c>
      <c r="F13" s="2" t="s">
        <v>15</v>
      </c>
      <c r="G13" s="2" t="s">
        <v>60</v>
      </c>
      <c r="H13" s="2" t="s">
        <v>61</v>
      </c>
      <c r="I13" s="2" t="str">
        <f>IFERROR(__xludf.DUMMYFUNCTION("GOOGLETRANSLATE(C13,""fr"",""en"")"),"Insured motorcycle at the Macif, I had a non -responsible accident with my scooter: a car in Paris which cuts me off by not respecting the priority on the right. The approach was objective, professional and transparent, deemed economically irreparable I w"&amp;"as quickly compensated for the value at the mileage less the franchise which should be paid by the opposing party. The approach is long tells me (maybe 6 months), and they automatically relaunch the opposing part each end of the month. We will see if it i"&amp;"s indeed the case and that I will not be forgotten, but I have confidence.")</f>
        <v>Insured motorcycle at the Macif, I had a non -responsible accident with my scooter: a car in Paris which cuts me off by not respecting the priority on the right. The approach was objective, professional and transparent, deemed economically irreparable I was quickly compensated for the value at the mileage less the franchise which should be paid by the opposing party. The approach is long tells me (maybe 6 months), and they automatically relaunch the opposing part each end of the month. We will see if it is indeed the case and that I will not be forgotten, but I have confidence.</v>
      </c>
    </row>
    <row r="14">
      <c r="B14" s="2" t="s">
        <v>62</v>
      </c>
      <c r="C14" s="2" t="s">
        <v>63</v>
      </c>
      <c r="D14" s="2" t="s">
        <v>64</v>
      </c>
      <c r="E14" s="2" t="s">
        <v>14</v>
      </c>
      <c r="F14" s="2" t="s">
        <v>15</v>
      </c>
      <c r="G14" s="2" t="s">
        <v>65</v>
      </c>
      <c r="H14" s="2" t="s">
        <v>66</v>
      </c>
      <c r="I14" s="2" t="str">
        <f>IFERROR(__xludf.DUMMYFUNCTION("GOOGLETRANSLATE(C14,""fr"",""en"")"),"Victim of a disaster of which I am a victim .... a driver who mow me gold that I had the priority .... Plate number + brand, color and model of the driver's car driver + physical description of the driver + Complaint and certificate Expert and Hospital + "&amp;"Number and Deposit of Hands of witness and so on .... The mutual of bikers since May 2018 does not yet compensate me bodily or materially .... knowing that I live On the Island of Reunion to contact them is very difficult !!!! For this I strongly advise a"&amp;"gainst this organization because I pence that it is a lack of respect for their member when above all have always pays our subscription but when the claim arrives nothing more to reimburse you !! Strongly decide on my part ... a biker frustrate and angry "&amp;"!!!")</f>
        <v>Victim of a disaster of which I am a victim .... a driver who mow me gold that I had the priority .... Plate number + brand, color and model of the driver's car driver + physical description of the driver + Complaint and certificate Expert and Hospital + Number and Deposit of Hands of witness and so on .... The mutual of bikers since May 2018 does not yet compensate me bodily or materially .... knowing that I live On the Island of Reunion to contact them is very difficult !!!! For this I strongly advise against this organization because I pence that it is a lack of respect for their member when above all have always pays our subscription but when the claim arrives nothing more to reimburse you !! Strongly decide on my part ... a biker frustrate and angry !!!</v>
      </c>
    </row>
    <row r="15">
      <c r="B15" s="2" t="s">
        <v>67</v>
      </c>
      <c r="C15" s="2" t="s">
        <v>68</v>
      </c>
      <c r="D15" s="2" t="s">
        <v>64</v>
      </c>
      <c r="E15" s="2" t="s">
        <v>14</v>
      </c>
      <c r="F15" s="2" t="s">
        <v>15</v>
      </c>
      <c r="G15" s="2" t="s">
        <v>69</v>
      </c>
      <c r="H15" s="2" t="s">
        <v>70</v>
      </c>
      <c r="I15" s="2" t="str">
        <f>IFERROR(__xludf.DUMMYFUNCTION("GOOGLETRANSLATE(C15,""fr"",""en"")"),"Hello,
I wanted to shoot my hat and warmly thank the person for the mutual insurance of the bikers (assistance service for troubleshooting) who took care of me on the Venbredi June 18, following a battery failure in the Vercors, between Valence and Gap.
"&amp;"
Without her, who took care of everything to quickly send me the convenience store and search for the nearest garage which could replace the battery of my Honda X Crosstourer 1200 motorcycle quickly.
I would not have managed to take the ferry at 5.30 p.m"&amp;". in Toulon, to go to Corsica.
So I say bravo! Biker mutual insurance.
FT
")</f>
        <v>Hello,
I wanted to shoot my hat and warmly thank the person for the mutual insurance of the bikers (assistance service for troubleshooting) who took care of me on the Venbredi June 18, following a battery failure in the Vercors, between Valence and Gap.
Without her, who took care of everything to quickly send me the convenience store and search for the nearest garage which could replace the battery of my Honda X Crosstourer 1200 motorcycle quickly.
I would not have managed to take the ferry at 5.30 p.m. in Toulon, to go to Corsica.
So I say bravo! Biker mutual insurance.
FT
</v>
      </c>
    </row>
    <row r="16">
      <c r="B16" s="2" t="s">
        <v>71</v>
      </c>
      <c r="C16" s="2" t="s">
        <v>72</v>
      </c>
      <c r="D16" s="2" t="s">
        <v>64</v>
      </c>
      <c r="E16" s="2" t="s">
        <v>14</v>
      </c>
      <c r="F16" s="2" t="s">
        <v>15</v>
      </c>
      <c r="G16" s="2" t="s">
        <v>73</v>
      </c>
      <c r="H16" s="2" t="s">
        <v>74</v>
      </c>
      <c r="I16" s="2" t="str">
        <f>IFERROR(__xludf.DUMMYFUNCTION("GOOGLETRANSLATE(C16,""fr"",""en"")"),"Dissatisfied with the Mutuelle des Motards for several reasons:
- The price, even if the price is not excessive, I had the unpleasant surprise to see my bill increase by 11% this year. When we know the little km covered, we are entitled to ask questions."&amp;" An increase can be understood, but more than 10% the explanations must be relevant, and this is the second reason for dissatisfaction.
- The limited friendliness of certain interlocutors. When you call for explanations and discuss a commercial offer, yo"&amp;"u are said to be told that nothing can be done and that the prices are unchanging. If you have the misfortune to ask why, we explain that ""is like that"", which is vague and incomplete for a service that we pay every year.
I cannot judge the level of "&amp;"service in the event of an accident having never had a motorcycle concern, however from a commercial and relational point of view I keep a very bad memory and I do not recommend the mutual of bikers that I left following this problem.")</f>
        <v>Dissatisfied with the Mutuelle des Motards for several reasons:
- The price, even if the price is not excessive, I had the unpleasant surprise to see my bill increase by 11% this year. When we know the little km covered, we are entitled to ask questions. An increase can be understood, but more than 10% the explanations must be relevant, and this is the second reason for dissatisfaction.
- The limited friendliness of certain interlocutors. When you call for explanations and discuss a commercial offer, you are said to be told that nothing can be done and that the prices are unchanging. If you have the misfortune to ask why, we explain that "is like that", which is vague and incomplete for a service that we pay every year.
I cannot judge the level of service in the event of an accident having never had a motorcycle concern, however from a commercial and relational point of view I keep a very bad memory and I do not recommend the mutual of bikers that I left following this problem.</v>
      </c>
    </row>
    <row r="17">
      <c r="B17" s="2" t="s">
        <v>75</v>
      </c>
      <c r="C17" s="2" t="s">
        <v>76</v>
      </c>
      <c r="D17" s="2" t="s">
        <v>64</v>
      </c>
      <c r="E17" s="2" t="s">
        <v>14</v>
      </c>
      <c r="F17" s="2" t="s">
        <v>15</v>
      </c>
      <c r="G17" s="2" t="s">
        <v>77</v>
      </c>
      <c r="H17" s="2" t="s">
        <v>74</v>
      </c>
      <c r="I17" s="2" t="str">
        <f>IFERROR(__xludf.DUMMYFUNCTION("GOOGLETRANSLATE(C17,""fr"",""en"")"),"Had all the explanations to my questions and very well advised. The little extra: the guy from the Mutuelle des Motards is a biker, we were able to discuss our common passion. Maxi note!")</f>
        <v>Had all the explanations to my questions and very well advised. The little extra: the guy from the Mutuelle des Motards is a biker, we were able to discuss our common passion. Maxi note!</v>
      </c>
    </row>
    <row r="18">
      <c r="B18" s="2" t="s">
        <v>78</v>
      </c>
      <c r="C18" s="2" t="s">
        <v>79</v>
      </c>
      <c r="D18" s="2" t="s">
        <v>64</v>
      </c>
      <c r="E18" s="2" t="s">
        <v>14</v>
      </c>
      <c r="F18" s="2" t="s">
        <v>15</v>
      </c>
      <c r="G18" s="2" t="s">
        <v>80</v>
      </c>
      <c r="H18" s="2" t="s">
        <v>74</v>
      </c>
      <c r="I18" s="2" t="str">
        <f>IFERROR(__xludf.DUMMYFUNCTION("GOOGLETRANSLATE(C18,""fr"",""en"")"),"Totally unnecessary insurance in any risk I was robbed my motorcycle 1 and a half years ago and I never was reimbursing and I continue to pay insurance until a short time ago, while I had warned the flight. And do not count on them to have information.
T"&amp;"otally dissatisfied I absolutely recommend this insurance.")</f>
        <v>Totally unnecessary insurance in any risk I was robbed my motorcycle 1 and a half years ago and I never was reimbursing and I continue to pay insurance until a short time ago, while I had warned the flight. And do not count on them to have information.
Totally dissatisfied I absolutely recommend this insurance.</v>
      </c>
    </row>
    <row r="19">
      <c r="B19" s="2" t="s">
        <v>81</v>
      </c>
      <c r="C19" s="2" t="s">
        <v>82</v>
      </c>
      <c r="D19" s="2" t="s">
        <v>64</v>
      </c>
      <c r="E19" s="2" t="s">
        <v>14</v>
      </c>
      <c r="F19" s="2" t="s">
        <v>15</v>
      </c>
      <c r="G19" s="2" t="s">
        <v>83</v>
      </c>
      <c r="H19" s="2" t="s">
        <v>84</v>
      </c>
      <c r="I19" s="2" t="str">
        <f>IFERROR(__xludf.DUMMYFUNCTION("GOOGLETRANSLATE(C19,""fr"",""en"")"),"DEFUTION OPTION 2021 RECIBUE, a big increase, without really justification, if, I phone, and a speech inda and moralizing on the increase due to serious and more expensive bodily accidents with the bonus, which I find out move By the way.
It remains an e"&amp;"xceptional year, they could have made an exception on prices. To see rather correct accounting balance sheets, nothing justifies such an increase.
Another resentment, I already had a non -responsible accident, lacking in the absence of the other party, a"&amp;"nd noted. Having generated bodily damage, no care, after two weeks for them I was warri, spent 2 months with crutches, no missioned medical expertise, and no taking into account the analyzes of my doctors, Now I have arthritis at the knees of a retired cy"&amp;"clist, and I am only 26 years old ... and months to treat the material part. I had to do part of their job in their place ...
In short, for a few years, they are not worth war better than brokers ...")</f>
        <v>DEFUTION OPTION 2021 RECIBUE, a big increase, without really justification, if, I phone, and a speech inda and moralizing on the increase due to serious and more expensive bodily accidents with the bonus, which I find out move By the way.
It remains an exceptional year, they could have made an exception on prices. To see rather correct accounting balance sheets, nothing justifies such an increase.
Another resentment, I already had a non -responsible accident, lacking in the absence of the other party, and noted. Having generated bodily damage, no care, after two weeks for them I was warri, spent 2 months with crutches, no missioned medical expertise, and no taking into account the analyzes of my doctors, Now I have arthritis at the knees of a retired cyclist, and I am only 26 years old ... and months to treat the material part. I had to do part of their job in their place ...
In short, for a few years, they are not worth war better than brokers ...</v>
      </c>
    </row>
    <row r="20">
      <c r="B20" s="2" t="s">
        <v>85</v>
      </c>
      <c r="C20" s="2" t="s">
        <v>86</v>
      </c>
      <c r="D20" s="2" t="s">
        <v>64</v>
      </c>
      <c r="E20" s="2" t="s">
        <v>14</v>
      </c>
      <c r="F20" s="2" t="s">
        <v>15</v>
      </c>
      <c r="G20" s="2" t="s">
        <v>87</v>
      </c>
      <c r="H20" s="2" t="s">
        <v>84</v>
      </c>
      <c r="I20" s="2" t="str">
        <f>IFERROR(__xludf.DUMMYFUNCTION("GOOGLETRANSLATE(C20,""fr"",""en"")"),"As I read in other comments I also received an increase of five euros current of the year 2021 for so-called too many accidents occurred during this same year while we are in COVVID and most people have released that very little about their motorcycle tha"&amp;"t is the explanation!
No data forming proves to tell them I am scandalized!
At the time of the termination of my contract they collected me a sum and they reimbursed me a less important without giving me any explanations
Goodbye the MDM")</f>
        <v>As I read in other comments I also received an increase of five euros current of the year 2021 for so-called too many accidents occurred during this same year while we are in COVVID and most people have released that very little about their motorcycle that is the explanation!
No data forming proves to tell them I am scandalized!
At the time of the termination of my contract they collected me a sum and they reimbursed me a less important without giving me any explanations
Goodbye the MDM</v>
      </c>
    </row>
    <row r="21" ht="15.75" customHeight="1">
      <c r="B21" s="2" t="s">
        <v>88</v>
      </c>
      <c r="C21" s="2" t="s">
        <v>89</v>
      </c>
      <c r="D21" s="2" t="s">
        <v>64</v>
      </c>
      <c r="E21" s="2" t="s">
        <v>14</v>
      </c>
      <c r="F21" s="2" t="s">
        <v>15</v>
      </c>
      <c r="G21" s="2" t="s">
        <v>90</v>
      </c>
      <c r="H21" s="2" t="s">
        <v>91</v>
      </c>
      <c r="I21" s="2" t="str">
        <f>IFERROR(__xludf.DUMMYFUNCTION("GOOGLETRANSLATE(C21,""fr"",""en"")"),"Hello, ditto that the other 20% increase for no real reason in my opinion.
I change the gear we will see if the grass and greener elsewhere.
Insurance in general they are good as long as we don't need them.
At the Mutuel des Motards I had a great welco"&amp;"me in 2019 and a correct price but not needed them from the start outside the green card.
case to follow.")</f>
        <v>Hello, ditto that the other 20% increase for no real reason in my opinion.
I change the gear we will see if the grass and greener elsewhere.
Insurance in general they are good as long as we don't need them.
At the Mutuel des Motards I had a great welcome in 2019 and a correct price but not needed them from the start outside the green card.
case to follow.</v>
      </c>
    </row>
    <row r="22" ht="15.75" customHeight="1">
      <c r="B22" s="2" t="s">
        <v>92</v>
      </c>
      <c r="C22" s="2" t="s">
        <v>93</v>
      </c>
      <c r="D22" s="2" t="s">
        <v>64</v>
      </c>
      <c r="E22" s="2" t="s">
        <v>14</v>
      </c>
      <c r="F22" s="2" t="s">
        <v>15</v>
      </c>
      <c r="G22" s="2" t="s">
        <v>94</v>
      </c>
      <c r="H22" s="2" t="s">
        <v>91</v>
      </c>
      <c r="I22" s="2" t="str">
        <f>IFERROR(__xludf.DUMMYFUNCTION("GOOGLETRANSLATE(C22,""fr"",""en"")"),"Our scooters and motorcycles have been assured at the Mutuelle des Motards for over a year. I was very well advised, by someone who knew what he was talking about, who made me a contract adapted to my needs and without pushing myself to the consumption! A"&amp;"t first glance it is not the cheapest but when you look more closely I find myself largely with all the advantages included !!")</f>
        <v>Our scooters and motorcycles have been assured at the Mutuelle des Motards for over a year. I was very well advised, by someone who knew what he was talking about, who made me a contract adapted to my needs and without pushing myself to the consumption! At first glance it is not the cheapest but when you look more closely I find myself largely with all the advantages included !!</v>
      </c>
    </row>
    <row r="23" ht="15.75" customHeight="1">
      <c r="B23" s="2" t="s">
        <v>95</v>
      </c>
      <c r="C23" s="2" t="s">
        <v>96</v>
      </c>
      <c r="D23" s="2" t="s">
        <v>64</v>
      </c>
      <c r="E23" s="2" t="s">
        <v>14</v>
      </c>
      <c r="F23" s="2" t="s">
        <v>15</v>
      </c>
      <c r="G23" s="2" t="s">
        <v>97</v>
      </c>
      <c r="H23" s="2" t="s">
        <v>91</v>
      </c>
      <c r="I23" s="2" t="str">
        <f>IFERROR(__xludf.DUMMYFUNCTION("GOOGLETRANSLATE(C23,""fr"",""en"")"),"Wooa what a surprise more than 100 euros in price increase for my second year with the Mutuelle des Motard OUF I have 0; 50! He melts dearly to pay dearly the covid we did not ride with the containment for my part my car insurance la maif which is a mutua"&amp;"l it reimburses me too perceived is not increasing these prices as much by the containment to you not the only ones on the marches my choice is made to me is my son we leave the shop do not tire you to answer like j, could see your response copy sticking "&amp;"which does not justify such a large increases
PS The Biker mutual has failed its reputation")</f>
        <v>Wooa what a surprise more than 100 euros in price increase for my second year with the Mutuelle des Motard OUF I have 0; 50! He melts dearly to pay dearly the covid we did not ride with the containment for my part my car insurance la maif which is a mutual it reimburses me too perceived is not increasing these prices as much by the containment to you not the only ones on the marches my choice is made to me is my son we leave the shop do not tire you to answer like j, could see your response copy sticking which does not justify such a large increases
PS The Biker mutual has failed its reputation</v>
      </c>
    </row>
    <row r="24" ht="15.75" customHeight="1">
      <c r="B24" s="2" t="s">
        <v>98</v>
      </c>
      <c r="C24" s="2" t="s">
        <v>99</v>
      </c>
      <c r="D24" s="2" t="s">
        <v>64</v>
      </c>
      <c r="E24" s="2" t="s">
        <v>14</v>
      </c>
      <c r="F24" s="2" t="s">
        <v>15</v>
      </c>
      <c r="G24" s="2" t="s">
        <v>97</v>
      </c>
      <c r="H24" s="2" t="s">
        <v>91</v>
      </c>
      <c r="I24" s="2" t="str">
        <f>IFERROR(__xludf.DUMMYFUNCTION("GOOGLETRANSLATE(C24,""fr"",""en"")"),"member for 25 years
never accident
4 auto and motorcycle contracts
And this year +20% increase ... which is not acceptable
I will change my boutique to the heart
")</f>
        <v>member for 25 years
never accident
4 auto and motorcycle contracts
And this year +20% increase ... which is not acceptable
I will change my boutique to the heart
</v>
      </c>
    </row>
    <row r="25" ht="15.75" customHeight="1">
      <c r="B25" s="2" t="s">
        <v>100</v>
      </c>
      <c r="C25" s="2" t="s">
        <v>101</v>
      </c>
      <c r="D25" s="2" t="s">
        <v>64</v>
      </c>
      <c r="E25" s="2" t="s">
        <v>14</v>
      </c>
      <c r="F25" s="2" t="s">
        <v>15</v>
      </c>
      <c r="G25" s="2" t="s">
        <v>91</v>
      </c>
      <c r="H25" s="2" t="s">
        <v>91</v>
      </c>
      <c r="I25" s="2" t="str">
        <f>IFERROR(__xludf.DUMMYFUNCTION("GOOGLETRANSLATE(C25,""fr"",""en"")"),"I am very satisfied with my insurer. After a very bad experience at AMV (everything is fine until you have a disaster), I made the choice to join the Mutuelle des Motards. Insurance advisers know the motorcycle and offer us the guarantees adapted to our m"&amp;"otorcycle and our use.
For having had a disaster at the Mutuelle des Motards and at AMV I can tell you that there is no photo !!! At the Mutuelle des Motards we have made us an expert who was labeled for his motorcycle knowledge and who does not forget a"&amp;"nything about his expert report.
I recommend this mutual :-)")</f>
        <v>I am very satisfied with my insurer. After a very bad experience at AMV (everything is fine until you have a disaster), I made the choice to join the Mutuelle des Motards. Insurance advisers know the motorcycle and offer us the guarantees adapted to our motorcycle and our use.
For having had a disaster at the Mutuelle des Motards and at AMV I can tell you that there is no photo !!! At the Mutuelle des Motards we have made us an expert who was labeled for his motorcycle knowledge and who does not forget anything about his expert report.
I recommend this mutual :-)</v>
      </c>
    </row>
    <row r="26" ht="15.75" customHeight="1">
      <c r="B26" s="2" t="s">
        <v>102</v>
      </c>
      <c r="C26" s="2" t="s">
        <v>103</v>
      </c>
      <c r="D26" s="2" t="s">
        <v>64</v>
      </c>
      <c r="E26" s="2" t="s">
        <v>14</v>
      </c>
      <c r="F26" s="2" t="s">
        <v>15</v>
      </c>
      <c r="G26" s="2" t="s">
        <v>104</v>
      </c>
      <c r="H26" s="2" t="s">
        <v>105</v>
      </c>
      <c r="I26" s="2" t="str">
        <f>IFERROR(__xludf.DUMMYFUNCTION("GOOGLETRANSLATE(C26,""fr"",""en"")"),"Hello, no surprise, my opinion will join the others! It's a shame ! Bikers with 20 years of experience and a bonus at 0.50. In 2 years, I have almost 20% increase in my insurance rate!
Their excuse: they are a mutual! What is certain is that at the time "&amp;"of subscription of the contract, at no time it was explained to me that my subscription was going to increase ""without reason"" because they are a mutual!
And the blow of the letter of explanation accompanying the deadline is even more pathetic!
Pru"&amp;"dent and attentive driver, I do not understand the principle of paying for those who are not!
Besides, not adhering to this operating mode, I am looking for another insurance.
Of course, I share my mutual experience of bikers with my biker entourage ..."&amp;"
""Insurance to flee!""")</f>
        <v>Hello, no surprise, my opinion will join the others! It's a shame ! Bikers with 20 years of experience and a bonus at 0.50. In 2 years, I have almost 20% increase in my insurance rate!
Their excuse: they are a mutual! What is certain is that at the time of subscription of the contract, at no time it was explained to me that my subscription was going to increase "without reason" because they are a mutual!
And the blow of the letter of explanation accompanying the deadline is even more pathetic!
Prudent and attentive driver, I do not understand the principle of paying for those who are not!
Besides, not adhering to this operating mode, I am looking for another insurance.
Of course, I share my mutual experience of bikers with my biker entourage ...
"Insurance to flee!"</v>
      </c>
    </row>
    <row r="27" ht="15.75" customHeight="1">
      <c r="B27" s="2" t="s">
        <v>106</v>
      </c>
      <c r="C27" s="2" t="s">
        <v>107</v>
      </c>
      <c r="D27" s="2" t="s">
        <v>64</v>
      </c>
      <c r="E27" s="2" t="s">
        <v>14</v>
      </c>
      <c r="F27" s="2" t="s">
        <v>15</v>
      </c>
      <c r="G27" s="2" t="s">
        <v>108</v>
      </c>
      <c r="H27" s="2" t="s">
        <v>105</v>
      </c>
      <c r="I27" s="2" t="str">
        <f>IFERROR(__xludf.DUMMYFUNCTION("GOOGLETRANSLATE(C27,""fr"",""en"")"),"Like many of you, I have been assured for several years and notes that the 2021/2022 deadline has gone while successive confinements have immobilized our vehicles. Many insurances that have returned to a share of contribution linked to the COVID. Converse"&amp;"ly, the MDM did nothing despite my written request for a commercial gesture, but even more it scandalously increases its contributions. It's a shame. I will look for another insurance.")</f>
        <v>Like many of you, I have been assured for several years and notes that the 2021/2022 deadline has gone while successive confinements have immobilized our vehicles. Many insurances that have returned to a share of contribution linked to the COVID. Conversely, the MDM did nothing despite my written request for a commercial gesture, but even more it scandalously increases its contributions. It's a shame. I will look for another insurance.</v>
      </c>
    </row>
    <row r="28" ht="15.75" customHeight="1">
      <c r="B28" s="2" t="s">
        <v>109</v>
      </c>
      <c r="C28" s="2" t="s">
        <v>110</v>
      </c>
      <c r="D28" s="2" t="s">
        <v>64</v>
      </c>
      <c r="E28" s="2" t="s">
        <v>14</v>
      </c>
      <c r="F28" s="2" t="s">
        <v>15</v>
      </c>
      <c r="G28" s="2" t="s">
        <v>108</v>
      </c>
      <c r="H28" s="2" t="s">
        <v>105</v>
      </c>
      <c r="I28" s="2" t="str">
        <f>IFERROR(__xludf.DUMMYFUNCTION("GOOGLETRANSLATE(C28,""fr"",""en"")"),"For 16 years I was insured with this company. I had no claims so very few contacts with them if not the mail to receive my insurance certificate (and their payment request). When I received my certificate by email this year, I decided to change the compan"&amp;"y because after research I found an insurer which covered me for the same guarantees but 40% cheaper. I tried to reach the MDM: after four attempts and 25 minutes of expectations, I abandoned the idea. I went to their site, to my particular space to reque"&amp;"st a situation statement. The seal: it is mentioned that the request must be made by phone at the number I had previously called. Result: Mail in AR this day to ask them, invoke the chatel law to terminate.")</f>
        <v>For 16 years I was insured with this company. I had no claims so very few contacts with them if not the mail to receive my insurance certificate (and their payment request). When I received my certificate by email this year, I decided to change the company because after research I found an insurer which covered me for the same guarantees but 40% cheaper. I tried to reach the MDM: after four attempts and 25 minutes of expectations, I abandoned the idea. I went to their site, to my particular space to request a situation statement. The seal: it is mentioned that the request must be made by phone at the number I had previously called. Result: Mail in AR this day to ask them, invoke the chatel law to terminate.</v>
      </c>
    </row>
    <row r="29" ht="15.75" customHeight="1">
      <c r="B29" s="2" t="s">
        <v>111</v>
      </c>
      <c r="C29" s="2" t="s">
        <v>112</v>
      </c>
      <c r="D29" s="2" t="s">
        <v>64</v>
      </c>
      <c r="E29" s="2" t="s">
        <v>14</v>
      </c>
      <c r="F29" s="2" t="s">
        <v>15</v>
      </c>
      <c r="G29" s="2" t="s">
        <v>113</v>
      </c>
      <c r="H29" s="2" t="s">
        <v>105</v>
      </c>
      <c r="I29" s="2" t="str">
        <f>IFERROR(__xludf.DUMMYFUNCTION("GOOGLETRANSLATE(C29,""fr"",""en"")"),"So ok, there was an increase this year which is difficult to understand ... In fact, for those who go to the GA, the problem is very stupid: the MDM is in deficit ... especially due to the acquisition charges and administration which represents almost 30%"&amp;" of the contributions acquired (there or in other mutuals there are 15%).
I see comments indicating that in the event of a vehicle plurality, the MDM does not take this into account, this is false: there is a multi-vehicle reduction. Not to mention a r"&amp;"eduction of almost 20% on the spot when you do a motorcycle improvement course, which many insurers do not do.
From a satisfaction point of view: top legal protection, and seriously given the setbacks that can be with certain dealers, it is a hell of a"&amp;" reactive hotline, in short.
I hesitated to go to see elsewhere when I discovered a 9% increase on my contract, but honestly, compared to the service rendered, I am not looking for.")</f>
        <v>So ok, there was an increase this year which is difficult to understand ... In fact, for those who go to the GA, the problem is very stupid: the MDM is in deficit ... especially due to the acquisition charges and administration which represents almost 30% of the contributions acquired (there or in other mutuals there are 15%).
I see comments indicating that in the event of a vehicle plurality, the MDM does not take this into account, this is false: there is a multi-vehicle reduction. Not to mention a reduction of almost 20% on the spot when you do a motorcycle improvement course, which many insurers do not do.
From a satisfaction point of view: top legal protection, and seriously given the setbacks that can be with certain dealers, it is a hell of a reactive hotline, in short.
I hesitated to go to see elsewhere when I discovered a 9% increase on my contract, but honestly, compared to the service rendered, I am not looking for.</v>
      </c>
    </row>
    <row r="30" ht="15.75" customHeight="1">
      <c r="B30" s="2" t="s">
        <v>114</v>
      </c>
      <c r="C30" s="2" t="s">
        <v>115</v>
      </c>
      <c r="D30" s="2" t="s">
        <v>64</v>
      </c>
      <c r="E30" s="2" t="s">
        <v>14</v>
      </c>
      <c r="F30" s="2" t="s">
        <v>15</v>
      </c>
      <c r="G30" s="2" t="s">
        <v>116</v>
      </c>
      <c r="H30" s="2" t="s">
        <v>105</v>
      </c>
      <c r="I30" s="2" t="str">
        <f>IFERROR(__xludf.DUMMYFUNCTION("GOOGLETRANSLATE(C30,""fr"",""en"")"),"50% bonus - customer for 30 years - by comparing the rates to bonus and identical or even better guarantees the price is twice as expensive. In addition, during a non -responsible claim 3 years ago impossible to have the loan vehicle provided by the insur"&amp;"er (immobilization 3 weeks in January 2018. The 400 euros deductible is double that of the other companies questioned. You have to be a maso besides to stay in this mutual which I bet it will still tell us about pricing increases in April perfectly unjust"&amp;"ified except by allegations to come at the last obscure and imprecise moment in a letter from your manager a advice in particular the maaf the gmf axa allianz generali and you will see that I am right")</f>
        <v>50% bonus - customer for 30 years - by comparing the rates to bonus and identical or even better guarantees the price is twice as expensive. In addition, during a non -responsible claim 3 years ago impossible to have the loan vehicle provided by the insurer (immobilization 3 weeks in January 2018. The 400 euros deductible is double that of the other companies questioned. You have to be a maso besides to stay in this mutual which I bet it will still tell us about pricing increases in April perfectly unjustified except by allegations to come at the last obscure and imprecise moment in a letter from your manager a advice in particular the maaf the gmf axa allianz generali and you will see that I am right</v>
      </c>
    </row>
    <row r="31" ht="15.75" customHeight="1">
      <c r="B31" s="2" t="s">
        <v>117</v>
      </c>
      <c r="C31" s="2" t="s">
        <v>118</v>
      </c>
      <c r="D31" s="2" t="s">
        <v>64</v>
      </c>
      <c r="E31" s="2" t="s">
        <v>14</v>
      </c>
      <c r="F31" s="2" t="s">
        <v>15</v>
      </c>
      <c r="G31" s="2" t="s">
        <v>119</v>
      </c>
      <c r="H31" s="2" t="s">
        <v>120</v>
      </c>
      <c r="I31" s="2" t="str">
        <f>IFERROR(__xludf.DUMMYFUNCTION("GOOGLETRANSLATE(C31,""fr"",""en"")"),"Hello increase 2021 more than 10% insurance that has become too expensive it was baked in the first two year and then it is the painful I specify no claims is in addition to covid")</f>
        <v>Hello increase 2021 more than 10% insurance that has become too expensive it was baked in the first two year and then it is the painful I specify no claims is in addition to covid</v>
      </c>
    </row>
    <row r="32" ht="15.75" customHeight="1">
      <c r="B32" s="2" t="s">
        <v>121</v>
      </c>
      <c r="C32" s="2" t="s">
        <v>122</v>
      </c>
      <c r="D32" s="2" t="s">
        <v>64</v>
      </c>
      <c r="E32" s="2" t="s">
        <v>14</v>
      </c>
      <c r="F32" s="2" t="s">
        <v>15</v>
      </c>
      <c r="G32" s="2" t="s">
        <v>119</v>
      </c>
      <c r="H32" s="2" t="s">
        <v>120</v>
      </c>
      <c r="I32" s="2" t="str">
        <f>IFERROR(__xludf.DUMMYFUNCTION("GOOGLETRANSLATE(C32,""fr"",""en"")"),"It is very expensive and it is surely easy to find cheaper elsewhere. It is very expensive and it is surely easy to find cheaper elsewhere ...")</f>
        <v>It is very expensive and it is surely easy to find cheaper elsewhere. It is very expensive and it is surely easy to find cheaper elsewhere ...</v>
      </c>
    </row>
    <row r="33" ht="15.75" customHeight="1">
      <c r="B33" s="2" t="s">
        <v>123</v>
      </c>
      <c r="C33" s="2" t="s">
        <v>124</v>
      </c>
      <c r="D33" s="2" t="s">
        <v>64</v>
      </c>
      <c r="E33" s="2" t="s">
        <v>14</v>
      </c>
      <c r="F33" s="2" t="s">
        <v>15</v>
      </c>
      <c r="G33" s="2" t="s">
        <v>125</v>
      </c>
      <c r="H33" s="2" t="s">
        <v>126</v>
      </c>
      <c r="I33" s="2" t="str">
        <f>IFERROR(__xludf.DUMMYFUNCTION("GOOGLETRANSLATE(C33,""fr"",""en"")"),"
Insured since 2015 for 2 motorcycles at the Mutuelle des Motards, I had a non -responsible disaster in July 2019 (there was not yet the COVVID) with a CVO road glide. 6 months after the claim, incompetence in the management of reparations crowned by the"&amp;" incorrection into the phone of certain people of this insurance led me to terminate my 2 contracts in April 2020 despite the current disaster. No desire to continue paying for such a mediocre service.
The dispute is still not settled at the time of wr"&amp;"iting, 17 months after the disaster, I had the opportunity to see the bad faith of people working for this insurance repeatedly repeatedly .
This insurance, which surfs on the biker spirit only to garner contracts but which is unable to compensate prop"&amp;"erly for a rear mud and a tank A insured person with all the guarantees and up to date with its contributions, for a non -responsible disaster is Without a doubt the worst I have known in 42 years of motorcycle insurance. I put 1 at the satisfaction level"&amp;" only because I cannot put 0.
")</f>
        <v>
Insured since 2015 for 2 motorcycles at the Mutuelle des Motards, I had a non -responsible disaster in July 2019 (there was not yet the COVVID) with a CVO road glide. 6 months after the claim, incompetence in the management of reparations crowned by the incorrection into the phone of certain people of this insurance led me to terminate my 2 contracts in April 2020 despite the current disaster. No desire to continue paying for such a mediocre service.
The dispute is still not settled at the time of writing, 17 months after the disaster, I had the opportunity to see the bad faith of people working for this insurance repeatedly repeatedly .
This insurance, which surfs on the biker spirit only to garner contracts but which is unable to compensate properly for a rear mud and a tank A insured person with all the guarantees and up to date with its contributions, for a non -responsible disaster is Without a doubt the worst I have known in 42 years of motorcycle insurance. I put 1 at the satisfaction level only because I cannot put 0.
</v>
      </c>
    </row>
    <row r="34" ht="15.75" customHeight="1">
      <c r="B34" s="2" t="s">
        <v>127</v>
      </c>
      <c r="C34" s="2" t="s">
        <v>128</v>
      </c>
      <c r="D34" s="2" t="s">
        <v>64</v>
      </c>
      <c r="E34" s="2" t="s">
        <v>14</v>
      </c>
      <c r="F34" s="2" t="s">
        <v>15</v>
      </c>
      <c r="G34" s="2" t="s">
        <v>129</v>
      </c>
      <c r="H34" s="2" t="s">
        <v>130</v>
      </c>
      <c r="I34" s="2" t="str">
        <f>IFERROR(__xludf.DUMMYFUNCTION("GOOGLETRANSLATE(C34,""fr"",""en"")"),"I have been insuming with them since December and it is already anything I am looking to go elsewhere, to flee it does not withdraw to me for a month without knowing why and then he decides to increase me later from 80 € to 110 € per month his spike !!!
"&amp;"They are difficult to reachable, and all the ball goes to the phone.
Not one to catch up with the other!
I tried to ask for a termination for December of course it is refused!
")</f>
        <v>I have been insuming with them since December and it is already anything I am looking to go elsewhere, to flee it does not withdraw to me for a month without knowing why and then he decides to increase me later from 80 € to 110 € per month his spike !!!
They are difficult to reachable, and all the ball goes to the phone.
Not one to catch up with the other!
I tried to ask for a termination for December of course it is refused!
</v>
      </c>
    </row>
    <row r="35" ht="15.75" customHeight="1">
      <c r="B35" s="2" t="s">
        <v>131</v>
      </c>
      <c r="C35" s="2" t="s">
        <v>132</v>
      </c>
      <c r="D35" s="2" t="s">
        <v>64</v>
      </c>
      <c r="E35" s="2" t="s">
        <v>14</v>
      </c>
      <c r="F35" s="2" t="s">
        <v>15</v>
      </c>
      <c r="G35" s="2" t="s">
        <v>133</v>
      </c>
      <c r="H35" s="2" t="s">
        <v>134</v>
      </c>
      <c r="I35" s="2" t="str">
        <f>IFERROR(__xludf.DUMMYFUNCTION("GOOGLETRANSLATE(C35,""fr"",""en"")"),"A mutual to flee which hides its incompetence behind the word bikers do not be trapped the service is deplorable")</f>
        <v>A mutual to flee which hides its incompetence behind the word bikers do not be trapped the service is deplorable</v>
      </c>
    </row>
    <row r="36" ht="15.75" customHeight="1">
      <c r="B36" s="2" t="s">
        <v>135</v>
      </c>
      <c r="C36" s="2" t="s">
        <v>136</v>
      </c>
      <c r="D36" s="2" t="s">
        <v>64</v>
      </c>
      <c r="E36" s="2" t="s">
        <v>14</v>
      </c>
      <c r="F36" s="2" t="s">
        <v>15</v>
      </c>
      <c r="G36" s="2" t="s">
        <v>137</v>
      </c>
      <c r="H36" s="2" t="s">
        <v>138</v>
      </c>
      <c r="I36" s="2" t="str">
        <f>IFERROR(__xludf.DUMMYFUNCTION("GOOGLETRANSLATE(C36,""fr"",""en"")"),"Customer for 25 years auto motorcycle and legal on the day or not in wrong a car stammered my motorcycle without a bodily it was the cross and the banner to justify compensation because the person had no license!")</f>
        <v>Customer for 25 years auto motorcycle and legal on the day or not in wrong a car stammered my motorcycle without a bodily it was the cross and the banner to justify compensation because the person had no license!</v>
      </c>
    </row>
    <row r="37" ht="15.75" customHeight="1">
      <c r="B37" s="2" t="s">
        <v>139</v>
      </c>
      <c r="C37" s="2" t="s">
        <v>140</v>
      </c>
      <c r="D37" s="2" t="s">
        <v>64</v>
      </c>
      <c r="E37" s="2" t="s">
        <v>14</v>
      </c>
      <c r="F37" s="2" t="s">
        <v>15</v>
      </c>
      <c r="G37" s="2" t="s">
        <v>141</v>
      </c>
      <c r="H37" s="2" t="s">
        <v>138</v>
      </c>
      <c r="I37" s="2" t="str">
        <f>IFERROR(__xludf.DUMMYFUNCTION("GOOGLETRANSLATE(C37,""fr"",""en"")"),"As a lot of opinion at the moment the insurance remains unreachable, it has been 3 months now that my motorcycle is disaster, nobody from the Mutuelle des Motards is available. Members we are alone.")</f>
        <v>As a lot of opinion at the moment the insurance remains unreachable, it has been 3 months now that my motorcycle is disaster, nobody from the Mutuelle des Motards is available. Members we are alone.</v>
      </c>
    </row>
    <row r="38" ht="15.75" customHeight="1">
      <c r="B38" s="2" t="s">
        <v>142</v>
      </c>
      <c r="C38" s="2" t="s">
        <v>143</v>
      </c>
      <c r="D38" s="2" t="s">
        <v>64</v>
      </c>
      <c r="E38" s="2" t="s">
        <v>14</v>
      </c>
      <c r="F38" s="2" t="s">
        <v>15</v>
      </c>
      <c r="G38" s="2" t="s">
        <v>144</v>
      </c>
      <c r="H38" s="2" t="s">
        <v>138</v>
      </c>
      <c r="I38" s="2" t="str">
        <f>IFERROR(__xludf.DUMMYFUNCTION("GOOGLETRANSLATE(C38,""fr"",""en"")"),"Hello indeed I join all of the notices impossible to reach insurance I sold one of my vehicles in April and I am still waiting for the reimbursement of it from the mutual of bikers on the other hand no problem for Take me the other 2 vehicles, we connect "&amp;"to the site to be recalled 1stly period. It's been 3 weeks and still no call on their part the covid is a huge excuse for everyone on the other hand the samples are always taken even when we have not used are vehicles for 2 months not even a discount, but"&amp;" like any member An email received story of this clearing I do not really think that of this very disappointed insurance I sincerely think to remove the 2 other vehicles still ensuring at home, it is really limited.")</f>
        <v>Hello indeed I join all of the notices impossible to reach insurance I sold one of my vehicles in April and I am still waiting for the reimbursement of it from the mutual of bikers on the other hand no problem for Take me the other 2 vehicles, we connect to the site to be recalled 1stly period. It's been 3 weeks and still no call on their part the covid is a huge excuse for everyone on the other hand the samples are always taken even when we have not used are vehicles for 2 months not even a discount, but like any member An email received story of this clearing I do not really think that of this very disappointed insurance I sincerely think to remove the 2 other vehicles still ensuring at home, it is really limited.</v>
      </c>
    </row>
    <row r="39" ht="15.75" customHeight="1">
      <c r="B39" s="2" t="s">
        <v>145</v>
      </c>
      <c r="C39" s="2" t="s">
        <v>146</v>
      </c>
      <c r="D39" s="2" t="s">
        <v>64</v>
      </c>
      <c r="E39" s="2" t="s">
        <v>14</v>
      </c>
      <c r="F39" s="2" t="s">
        <v>15</v>
      </c>
      <c r="G39" s="2" t="s">
        <v>147</v>
      </c>
      <c r="H39" s="2" t="s">
        <v>148</v>
      </c>
      <c r="I39" s="2" t="str">
        <f>IFERROR(__xludf.DUMMYFUNCTION("GOOGLETRANSLATE(C39,""fr"",""en"")"),"Impossibility of joining the mutual during the containment of the covid (relatively understandable) or after confinement -&gt; inadmissible because the advisers make teleworking")</f>
        <v>Impossibility of joining the mutual during the containment of the covid (relatively understandable) or after confinement -&gt; inadmissible because the advisers make teleworking</v>
      </c>
    </row>
    <row r="40" ht="15.75" customHeight="1">
      <c r="B40" s="2" t="s">
        <v>149</v>
      </c>
      <c r="C40" s="2" t="s">
        <v>150</v>
      </c>
      <c r="D40" s="2" t="s">
        <v>64</v>
      </c>
      <c r="E40" s="2" t="s">
        <v>14</v>
      </c>
      <c r="F40" s="2" t="s">
        <v>15</v>
      </c>
      <c r="G40" s="2" t="s">
        <v>151</v>
      </c>
      <c r="H40" s="2" t="s">
        <v>148</v>
      </c>
      <c r="I40" s="2" t="str">
        <f>IFERROR(__xludf.DUMMYFUNCTION("GOOGLETRANSLATE(C40,""fr"",""en"")"),"I had the misfortune to ensure my motorcycle during this period of containment.
We cannot join the advisers directly but unfortunately the fault of the crisis.
I ask to be remembered, within two days the deadlines are more than correct.
So I subscribed"&amp;" my insurance on the phone, but stupidly hanging up before making sure I have received the items by email !!
Since my account has been debited by the Mutuelle des Motards, but I did not receive anything !!
I ask to be remembered since, and the strangely"&amp;" it's two weeks and no news !!!!
The insurance certificate had to arrive by mail but nothing either !!
")</f>
        <v>I had the misfortune to ensure my motorcycle during this period of containment.
We cannot join the advisers directly but unfortunately the fault of the crisis.
I ask to be remembered, within two days the deadlines are more than correct.
So I subscribed my insurance on the phone, but stupidly hanging up before making sure I have received the items by email !!
Since my account has been debited by the Mutuelle des Motards, but I did not receive anything !!
I ask to be remembered since, and the strangely it's two weeks and no news !!!!
The insurance certificate had to arrive by mail but nothing either !!
</v>
      </c>
    </row>
    <row r="41" ht="15.75" customHeight="1">
      <c r="B41" s="2" t="s">
        <v>152</v>
      </c>
      <c r="C41" s="2" t="s">
        <v>153</v>
      </c>
      <c r="D41" s="2" t="s">
        <v>64</v>
      </c>
      <c r="E41" s="2" t="s">
        <v>14</v>
      </c>
      <c r="F41" s="2" t="s">
        <v>15</v>
      </c>
      <c r="G41" s="2" t="s">
        <v>154</v>
      </c>
      <c r="H41" s="2" t="s">
        <v>148</v>
      </c>
      <c r="I41" s="2" t="str">
        <f>IFERROR(__xludf.DUMMYFUNCTION("GOOGLETRANSLATE(C41,""fr"",""en"")"),"Ok collection, there has been a confinement but no green card, proof sent by email permeimed since 15/05, online requests for green card without result: in total more insurance, paid, no response from Mutual,")</f>
        <v>Ok collection, there has been a confinement but no green card, proof sent by email permeimed since 15/05, online requests for green card without result: in total more insurance, paid, no response from Mutual,</v>
      </c>
    </row>
    <row r="42" ht="15.75" customHeight="1">
      <c r="B42" s="2" t="s">
        <v>155</v>
      </c>
      <c r="C42" s="2" t="s">
        <v>156</v>
      </c>
      <c r="D42" s="2" t="s">
        <v>64</v>
      </c>
      <c r="E42" s="2" t="s">
        <v>14</v>
      </c>
      <c r="F42" s="2" t="s">
        <v>15</v>
      </c>
      <c r="G42" s="2" t="s">
        <v>157</v>
      </c>
      <c r="H42" s="2" t="s">
        <v>148</v>
      </c>
      <c r="I42" s="2" t="str">
        <f>IFERROR(__xludf.DUMMYFUNCTION("GOOGLETRANSLATE(C42,""fr"",""en"")"),"Difficult to reachable, dummy legal assistance, high prices, high franchise. Lack of professionalization. Total absence during confinement, even no hot line; insured abandoned ...")</f>
        <v>Difficult to reachable, dummy legal assistance, high prices, high franchise. Lack of professionalization. Total absence during confinement, even no hot line; insured abandoned ...</v>
      </c>
    </row>
    <row r="43" ht="15.75" customHeight="1">
      <c r="B43" s="2" t="s">
        <v>158</v>
      </c>
      <c r="C43" s="2" t="s">
        <v>159</v>
      </c>
      <c r="D43" s="2" t="s">
        <v>64</v>
      </c>
      <c r="E43" s="2" t="s">
        <v>14</v>
      </c>
      <c r="F43" s="2" t="s">
        <v>15</v>
      </c>
      <c r="G43" s="2" t="s">
        <v>160</v>
      </c>
      <c r="H43" s="2" t="s">
        <v>161</v>
      </c>
      <c r="I43" s="2" t="str">
        <f>IFERROR(__xludf.DUMMYFUNCTION("GOOGLETRANSLATE(C43,""fr"",""en"")"),"TO FLEE ! I was the victim of the flight of my scooter in April, and I am refused to unindend me because of an undertaken Neiman. The authors of the flight were arrested by the police, but apparently that is not enough as proof flight. My word and obvious"&amp;"ly that of the sworn police officers is therefore questioned, since I was told that I had to leave a 3rd games of keys on the contact (easy ...).
There are dozens of tutorials, internet forums that explain how to start a scooter in a short time without k"&amp;"eys and the handlebar.
From victim, I pass for a person in bad faith. There is no benevolence, no empathy, no help and no support from them.
On the other hand, no embarrassment to take me 78 euros in subscription every month. I am obviously waiting to b"&amp;"e compensated to be able to buy myself a vehicle.
I hope to do a service by publishing my experience and I hope to discourage any future members.")</f>
        <v>TO FLEE ! I was the victim of the flight of my scooter in April, and I am refused to unindend me because of an undertaken Neiman. The authors of the flight were arrested by the police, but apparently that is not enough as proof flight. My word and obviously that of the sworn police officers is therefore questioned, since I was told that I had to leave a 3rd games of keys on the contact (easy ...).
There are dozens of tutorials, internet forums that explain how to start a scooter in a short time without keys and the handlebar.
From victim, I pass for a person in bad faith. There is no benevolence, no empathy, no help and no support from them.
On the other hand, no embarrassment to take me 78 euros in subscription every month. I am obviously waiting to be compensated to be able to buy myself a vehicle.
I hope to do a service by publishing my experience and I hope to discourage any future members.</v>
      </c>
    </row>
    <row r="44" ht="15.75" customHeight="1">
      <c r="B44" s="2" t="s">
        <v>162</v>
      </c>
      <c r="C44" s="2" t="s">
        <v>163</v>
      </c>
      <c r="D44" s="2" t="s">
        <v>64</v>
      </c>
      <c r="E44" s="2" t="s">
        <v>14</v>
      </c>
      <c r="F44" s="2" t="s">
        <v>15</v>
      </c>
      <c r="G44" s="2" t="s">
        <v>164</v>
      </c>
      <c r="H44" s="2" t="s">
        <v>165</v>
      </c>
      <c r="I44" s="2" t="str">
        <f>IFERROR(__xludf.DUMMYFUNCTION("GOOGLETRANSLATE(C44,""fr"",""en"")"),"02/10/2019 by phone I ask if it is possible to suspend my contract for the winter. The clipping advisor, I remind you of another advisor to the nose saying that this does not exist .... I specify that I have been insured motorcycle since 1982 and that I h"&amp;"ave been myself a general insurance agent and I will never have allowed myself to answer this way to my clients. Its advice was to terminate the contract and to reassure myself elsewhere In the spring. I find this attitude not professional at all.")</f>
        <v>02/10/2019 by phone I ask if it is possible to suspend my contract for the winter. The clipping advisor, I remind you of another advisor to the nose saying that this does not exist .... I specify that I have been insured motorcycle since 1982 and that I have been myself a general insurance agent and I will never have allowed myself to answer this way to my clients. Its advice was to terminate the contract and to reassure myself elsewhere In the spring. I find this attitude not professional at all.</v>
      </c>
    </row>
    <row r="45" ht="15.75" customHeight="1">
      <c r="B45" s="2" t="s">
        <v>166</v>
      </c>
      <c r="C45" s="2" t="s">
        <v>167</v>
      </c>
      <c r="D45" s="2" t="s">
        <v>64</v>
      </c>
      <c r="E45" s="2" t="s">
        <v>14</v>
      </c>
      <c r="F45" s="2" t="s">
        <v>15</v>
      </c>
      <c r="G45" s="2" t="s">
        <v>168</v>
      </c>
      <c r="H45" s="2" t="s">
        <v>17</v>
      </c>
      <c r="I45" s="2" t="str">
        <f>IFERROR(__xludf.DUMMYFUNCTION("GOOGLETRANSLATE(C45,""fr"",""en"")"),"No defense of its customers, no dialogue, non -existent consideration, feeling of being a wallet
")</f>
        <v>No defense of its customers, no dialogue, non -existent consideration, feeling of being a wallet
</v>
      </c>
    </row>
    <row r="46" ht="15.75" customHeight="1">
      <c r="B46" s="2" t="s">
        <v>169</v>
      </c>
      <c r="C46" s="2" t="s">
        <v>170</v>
      </c>
      <c r="D46" s="2" t="s">
        <v>64</v>
      </c>
      <c r="E46" s="2" t="s">
        <v>14</v>
      </c>
      <c r="F46" s="2" t="s">
        <v>15</v>
      </c>
      <c r="G46" s="2" t="s">
        <v>171</v>
      </c>
      <c r="H46" s="2" t="s">
        <v>25</v>
      </c>
      <c r="I46" s="2" t="str">
        <f>IFERROR(__xludf.DUMMYFUNCTION("GOOGLETRANSLATE(C46,""fr"",""en"")"),"Ensuring for years at the mutual of bikers without ever having any claims I find myself in conflict with them because he refuses to stop my insurance for a motorcycle which is in part Detach I therefore refuse to pay and direct me to another insurance in "&amp;"order to Ensuring my new motorcycle and the Mutuel des Motard refuses to put my information back from me when it is a legal obligation.")</f>
        <v>Ensuring for years at the mutual of bikers without ever having any claims I find myself in conflict with them because he refuses to stop my insurance for a motorcycle which is in part Detach I therefore refuse to pay and direct me to another insurance in order to Ensuring my new motorcycle and the Mutuel des Motard refuses to put my information back from me when it is a legal obligation.</v>
      </c>
    </row>
    <row r="47" ht="15.75" customHeight="1">
      <c r="B47" s="2" t="s">
        <v>172</v>
      </c>
      <c r="C47" s="2" t="s">
        <v>173</v>
      </c>
      <c r="D47" s="2" t="s">
        <v>64</v>
      </c>
      <c r="E47" s="2" t="s">
        <v>14</v>
      </c>
      <c r="F47" s="2" t="s">
        <v>15</v>
      </c>
      <c r="G47" s="2" t="s">
        <v>174</v>
      </c>
      <c r="H47" s="2" t="s">
        <v>29</v>
      </c>
      <c r="I47" s="2" t="str">
        <f>IFERROR(__xludf.DUMMYFUNCTION("GOOGLETRANSLATE(C47,""fr"",""en"")"),"Ditto other comments: progressive prices over the years. Having not liked a claim (both car and motorcycle), after a first increase in my annual subscription I contacted the complaint service to signify my amazement to see my subscription increase by a hu"&amp;"ndred euros despite an improvement from my bonus. I also told them my astonishment to see the price difference between the contributions that I had to pay and the ones I obtained when carrying out a devote from their site as if I was a new customer. The p"&amp;"erson politely explained to me that despite my profile of good driver he could not do anything about it. I have just changed insurer following a new increase in my contributions for an insurer half cheaper ... damage people in agencies are kind and someti"&amp;"mes biker.")</f>
        <v>Ditto other comments: progressive prices over the years. Having not liked a claim (both car and motorcycle), after a first increase in my annual subscription I contacted the complaint service to signify my amazement to see my subscription increase by a hundred euros despite an improvement from my bonus. I also told them my astonishment to see the price difference between the contributions that I had to pay and the ones I obtained when carrying out a devote from their site as if I was a new customer. The person politely explained to me that despite my profile of good driver he could not do anything about it. I have just changed insurer following a new increase in my contributions for an insurer half cheaper ... damage people in agencies are kind and sometimes biker.</v>
      </c>
    </row>
    <row r="48" ht="15.75" customHeight="1">
      <c r="B48" s="2" t="s">
        <v>175</v>
      </c>
      <c r="C48" s="2" t="s">
        <v>176</v>
      </c>
      <c r="D48" s="2" t="s">
        <v>64</v>
      </c>
      <c r="E48" s="2" t="s">
        <v>14</v>
      </c>
      <c r="F48" s="2" t="s">
        <v>15</v>
      </c>
      <c r="G48" s="2" t="s">
        <v>177</v>
      </c>
      <c r="H48" s="2" t="s">
        <v>29</v>
      </c>
      <c r="I48" s="2" t="str">
        <f>IFERROR(__xludf.DUMMYFUNCTION("GOOGLETRANSLATE(C48,""fr"",""en"")"),"The human side is to be reviewed ...")</f>
        <v>The human side is to be reviewed ...</v>
      </c>
    </row>
    <row r="49" ht="15.75" customHeight="1">
      <c r="B49" s="2" t="s">
        <v>178</v>
      </c>
      <c r="C49" s="2" t="s">
        <v>179</v>
      </c>
      <c r="D49" s="2" t="s">
        <v>64</v>
      </c>
      <c r="E49" s="2" t="s">
        <v>14</v>
      </c>
      <c r="F49" s="2" t="s">
        <v>15</v>
      </c>
      <c r="G49" s="2" t="s">
        <v>180</v>
      </c>
      <c r="H49" s="2" t="s">
        <v>33</v>
      </c>
      <c r="I49" s="2" t="str">
        <f>IFERROR(__xludf.DUMMYFUNCTION("GOOGLETRANSLATE(C49,""fr"",""en"")"),"I strongly advise against this insurance for all bikers who are outside mainland France. Only one email address as contact in case of damage !! Following my accident, no return on their part for the management of the file, no return to find out if they ha"&amp;"d taken into account the accident file with all the supporting documents, the expert landed overnight at my mechanic While he had no news either despite several reminders on his part !! Following the passage of the expert La Moto remained immobilized beca"&amp;"use no sign of life on the part of the insurance. I am still waiting for the payment of reimbursement of my equipment more than 4 months after my accident!
In short, calamitous management on their part for a simple traffic accident with all the elements "&amp;"sent in time on their email address.
I am simply disgusted with their lack of professionalism because without a super mechanic I will be still on foot today!")</f>
        <v>I strongly advise against this insurance for all bikers who are outside mainland France. Only one email address as contact in case of damage !! Following my accident, no return on their part for the management of the file, no return to find out if they had taken into account the accident file with all the supporting documents, the expert landed overnight at my mechanic While he had no news either despite several reminders on his part !! Following the passage of the expert La Moto remained immobilized because no sign of life on the part of the insurance. I am still waiting for the payment of reimbursement of my equipment more than 4 months after my accident!
In short, calamitous management on their part for a simple traffic accident with all the elements sent in time on their email address.
I am simply disgusted with their lack of professionalism because without a super mechanic I will be still on foot today!</v>
      </c>
    </row>
    <row r="50" ht="15.75" customHeight="1">
      <c r="B50" s="2" t="s">
        <v>181</v>
      </c>
      <c r="C50" s="2" t="s">
        <v>182</v>
      </c>
      <c r="D50" s="2" t="s">
        <v>64</v>
      </c>
      <c r="E50" s="2" t="s">
        <v>14</v>
      </c>
      <c r="F50" s="2" t="s">
        <v>15</v>
      </c>
      <c r="G50" s="2" t="s">
        <v>183</v>
      </c>
      <c r="H50" s="2" t="s">
        <v>184</v>
      </c>
      <c r="I50" s="2" t="str">
        <f>IFERROR(__xludf.DUMMYFUNCTION("GOOGLETRANSLATE(C50,""fr"",""en"")"),"To avoid seeing even to flee
I manage a big biker asso and following incident 50 have already terminated
")</f>
        <v>To avoid seeing even to flee
I manage a big biker asso and following incident 50 have already terminated
</v>
      </c>
    </row>
    <row r="51" ht="15.75" customHeight="1">
      <c r="B51" s="2" t="s">
        <v>185</v>
      </c>
      <c r="C51" s="2" t="s">
        <v>186</v>
      </c>
      <c r="D51" s="2" t="s">
        <v>64</v>
      </c>
      <c r="E51" s="2" t="s">
        <v>14</v>
      </c>
      <c r="F51" s="2" t="s">
        <v>15</v>
      </c>
      <c r="G51" s="2" t="s">
        <v>187</v>
      </c>
      <c r="H51" s="2" t="s">
        <v>188</v>
      </c>
      <c r="I51" s="2" t="str">
        <f>IFERROR(__xludf.DUMMYFUNCTION("GOOGLETRANSLATE(C51,""fr"",""en"")"),"Human insurance is worth it!")</f>
        <v>Human insurance is worth it!</v>
      </c>
    </row>
    <row r="52" ht="15.75" customHeight="1">
      <c r="B52" s="2" t="s">
        <v>189</v>
      </c>
      <c r="C52" s="2" t="s">
        <v>190</v>
      </c>
      <c r="D52" s="2" t="s">
        <v>64</v>
      </c>
      <c r="E52" s="2" t="s">
        <v>14</v>
      </c>
      <c r="F52" s="2" t="s">
        <v>15</v>
      </c>
      <c r="G52" s="2" t="s">
        <v>191</v>
      </c>
      <c r="H52" s="2" t="s">
        <v>41</v>
      </c>
      <c r="I52" s="2" t="str">
        <f>IFERROR(__xludf.DUMMYFUNCTION("GOOGLETRANSLATE(C52,""fr"",""en"")"),"Insurance not militant at all. Their IDF expertise firm is filled with incompetent and 2 non -responsible accidents or I have to pay repairs from my pocket because the expert has never seen this before.")</f>
        <v>Insurance not militant at all. Their IDF expertise firm is filled with incompetent and 2 non -responsible accidents or I have to pay repairs from my pocket because the expert has never seen this before.</v>
      </c>
    </row>
    <row r="53" ht="15.75" customHeight="1">
      <c r="B53" s="2" t="s">
        <v>192</v>
      </c>
      <c r="C53" s="2" t="s">
        <v>193</v>
      </c>
      <c r="D53" s="2" t="s">
        <v>64</v>
      </c>
      <c r="E53" s="2" t="s">
        <v>14</v>
      </c>
      <c r="F53" s="2" t="s">
        <v>15</v>
      </c>
      <c r="G53" s="2" t="s">
        <v>194</v>
      </c>
      <c r="H53" s="2" t="s">
        <v>45</v>
      </c>
      <c r="I53" s="2" t="str">
        <f>IFERROR(__xludf.DUMMYFUNCTION("GOOGLETRANSLATE(C53,""fr"",""en"")"),"Mutuelle des Motards Marseille:
I replaced my Honda 125 scooter with another Honda 125 scooter, they took the opportunity to increase me with 80 euros for the same guarantees
And never had sinister, not having yet sold the old they forced me to always a"&amp;"ssure it in addition to the new scooter")</f>
        <v>Mutuelle des Motards Marseille:
I replaced my Honda 125 scooter with another Honda 125 scooter, they took the opportunity to increase me with 80 euros for the same guarantees
And never had sinister, not having yet sold the old they forced me to always assure it in addition to the new scooter</v>
      </c>
    </row>
    <row r="54" ht="15.75" customHeight="1">
      <c r="B54" s="2" t="s">
        <v>195</v>
      </c>
      <c r="C54" s="2" t="s">
        <v>196</v>
      </c>
      <c r="D54" s="2" t="s">
        <v>64</v>
      </c>
      <c r="E54" s="2" t="s">
        <v>14</v>
      </c>
      <c r="F54" s="2" t="s">
        <v>15</v>
      </c>
      <c r="G54" s="2" t="s">
        <v>197</v>
      </c>
      <c r="H54" s="2" t="s">
        <v>45</v>
      </c>
      <c r="I54" s="2" t="str">
        <f>IFERROR(__xludf.DUMMYFUNCTION("GOOGLETRANSLATE(C54,""fr"",""en"")"),"According to them biker spirit
For other Tocard spirit
They live on a speech we are biker like you but the practice is nothing ever
They developed when the insurances were not interested in bikers and they are worse now")</f>
        <v>According to them biker spirit
For other Tocard spirit
They live on a speech we are biker like you but the practice is nothing ever
They developed when the insurances were not interested in bikers and they are worse now</v>
      </c>
    </row>
    <row r="55" ht="15.75" customHeight="1">
      <c r="B55" s="2" t="s">
        <v>198</v>
      </c>
      <c r="C55" s="2" t="s">
        <v>199</v>
      </c>
      <c r="D55" s="2" t="s">
        <v>64</v>
      </c>
      <c r="E55" s="2" t="s">
        <v>14</v>
      </c>
      <c r="F55" s="2" t="s">
        <v>15</v>
      </c>
      <c r="G55" s="2" t="s">
        <v>200</v>
      </c>
      <c r="H55" s="2" t="s">
        <v>201</v>
      </c>
      <c r="I55" s="2" t="str">
        <f>IFERROR(__xludf.DUMMYFUNCTION("GOOGLETRANSLATE(C55,""fr"",""en"")"),"It was my first motorcycle insurance because the prices were competitive with my first motorcycle an old BMW R80RT and not too bad, finally in the average with my motorcycle according to a YAM MT 07 any risk.
Now I am in sport and the prices have becom"&amp;"e completely out of the market, € 1,600 in tier/ flight with deductibles everywhere, (450 see € 1350 franchise) and very low accessories reimbursement ceilings. I leave them for a competitor, the prices are 2x cheaper with a franchise buyout, a body stren"&amp;"gthens and an accessory reimbursement ceiling 2x higher .. I hope not to be disappointed. Customer service was not bad but the prices are important what")</f>
        <v>It was my first motorcycle insurance because the prices were competitive with my first motorcycle an old BMW R80RT and not too bad, finally in the average with my motorcycle according to a YAM MT 07 any risk.
Now I am in sport and the prices have become completely out of the market, € 1,600 in tier/ flight with deductibles everywhere, (450 see € 1350 franchise) and very low accessories reimbursement ceilings. I leave them for a competitor, the prices are 2x cheaper with a franchise buyout, a body strengthens and an accessory reimbursement ceiling 2x higher .. I hope not to be disappointed. Customer service was not bad but the prices are important what</v>
      </c>
    </row>
    <row r="56" ht="15.75" customHeight="1">
      <c r="B56" s="2" t="s">
        <v>202</v>
      </c>
      <c r="C56" s="2" t="s">
        <v>203</v>
      </c>
      <c r="D56" s="2" t="s">
        <v>64</v>
      </c>
      <c r="E56" s="2" t="s">
        <v>14</v>
      </c>
      <c r="F56" s="2" t="s">
        <v>15</v>
      </c>
      <c r="G56" s="2" t="s">
        <v>204</v>
      </c>
      <c r="H56" s="2" t="s">
        <v>201</v>
      </c>
      <c r="I56" s="2" t="str">
        <f>IFERROR(__xludf.DUMMYFUNCTION("GOOGLETRANSLATE(C56,""fr"",""en"")"),"I took this insurer for the militant biker side, insurer acclaimed by my motorcycle school, the beautiful joke! In addition to having exorbitant prices for young motorcycle permits, my Versys 650 Grand Tourer does not have its standard equipment Supported"&amp;", because considered as accessory by their expert (modification of the original model at € 1,700 anyway ...). As a bar equivalent, it will make style ""we repair the bodywork for you but we do not repaint it because the metallic paint is accessory!"". We "&amp;"take care not to communicate it to me when subscribing to the contract ... it's been 1 month since my motorcycle is damaged, deposited with the repairer 2 days later (he transmitted the quote the next day!). Motorcycle still not repaired. I have 1000 € of"&amp;" equipment for my pocket, and the eyes to cry. I change insurer as soon as possible.")</f>
        <v>I took this insurer for the militant biker side, insurer acclaimed by my motorcycle school, the beautiful joke! In addition to having exorbitant prices for young motorcycle permits, my Versys 650 Grand Tourer does not have its standard equipment Supported, because considered as accessory by their expert (modification of the original model at € 1,700 anyway ...). As a bar equivalent, it will make style "we repair the bodywork for you but we do not repaint it because the metallic paint is accessory!". We take care not to communicate it to me when subscribing to the contract ... it's been 1 month since my motorcycle is damaged, deposited with the repairer 2 days later (he transmitted the quote the next day!). Motorcycle still not repaired. I have 1000 € of equipment for my pocket, and the eyes to cry. I change insurer as soon as possible.</v>
      </c>
    </row>
    <row r="57" ht="15.75" customHeight="1">
      <c r="B57" s="2" t="s">
        <v>205</v>
      </c>
      <c r="C57" s="2" t="s">
        <v>206</v>
      </c>
      <c r="D57" s="2" t="s">
        <v>64</v>
      </c>
      <c r="E57" s="2" t="s">
        <v>14</v>
      </c>
      <c r="F57" s="2" t="s">
        <v>15</v>
      </c>
      <c r="G57" s="2" t="s">
        <v>207</v>
      </c>
      <c r="H57" s="2" t="s">
        <v>208</v>
      </c>
      <c r="I57" s="2" t="str">
        <f>IFERROR(__xludf.DUMMYFUNCTION("GOOGLETRANSLATE(C57,""fr"",""en"")"),"Insurance too expensive for young permits, very disappointed price level, I am the one who pays most of my entourage. So I think I change quickly.
To retain their young customers, this is not the best solution.
Too bad because good insurance overall.")</f>
        <v>Insurance too expensive for young permits, very disappointed price level, I am the one who pays most of my entourage. So I think I change quickly.
To retain their young customers, this is not the best solution.
Too bad because good insurance overall.</v>
      </c>
    </row>
    <row r="58" ht="15.75" customHeight="1">
      <c r="B58" s="2" t="s">
        <v>209</v>
      </c>
      <c r="C58" s="2" t="s">
        <v>210</v>
      </c>
      <c r="D58" s="2" t="s">
        <v>64</v>
      </c>
      <c r="E58" s="2" t="s">
        <v>14</v>
      </c>
      <c r="F58" s="2" t="s">
        <v>15</v>
      </c>
      <c r="G58" s="2" t="s">
        <v>211</v>
      </c>
      <c r="H58" s="2" t="s">
        <v>212</v>
      </c>
      <c r="I58" s="2" t="str">
        <f>IFERROR(__xludf.DUMMYFUNCTION("GOOGLETRANSLATE(C58,""fr"",""en"")"),"Seems unable to reach modern standards.")</f>
        <v>Seems unable to reach modern standards.</v>
      </c>
    </row>
    <row r="59" ht="15.75" customHeight="1">
      <c r="B59" s="2" t="s">
        <v>213</v>
      </c>
      <c r="C59" s="2" t="s">
        <v>214</v>
      </c>
      <c r="D59" s="2" t="s">
        <v>64</v>
      </c>
      <c r="E59" s="2" t="s">
        <v>14</v>
      </c>
      <c r="F59" s="2" t="s">
        <v>15</v>
      </c>
      <c r="G59" s="2" t="s">
        <v>215</v>
      </c>
      <c r="H59" s="2" t="s">
        <v>212</v>
      </c>
      <c r="I59" s="2" t="str">
        <f>IFERROR(__xludf.DUMMYFUNCTION("GOOGLETRANSLATE(C59,""fr"",""en"")"),"Insurance that lies on these prices by increasing the subscription once the contract signed without warning you and even if you made an honest declaration during the subscription!")</f>
        <v>Insurance that lies on these prices by increasing the subscription once the contract signed without warning you and even if you made an honest declaration during the subscription!</v>
      </c>
    </row>
    <row r="60" ht="15.75" customHeight="1">
      <c r="B60" s="2" t="s">
        <v>216</v>
      </c>
      <c r="C60" s="2" t="s">
        <v>217</v>
      </c>
      <c r="D60" s="2" t="s">
        <v>64</v>
      </c>
      <c r="E60" s="2" t="s">
        <v>14</v>
      </c>
      <c r="F60" s="2" t="s">
        <v>15</v>
      </c>
      <c r="G60" s="2" t="s">
        <v>218</v>
      </c>
      <c r="H60" s="2" t="s">
        <v>219</v>
      </c>
      <c r="I60" s="2" t="str">
        <f>IFERROR(__xludf.DUMMYFUNCTION("GOOGLETRANSLATE(C60,""fr"",""en"")"),"I was fooled by the MM. My scooter was stolen. I had put an anti -theft and I made a police statement. But they don't want to reimburse me because I didn't put the Neyman. While it is not marked in the quote and under the special conditions that I receive"&amp;"d afterwards. Conditions that most other companies do not ask. In addition, it is difficult to put it in 2 -wheel locations because not enough space.")</f>
        <v>I was fooled by the MM. My scooter was stolen. I had put an anti -theft and I made a police statement. But they don't want to reimburse me because I didn't put the Neyman. While it is not marked in the quote and under the special conditions that I received afterwards. Conditions that most other companies do not ask. In addition, it is difficult to put it in 2 -wheel locations because not enough space.</v>
      </c>
    </row>
    <row r="61" ht="15.75" customHeight="1">
      <c r="B61" s="2" t="s">
        <v>220</v>
      </c>
      <c r="C61" s="2" t="s">
        <v>221</v>
      </c>
      <c r="D61" s="2" t="s">
        <v>64</v>
      </c>
      <c r="E61" s="2" t="s">
        <v>14</v>
      </c>
      <c r="F61" s="2" t="s">
        <v>15</v>
      </c>
      <c r="G61" s="2" t="s">
        <v>222</v>
      </c>
      <c r="H61" s="2" t="s">
        <v>223</v>
      </c>
      <c r="I61" s="2" t="str">
        <f>IFERROR(__xludf.DUMMYFUNCTION("GOOGLETRANSLATE(C61,""fr"",""en"")"),"Following a bodily accident I ask the mutual to temporarily suspend my insurance at least since I cannot drive, the advisor suspends my contract. I have an old contract which no longer exists, however, it was certified that there would be no consequence, "&amp;"the result of the races increase of € 200 and taken in hostage of the member, a good way to find your loyalty.")</f>
        <v>Following a bodily accident I ask the mutual to temporarily suspend my insurance at least since I cannot drive, the advisor suspends my contract. I have an old contract which no longer exists, however, it was certified that there would be no consequence, the result of the races increase of € 200 and taken in hostage of the member, a good way to find your loyalty.</v>
      </c>
    </row>
    <row r="62" ht="15.75" customHeight="1">
      <c r="B62" s="2" t="s">
        <v>224</v>
      </c>
      <c r="C62" s="2" t="s">
        <v>225</v>
      </c>
      <c r="D62" s="2" t="s">
        <v>64</v>
      </c>
      <c r="E62" s="2" t="s">
        <v>14</v>
      </c>
      <c r="F62" s="2" t="s">
        <v>15</v>
      </c>
      <c r="G62" s="2" t="s">
        <v>226</v>
      </c>
      <c r="H62" s="2" t="s">
        <v>61</v>
      </c>
      <c r="I62" s="2" t="str">
        <f>IFERROR(__xludf.DUMMYFUNCTION("GOOGLETRANSLATE(C62,""fr"",""en"")"),"I strongly advise against bikers to register. Has a biker only the name!
A friend insured with the Macif and the victim of a flight, completed his file in 10 days when I am asked for one more paper.")</f>
        <v>I strongly advise against bikers to register. Has a biker only the name!
A friend insured with the Macif and the victim of a flight, completed his file in 10 days when I am asked for one more paper.</v>
      </c>
    </row>
    <row r="63" ht="15.75" customHeight="1">
      <c r="B63" s="2" t="s">
        <v>227</v>
      </c>
      <c r="C63" s="2" t="s">
        <v>228</v>
      </c>
      <c r="D63" s="2" t="s">
        <v>64</v>
      </c>
      <c r="E63" s="2" t="s">
        <v>14</v>
      </c>
      <c r="F63" s="2" t="s">
        <v>15</v>
      </c>
      <c r="G63" s="2" t="s">
        <v>229</v>
      </c>
      <c r="H63" s="2" t="s">
        <v>230</v>
      </c>
      <c r="I63" s="2" t="str">
        <f>IFERROR(__xludf.DUMMYFUNCTION("GOOGLETRANSLATE(C63,""fr"",""en"")"),"No claims to declare since 2006 to the mutual but each question an answer. Rolling in motorcycles over 15 years old prices are really very affordable with a high warranty level thanks to ""reinforced and optimal drivers""")</f>
        <v>No claims to declare since 2006 to the mutual but each question an answer. Rolling in motorcycles over 15 years old prices are really very affordable with a high warranty level thanks to "reinforced and optimal drivers"</v>
      </c>
    </row>
    <row r="64" ht="15.75" customHeight="1">
      <c r="B64" s="2" t="s">
        <v>231</v>
      </c>
      <c r="C64" s="2" t="s">
        <v>232</v>
      </c>
      <c r="D64" s="2" t="s">
        <v>64</v>
      </c>
      <c r="E64" s="2" t="s">
        <v>14</v>
      </c>
      <c r="F64" s="2" t="s">
        <v>15</v>
      </c>
      <c r="G64" s="2" t="s">
        <v>233</v>
      </c>
      <c r="H64" s="2" t="s">
        <v>234</v>
      </c>
      <c r="I64" s="2" t="str">
        <f>IFERROR(__xludf.DUMMYFUNCTION("GOOGLETRANSLATE(C64,""fr"",""en"")"),"Following a loss of disaster (accident followed by a flight), insurance could not defend me from experts! My motorcycle was unfortunately stolen during the repairs thereby no expert could validate the repairs made and despite a large number of invoices it"&amp;" was evaluated at the price of the wreckage !! A shame they did not even reimburse me the costs incurred ... Insurance to avoid very good seller but unable to manage an unusual situation !!")</f>
        <v>Following a loss of disaster (accident followed by a flight), insurance could not defend me from experts! My motorcycle was unfortunately stolen during the repairs thereby no expert could validate the repairs made and despite a large number of invoices it was evaluated at the price of the wreckage !! A shame they did not even reimburse me the costs incurred ... Insurance to avoid very good seller but unable to manage an unusual situation !!</v>
      </c>
    </row>
    <row r="65" ht="15.75" customHeight="1">
      <c r="B65" s="2" t="s">
        <v>235</v>
      </c>
      <c r="C65" s="2" t="s">
        <v>236</v>
      </c>
      <c r="D65" s="2" t="s">
        <v>64</v>
      </c>
      <c r="E65" s="2" t="s">
        <v>14</v>
      </c>
      <c r="F65" s="2" t="s">
        <v>15</v>
      </c>
      <c r="G65" s="2" t="s">
        <v>237</v>
      </c>
      <c r="H65" s="2" t="s">
        <v>238</v>
      </c>
      <c r="I65" s="2" t="str">
        <f>IFERROR(__xludf.DUMMYFUNCTION("GOOGLETRANSLATE(C65,""fr"",""en"")"),"I will remain cautious about the quality of the guarantees as a new insured and thank God not yet having an accident, I touch wood, but
1: hyper dear prices.
2: At the time of subscription we just have the right to pay and no explanation or detail of th"&amp;"e sums requested.
3: I risked making a phone call to their hotline to find out a little more: hyper malaimable advising .. from the outset I don't want to stay at this mutual ...")</f>
        <v>I will remain cautious about the quality of the guarantees as a new insured and thank God not yet having an accident, I touch wood, but
1: hyper dear prices.
2: At the time of subscription we just have the right to pay and no explanation or detail of the sums requested.
3: I risked making a phone call to their hotline to find out a little more: hyper malaimable advising .. from the outset I don't want to stay at this mutual ...</v>
      </c>
    </row>
    <row r="66" ht="15.75" customHeight="1">
      <c r="B66" s="2" t="s">
        <v>239</v>
      </c>
      <c r="C66" s="2" t="s">
        <v>240</v>
      </c>
      <c r="D66" s="2" t="s">
        <v>241</v>
      </c>
      <c r="E66" s="2" t="s">
        <v>14</v>
      </c>
      <c r="F66" s="2" t="s">
        <v>15</v>
      </c>
      <c r="G66" s="2" t="s">
        <v>242</v>
      </c>
      <c r="H66" s="2" t="s">
        <v>84</v>
      </c>
      <c r="I66" s="2" t="str">
        <f>IFERROR(__xludf.DUMMYFUNCTION("GOOGLETRANSLATE(C66,""fr"",""en"")"),"I know well the insurance having worked there. The MAAF has the best price guaranteed price for my profile. It is also very easy to contact them with a good website.")</f>
        <v>I know well the insurance having worked there. The MAAF has the best price guaranteed price for my profile. It is also very easy to contact them with a good website.</v>
      </c>
    </row>
    <row r="67" ht="15.75" customHeight="1">
      <c r="B67" s="2" t="s">
        <v>243</v>
      </c>
      <c r="C67" s="2" t="s">
        <v>244</v>
      </c>
      <c r="D67" s="2" t="s">
        <v>241</v>
      </c>
      <c r="E67" s="2" t="s">
        <v>14</v>
      </c>
      <c r="F67" s="2" t="s">
        <v>15</v>
      </c>
      <c r="G67" s="2" t="s">
        <v>245</v>
      </c>
      <c r="H67" s="2" t="s">
        <v>105</v>
      </c>
      <c r="I67" s="2" t="str">
        <f>IFERROR(__xludf.DUMMYFUNCTION("GOOGLETRANSLATE(C67,""fr"",""en"")"),"I stopped my car I am increasing 140 euros per motorcycle I am very disappointed and I came across a person by phone he knew nothing about his insurance")</f>
        <v>I stopped my car I am increasing 140 euros per motorcycle I am very disappointed and I came across a person by phone he knew nothing about his insurance</v>
      </c>
    </row>
    <row r="68" ht="15.75" customHeight="1">
      <c r="B68" s="2" t="s">
        <v>246</v>
      </c>
      <c r="C68" s="2" t="s">
        <v>247</v>
      </c>
      <c r="D68" s="2" t="s">
        <v>241</v>
      </c>
      <c r="E68" s="2" t="s">
        <v>14</v>
      </c>
      <c r="F68" s="2" t="s">
        <v>15</v>
      </c>
      <c r="G68" s="2" t="s">
        <v>248</v>
      </c>
      <c r="H68" s="2" t="s">
        <v>249</v>
      </c>
      <c r="I68" s="2" t="str">
        <f>IFERROR(__xludf.DUMMYFUNCTION("GOOGLETRANSLATE(C68,""fr"",""en"")"),"No worries as long as I had several insurances (home insurance and other products) but you should not have the only car insurance and have 2 accidents in 14 months otherwise you are asked to go and see elsewhere.")</f>
        <v>No worries as long as I had several insurances (home insurance and other products) but you should not have the only car insurance and have 2 accidents in 14 months otherwise you are asked to go and see elsewhere.</v>
      </c>
    </row>
    <row r="69" ht="15.75" customHeight="1">
      <c r="B69" s="2" t="s">
        <v>250</v>
      </c>
      <c r="C69" s="2" t="s">
        <v>251</v>
      </c>
      <c r="D69" s="2" t="s">
        <v>241</v>
      </c>
      <c r="E69" s="2" t="s">
        <v>14</v>
      </c>
      <c r="F69" s="2" t="s">
        <v>15</v>
      </c>
      <c r="G69" s="2" t="s">
        <v>252</v>
      </c>
      <c r="H69" s="2" t="s">
        <v>253</v>
      </c>
      <c r="I69" s="2" t="str">
        <f>IFERROR(__xludf.DUMMYFUNCTION("GOOGLETRANSLATE(C69,""fr"",""en"")"),"3 claims, including 2 ice breaks and 1 accident withdrawn in 2 years and you have been resilled when you hadn't had anything before, that your parents have been there for more than 20 years. We pay insurance and if we don't have a pb everything is fine an"&amp;"d on the day we need we are resilled ... great service ...
Too bad you will lose 4 insurance suddenly")</f>
        <v>3 claims, including 2 ice breaks and 1 accident withdrawn in 2 years and you have been resilled when you hadn't had anything before, that your parents have been there for more than 20 years. We pay insurance and if we don't have a pb everything is fine and on the day we need we are resilled ... great service ...
Too bad you will lose 4 insurance suddenly</v>
      </c>
    </row>
    <row r="70" ht="15.75" customHeight="1">
      <c r="B70" s="2" t="s">
        <v>254</v>
      </c>
      <c r="C70" s="2" t="s">
        <v>255</v>
      </c>
      <c r="D70" s="2" t="s">
        <v>241</v>
      </c>
      <c r="E70" s="2" t="s">
        <v>14</v>
      </c>
      <c r="F70" s="2" t="s">
        <v>15</v>
      </c>
      <c r="G70" s="2" t="s">
        <v>256</v>
      </c>
      <c r="H70" s="2" t="s">
        <v>257</v>
      </c>
      <c r="I70" s="2" t="str">
        <f>IFERROR(__xludf.DUMMYFUNCTION("GOOGLETRANSLATE(C70,""fr"",""en"")"),"No one, they don't know anything on 2 wheels. After a scooter accident, they inform me that they do not have a approved 2 -wheeled garage. In the fire truck, I had to negotiate myself with the tug so that he leaves him to his deposit then I had to pay so "&amp;"that they bring him home.
Subsequently, the management of the disaster was a disaster. I played the role of net in a part of ping-pong between the insurer and the expert. None of the 2 has been able to explain the options I had when my scooter had been d"&amp;"eemed uncommonly repairable to me.
My equipment (gloves, jackets, helmet) was covered, however, I had to claim from insurance the reimbursement of my damaged gloves during the accident and 1 day before the expert's intervention, they answer me that It is"&amp;" up to me to present them to the expert on the day of his intervention ... I was doing my medical exams at the hospital. In the end, I bought new gloves at my expense, the MAAF did not take care of anything.
I was extremely disappointed with their manage"&amp;"ment. I am assured at the MAAF also for my car and they had not been as bad for a previous accident.")</f>
        <v>No one, they don't know anything on 2 wheels. After a scooter accident, they inform me that they do not have a approved 2 -wheeled garage. In the fire truck, I had to negotiate myself with the tug so that he leaves him to his deposit then I had to pay so that they bring him home.
Subsequently, the management of the disaster was a disaster. I played the role of net in a part of ping-pong between the insurer and the expert. None of the 2 has been able to explain the options I had when my scooter had been deemed uncommonly repairable to me.
My equipment (gloves, jackets, helmet) was covered, however, I had to claim from insurance the reimbursement of my damaged gloves during the accident and 1 day before the expert's intervention, they answer me that It is up to me to present them to the expert on the day of his intervention ... I was doing my medical exams at the hospital. In the end, I bought new gloves at my expense, the MAAF did not take care of anything.
I was extremely disappointed with their management. I am assured at the MAAF also for my car and they had not been as bad for a previous accident.</v>
      </c>
    </row>
    <row r="71" ht="15.75" customHeight="1">
      <c r="B71" s="2" t="s">
        <v>258</v>
      </c>
      <c r="C71" s="2" t="s">
        <v>259</v>
      </c>
      <c r="D71" s="2" t="s">
        <v>241</v>
      </c>
      <c r="E71" s="2" t="s">
        <v>14</v>
      </c>
      <c r="F71" s="2" t="s">
        <v>15</v>
      </c>
      <c r="G71" s="2" t="s">
        <v>260</v>
      </c>
      <c r="H71" s="2" t="s">
        <v>188</v>
      </c>
      <c r="I71" s="2" t="str">
        <f>IFERROR(__xludf.DUMMYFUNCTION("GOOGLETRANSLATE(C71,""fr"",""en"")"),"After more than 10 years of auto + home insurance at MAAF, I receive a letter of termination of my contract! The reason: two accidents in 3 years including a non -responsible, bravo the maaf and thank you for your loyalty!")</f>
        <v>After more than 10 years of auto + home insurance at MAAF, I receive a letter of termination of my contract! The reason: two accidents in 3 years including a non -responsible, bravo the maaf and thank you for your loyalty!</v>
      </c>
    </row>
    <row r="72" ht="15.75" customHeight="1">
      <c r="B72" s="2" t="s">
        <v>261</v>
      </c>
      <c r="C72" s="2" t="s">
        <v>262</v>
      </c>
      <c r="D72" s="2" t="s">
        <v>241</v>
      </c>
      <c r="E72" s="2" t="s">
        <v>14</v>
      </c>
      <c r="F72" s="2" t="s">
        <v>15</v>
      </c>
      <c r="G72" s="2" t="s">
        <v>263</v>
      </c>
      <c r="H72" s="2" t="s">
        <v>212</v>
      </c>
      <c r="I72" s="2" t="str">
        <f>IFERROR(__xludf.DUMMYFUNCTION("GOOGLETRANSLATE(C72,""fr"",""en"")"),"Poorly received on the wood agency Colombes (92270) I had the impression of deranger, it does not make you want to stay at all and especially in any case I would recommend the maaf ...
I stay just for a price story, whatever I found less expensive 10 € e"&amp;"lsewhere")</f>
        <v>Poorly received on the wood agency Colombes (92270) I had the impression of deranger, it does not make you want to stay at all and especially in any case I would recommend the maaf ...
I stay just for a price story, whatever I found less expensive 10 € elsewhere</v>
      </c>
    </row>
    <row r="73" ht="15.75" customHeight="1">
      <c r="B73" s="2" t="s">
        <v>264</v>
      </c>
      <c r="C73" s="2" t="s">
        <v>265</v>
      </c>
      <c r="D73" s="2" t="s">
        <v>241</v>
      </c>
      <c r="E73" s="2" t="s">
        <v>14</v>
      </c>
      <c r="F73" s="2" t="s">
        <v>15</v>
      </c>
      <c r="G73" s="2" t="s">
        <v>266</v>
      </c>
      <c r="H73" s="2" t="s">
        <v>234</v>
      </c>
      <c r="I73" s="2" t="str">
        <f>IFERROR(__xludf.DUMMYFUNCTION("GOOGLETRANSLATE(C73,""fr"",""en"")"),"Lamentable, the only insurance that requires paying before seeing the quote")</f>
        <v>Lamentable, the only insurance that requires paying before seeing the quote</v>
      </c>
    </row>
    <row r="74" ht="15.75" customHeight="1">
      <c r="B74" s="2" t="s">
        <v>267</v>
      </c>
      <c r="C74" s="2" t="s">
        <v>268</v>
      </c>
      <c r="D74" s="2" t="s">
        <v>241</v>
      </c>
      <c r="E74" s="2" t="s">
        <v>14</v>
      </c>
      <c r="F74" s="2" t="s">
        <v>15</v>
      </c>
      <c r="G74" s="2" t="s">
        <v>269</v>
      </c>
      <c r="H74" s="2" t="s">
        <v>238</v>
      </c>
      <c r="I74" s="2" t="str">
        <f>IFERROR(__xludf.DUMMYFUNCTION("GOOGLETRANSLATE(C74,""fr"",""en"")"),"A termination on your part (1 known disaster) closes the door to other insurance companies. I feel like I am a bad driver with you when I have been a 50 % bonus for over 20 years")</f>
        <v>A termination on your part (1 known disaster) closes the door to other insurance companies. I feel like I am a bad driver with you when I have been a 50 % bonus for over 20 years</v>
      </c>
    </row>
    <row r="75" ht="15.75" customHeight="1">
      <c r="B75" s="2" t="s">
        <v>270</v>
      </c>
      <c r="C75" s="2" t="s">
        <v>271</v>
      </c>
      <c r="D75" s="2" t="s">
        <v>272</v>
      </c>
      <c r="E75" s="2" t="s">
        <v>14</v>
      </c>
      <c r="F75" s="2" t="s">
        <v>15</v>
      </c>
      <c r="G75" s="2" t="s">
        <v>273</v>
      </c>
      <c r="H75" s="2" t="s">
        <v>91</v>
      </c>
      <c r="I75" s="2" t="str">
        <f>IFERROR(__xludf.DUMMYFUNCTION("GOOGLETRANSLATE(C75,""fr"",""en"")"),"I have a sinister that has been going on for 3 years. They don't care about the world and their customers! Impossible to have them on the phone, no news despite my reminders ... to flee!")</f>
        <v>I have a sinister that has been going on for 3 years. They don't care about the world and their customers! Impossible to have them on the phone, no news despite my reminders ... to flee!</v>
      </c>
    </row>
    <row r="76" ht="15.75" customHeight="1">
      <c r="B76" s="2" t="s">
        <v>274</v>
      </c>
      <c r="C76" s="2" t="s">
        <v>275</v>
      </c>
      <c r="D76" s="2" t="s">
        <v>272</v>
      </c>
      <c r="E76" s="2" t="s">
        <v>14</v>
      </c>
      <c r="F76" s="2" t="s">
        <v>15</v>
      </c>
      <c r="G76" s="2" t="s">
        <v>276</v>
      </c>
      <c r="H76" s="2" t="s">
        <v>277</v>
      </c>
      <c r="I76" s="2" t="str">
        <f>IFERROR(__xludf.DUMMYFUNCTION("GOOGLETRANSLATE(C76,""fr"",""en"")"),"From the moment you have no accident it goes but from the moment you have a disaster is that it is very strongly complicated especially if you have a serious accident that is a year and always nothing received always answers me the same thing I do not rec"&amp;"ommend")</f>
        <v>From the moment you have no accident it goes but from the moment you have a disaster is that it is very strongly complicated especially if you have a serious accident that is a year and always nothing received always answers me the same thing I do not recommend</v>
      </c>
    </row>
    <row r="77" ht="15.75" customHeight="1">
      <c r="B77" s="2" t="s">
        <v>278</v>
      </c>
      <c r="C77" s="2" t="s">
        <v>279</v>
      </c>
      <c r="D77" s="2" t="s">
        <v>272</v>
      </c>
      <c r="E77" s="2" t="s">
        <v>14</v>
      </c>
      <c r="F77" s="2" t="s">
        <v>15</v>
      </c>
      <c r="G77" s="2" t="s">
        <v>280</v>
      </c>
      <c r="H77" s="2" t="s">
        <v>281</v>
      </c>
      <c r="I77" s="2" t="str">
        <f>IFERROR(__xludf.DUMMYFUNCTION("GOOGLETRANSLATE(C77,""fr"",""en"")"),"An endless subscription process with endless requests for justifying documents .... I already regret having called them ... I will pay a little more expensive next year if necessary, but that is more 'A month that I have subscribed to insurance and they a"&amp;"lways miss a paper, photos, proof .... we stretch")</f>
        <v>An endless subscription process with endless requests for justifying documents .... I already regret having called them ... I will pay a little more expensive next year if necessary, but that is more 'A month that I have subscribed to insurance and they always miss a paper, photos, proof .... we stretch</v>
      </c>
    </row>
    <row r="78" ht="15.75" customHeight="1">
      <c r="B78" s="2" t="s">
        <v>282</v>
      </c>
      <c r="C78" s="2" t="s">
        <v>283</v>
      </c>
      <c r="D78" s="2" t="s">
        <v>272</v>
      </c>
      <c r="E78" s="2" t="s">
        <v>14</v>
      </c>
      <c r="F78" s="2" t="s">
        <v>15</v>
      </c>
      <c r="G78" s="2" t="s">
        <v>284</v>
      </c>
      <c r="H78" s="2" t="s">
        <v>281</v>
      </c>
      <c r="I78" s="2" t="str">
        <f>IFERROR(__xludf.DUMMYFUNCTION("GOOGLETRANSLATE(C78,""fr"",""en"")"),"Hello, yes I got online scooter insurance, ok, all the documents shipped, it's been claiming me by email, &amp; I have already sent the documents to Saint Quentin twice, moreover this insurer is impossible to contact on the phone. Sorry but I'm disappointed.")</f>
        <v>Hello, yes I got online scooter insurance, ok, all the documents shipped, it's been claiming me by email, &amp; I have already sent the documents to Saint Quentin twice, moreover this insurer is impossible to contact on the phone. Sorry but I'm disappointed.</v>
      </c>
    </row>
    <row r="79" ht="15.75" customHeight="1">
      <c r="B79" s="2" t="s">
        <v>285</v>
      </c>
      <c r="C79" s="2" t="s">
        <v>286</v>
      </c>
      <c r="D79" s="2" t="s">
        <v>272</v>
      </c>
      <c r="E79" s="2" t="s">
        <v>14</v>
      </c>
      <c r="F79" s="2" t="s">
        <v>15</v>
      </c>
      <c r="G79" s="2" t="s">
        <v>287</v>
      </c>
      <c r="H79" s="2" t="s">
        <v>165</v>
      </c>
      <c r="I79" s="2" t="str">
        <f>IFERROR(__xludf.DUMMYFUNCTION("GOOGLETRANSLATE(C79,""fr"",""en"")"),"Flee this insurer
Insured for 2 years the insurance reveals all these limits as for chance the first time I use it.
Customer service gives me false information suddenly I do not obtain any refund. I ask for an explanation and that is I misunderstood the"&amp;" information.
On the contrary, I was very attentive during explanation as it was necessary to spend 700 euros.
In short, I really recommend this insurance!
Go your way.")</f>
        <v>Flee this insurer
Insured for 2 years the insurance reveals all these limits as for chance the first time I use it.
Customer service gives me false information suddenly I do not obtain any refund. I ask for an explanation and that is I misunderstood the information.
On the contrary, I was very attentive during explanation as it was necessary to spend 700 euros.
In short, I really recommend this insurance!
Go your way.</v>
      </c>
    </row>
    <row r="80" ht="15.75" customHeight="1">
      <c r="B80" s="2" t="s">
        <v>288</v>
      </c>
      <c r="C80" s="2" t="s">
        <v>289</v>
      </c>
      <c r="D80" s="2" t="s">
        <v>272</v>
      </c>
      <c r="E80" s="2" t="s">
        <v>14</v>
      </c>
      <c r="F80" s="2" t="s">
        <v>15</v>
      </c>
      <c r="G80" s="2" t="s">
        <v>290</v>
      </c>
      <c r="H80" s="2" t="s">
        <v>17</v>
      </c>
      <c r="I80" s="2" t="str">
        <f>IFERROR(__xludf.DUMMYFUNCTION("GOOGLETRANSLATE(C80,""fr"",""en"")"),"After 3 months of waiting following an AVP material for which I am not responsible after multiple calls still no news of my refund except to repair and advance the franchise we will reimburse you later when ??? The only answer it can last a year a shame n"&amp;"o letter no news to systematically flee amateurs not insurers I even consider putting complaints for lying advertising and non -compliance with contract")</f>
        <v>After 3 months of waiting following an AVP material for which I am not responsible after multiple calls still no news of my refund except to repair and advance the franchise we will reimburse you later when ??? The only answer it can last a year a shame no letter no news to systematically flee amateurs not insurers I even consider putting complaints for lying advertising and non -compliance with contract</v>
      </c>
    </row>
    <row r="81" ht="15.75" customHeight="1">
      <c r="B81" s="2" t="s">
        <v>291</v>
      </c>
      <c r="C81" s="2" t="s">
        <v>292</v>
      </c>
      <c r="D81" s="2" t="s">
        <v>272</v>
      </c>
      <c r="E81" s="2" t="s">
        <v>14</v>
      </c>
      <c r="F81" s="2" t="s">
        <v>15</v>
      </c>
      <c r="G81" s="2" t="s">
        <v>293</v>
      </c>
      <c r="H81" s="2" t="s">
        <v>29</v>
      </c>
      <c r="I81" s="2" t="str">
        <f>IFERROR(__xludf.DUMMYFUNCTION("GOOGLETRANSLATE(C81,""fr"",""en"")"),"A claim intervened on January 8, 2019, no news since then, despite a full -mentioned file on the app from January 12, and ... 5 reminders. Inadmissible.
Since then I continue to pay the contributions while my scooter has been immobilized in the parking l"&amp;"ot.
Only return every time I send an email: the pseudo-personalized automatic response of customer service:
Hello,
We confirm the good reception of your message by our customer service.
We make every effort to answer them as soon as possible.
See you"&amp;" soon,
Paul of the Customer Mail Service.")</f>
        <v>A claim intervened on January 8, 2019, no news since then, despite a full -mentioned file on the app from January 12, and ... 5 reminders. Inadmissible.
Since then I continue to pay the contributions while my scooter has been immobilized in the parking lot.
Only return every time I send an email: the pseudo-personalized automatic response of customer service:
Hello,
We confirm the good reception of your message by our customer service.
We make every effort to answer them as soon as possible.
See you soon,
Paul of the Customer Mail Service.</v>
      </c>
    </row>
    <row r="82" ht="15.75" customHeight="1">
      <c r="B82" s="2" t="s">
        <v>294</v>
      </c>
      <c r="C82" s="2" t="s">
        <v>295</v>
      </c>
      <c r="D82" s="2" t="s">
        <v>272</v>
      </c>
      <c r="E82" s="2" t="s">
        <v>14</v>
      </c>
      <c r="F82" s="2" t="s">
        <v>15</v>
      </c>
      <c r="G82" s="2" t="s">
        <v>296</v>
      </c>
      <c r="H82" s="2" t="s">
        <v>297</v>
      </c>
      <c r="I82" s="2" t="str">
        <f>IFERROR(__xludf.DUMMYFUNCTION("GOOGLETRANSLATE(C82,""fr"",""en"")"),"ASHAMED ! Above all, don't go to them! Their slogan, something like ""responsiveness and insurance are our satisfaction"". A big zero pointed in responsiveness. August 2017 I subscribe to a pre-contract for a potential purchase of an occasion vehicle. I d"&amp;"o not finally take this vehicle. I therefore request the reimbursement of the contribution paid in advance (2 months paid). Following an error of spelling on my name by the ferrets.com and by an insufficiently French -speaking lady to ensure good customer"&amp;" service (especially thank you for seeing no racism, just a lack of competence required and necessary for such a job ), I point out the error to the advisers (besides very kind nothing to complain about it) and everything is supposed to return to order. W"&amp;"e are in April 2018 and I still haven't received my refund ..................... 8 months since my pre-registration ...... Take 3 minutes to take money and 8 months to get it (or not). In addition it is often complicated to reach them and it is incredible"&amp;" violinist who tell you lies only to better swallow the pill. A shame ! The follow -up is non -existent since nothing is noted preceding telephone interviews and promises that I am made: ""Ah but madam I don't know what she said to you, I don't know her a"&amp;"nd I am not at the same location !"" ???????! And if not the follow -up ??? Conclusion: Never subscribe to tele-assurance. Always have an interlocutor opposite. Thank you Assuronline for the lesson :). I will never subscribe to you and advise you not on o"&amp;"thers with all my heart and my boldness!
I also posted a review on Google, soon on Facebook. Ha no we cannot, the evaluation is blocked and a false evaluation of 4.5 stars is displayed, which is very surprising given the Google reviews ...")</f>
        <v>ASHAMED ! Above all, don't go to them! Their slogan, something like "responsiveness and insurance are our satisfaction". A big zero pointed in responsiveness. August 2017 I subscribe to a pre-contract for a potential purchase of an occasion vehicle. I do not finally take this vehicle. I therefore request the reimbursement of the contribution paid in advance (2 months paid). Following an error of spelling on my name by the ferrets.com and by an insufficiently French -speaking lady to ensure good customer service (especially thank you for seeing no racism, just a lack of competence required and necessary for such a job ), I point out the error to the advisers (besides very kind nothing to complain about it) and everything is supposed to return to order. We are in April 2018 and I still haven't received my refund ..................... 8 months since my pre-registration ...... Take 3 minutes to take money and 8 months to get it (or not). In addition it is often complicated to reach them and it is incredible violinist who tell you lies only to better swallow the pill. A shame ! The follow -up is non -existent since nothing is noted preceding telephone interviews and promises that I am made: "Ah but madam I don't know what she said to you, I don't know her and I am not at the same location !" ???????! And if not the follow -up ??? Conclusion: Never subscribe to tele-assurance. Always have an interlocutor opposite. Thank you Assuronline for the lesson :). I will never subscribe to you and advise you not on others with all my heart and my boldness!
I also posted a review on Google, soon on Facebook. Ha no we cannot, the evaluation is blocked and a false evaluation of 4.5 stars is displayed, which is very surprising given the Google reviews ...</v>
      </c>
    </row>
    <row r="83" ht="15.75" customHeight="1">
      <c r="B83" s="2" t="s">
        <v>298</v>
      </c>
      <c r="C83" s="2" t="s">
        <v>299</v>
      </c>
      <c r="D83" s="2" t="s">
        <v>272</v>
      </c>
      <c r="E83" s="2" t="s">
        <v>14</v>
      </c>
      <c r="F83" s="2" t="s">
        <v>15</v>
      </c>
      <c r="G83" s="2" t="s">
        <v>300</v>
      </c>
      <c r="H83" s="2" t="s">
        <v>212</v>
      </c>
      <c r="I83" s="2" t="str">
        <f>IFERROR(__xludf.DUMMYFUNCTION("GOOGLETRANSLATE(C83,""fr"",""en"")"),"After the referral of my green card, the termination endorsement, the sale of the sale of the vehicle, the proof of declaration of sale to the national agency of secure securities dependent on the ministry of the interior still no reimbursement I will mak"&amp;"e As with Direct Insurance I seized an insurance mediator")</f>
        <v>After the referral of my green card, the termination endorsement, the sale of the sale of the vehicle, the proof of declaration of sale to the national agency of secure securities dependent on the ministry of the interior still no reimbursement I will make As with Direct Insurance I seized an insurance mediator</v>
      </c>
    </row>
    <row r="84" ht="15.75" customHeight="1">
      <c r="B84" s="2" t="s">
        <v>301</v>
      </c>
      <c r="C84" s="2" t="s">
        <v>302</v>
      </c>
      <c r="D84" s="2" t="s">
        <v>272</v>
      </c>
      <c r="E84" s="2" t="s">
        <v>14</v>
      </c>
      <c r="F84" s="2" t="s">
        <v>15</v>
      </c>
      <c r="G84" s="2" t="s">
        <v>303</v>
      </c>
      <c r="H84" s="2" t="s">
        <v>230</v>
      </c>
      <c r="I84" s="2" t="str">
        <f>IFERROR(__xludf.DUMMYFUNCTION("GOOGLETRANSLATE(C84,""fr"",""en"")"),"Hello I explain my situation to you having bought an FZ6 in August 2015, 1 year of insurance without problem, after the 1 years already the insurance already increases I find its ladle, then having an accident on July 23, 2016 by being all risk, the motor"&amp;"cycle Casse and I lost 2 finger in the accident, we are on January 2, 2017 still no refund for my motorcycle and even less for my Malgres body that I call 2 times a week I am told that the treatment And in progress after the refund did not work twice must"&amp;" stop taking people for stupids (we cannot say big words on this site under penalty of problem) and milk cow alone I pence I pence Take a lawyer.")</f>
        <v>Hello I explain my situation to you having bought an FZ6 in August 2015, 1 year of insurance without problem, after the 1 years already the insurance already increases I find its ladle, then having an accident on July 23, 2016 by being all risk, the motorcycle Casse and I lost 2 finger in the accident, we are on January 2, 2017 still no refund for my motorcycle and even less for my Malgres body that I call 2 times a week I am told that the treatment And in progress after the refund did not work twice must stop taking people for stupids (we cannot say big words on this site under penalty of problem) and milk cow alone I pence I pence Take a lawyer.</v>
      </c>
    </row>
    <row r="85" ht="15.75" customHeight="1">
      <c r="B85" s="2" t="s">
        <v>304</v>
      </c>
      <c r="C85" s="2" t="s">
        <v>305</v>
      </c>
      <c r="D85" s="2" t="s">
        <v>272</v>
      </c>
      <c r="E85" s="2" t="s">
        <v>14</v>
      </c>
      <c r="F85" s="2" t="s">
        <v>15</v>
      </c>
      <c r="G85" s="2" t="s">
        <v>306</v>
      </c>
      <c r="H85" s="2" t="s">
        <v>238</v>
      </c>
      <c r="I85" s="2" t="str">
        <f>IFERROR(__xludf.DUMMYFUNCTION("GOOGLETRANSLATE(C85,""fr"",""en"")"),"Hello here I had an accident due to August 31, 2016 and from my scooter and at the garage because he has always received are regulations and when I call them they tell me that the invoice was processed on November 2 2016 and we are on 17 always nothing th"&amp;"ey still tell me to wait for the current of next week the garage to its support you can recover your scooter my unfortunately he does not trust can you switch a complaint procedure For these facts against them and is this a reason for termination")</f>
        <v>Hello here I had an accident due to August 31, 2016 and from my scooter and at the garage because he has always received are regulations and when I call them they tell me that the invoice was processed on November 2 2016 and we are on 17 always nothing they still tell me to wait for the current of next week the garage to its support you can recover your scooter my unfortunately he does not trust can you switch a complaint procedure For these facts against them and is this a reason for termination</v>
      </c>
    </row>
    <row r="86" ht="15.75" customHeight="1">
      <c r="B86" s="2" t="s">
        <v>307</v>
      </c>
      <c r="C86" s="2" t="s">
        <v>308</v>
      </c>
      <c r="D86" s="2" t="s">
        <v>309</v>
      </c>
      <c r="E86" s="2" t="s">
        <v>14</v>
      </c>
      <c r="F86" s="2" t="s">
        <v>15</v>
      </c>
      <c r="G86" s="2" t="s">
        <v>310</v>
      </c>
      <c r="H86" s="2" t="s">
        <v>70</v>
      </c>
      <c r="I86" s="2" t="str">
        <f>IFERROR(__xludf.DUMMYFUNCTION("GOOGLETRANSLATE(C86,""fr"",""en"")"),"Hello,
My son was the victim of an accident in February 2021, a vehicle led by an Englishman who refused him priority, balance sheet 100 JRS of ITT.
Not a call for insurance, contacts difficult to establish, multiple interlocutors ignoring the file, des"&amp;"pite sending all documents (destruction of the scooter, expertise, police report ...). I know other cases where insurance provides support and taking. The monthly sample was done very well, it seems that IT encounters problems when it is necessary to acco"&amp;"mpany a sinister file. Are they competent?
In short, non -existent insurance in the event of an accident, not the slightest service, endless expectations on the phone, when they do not end the wait ... (fortunately for them that insurance is compulsory)")</f>
        <v>Hello,
My son was the victim of an accident in February 2021, a vehicle led by an Englishman who refused him priority, balance sheet 100 JRS of ITT.
Not a call for insurance, contacts difficult to establish, multiple interlocutors ignoring the file, despite sending all documents (destruction of the scooter, expertise, police report ...). I know other cases where insurance provides support and taking. The monthly sample was done very well, it seems that IT encounters problems when it is necessary to accompany a sinister file. Are they competent?
In short, non -existent insurance in the event of an accident, not the slightest service, endless expectations on the phone, when they do not end the wait ... (fortunately for them that insurance is compulsory)</v>
      </c>
    </row>
    <row r="87" ht="15.75" customHeight="1">
      <c r="B87" s="2" t="s">
        <v>311</v>
      </c>
      <c r="C87" s="2" t="s">
        <v>312</v>
      </c>
      <c r="D87" s="2" t="s">
        <v>309</v>
      </c>
      <c r="E87" s="2" t="s">
        <v>14</v>
      </c>
      <c r="F87" s="2" t="s">
        <v>15</v>
      </c>
      <c r="G87" s="2" t="s">
        <v>70</v>
      </c>
      <c r="H87" s="2" t="s">
        <v>70</v>
      </c>
      <c r="I87" s="2" t="str">
        <f>IFERROR(__xludf.DUMMYFUNCTION("GOOGLETRANSLATE(C87,""fr"",""en"")"),"Hello, I recommend this insurance. This son had a motorcycle accident on 09/30/2020 to date no expert or repair have been carried out. They want nothing to get.")</f>
        <v>Hello, I recommend this insurance. This son had a motorcycle accident on 09/30/2020 to date no expert or repair have been carried out. They want nothing to get.</v>
      </c>
    </row>
    <row r="88" ht="15.75" customHeight="1">
      <c r="B88" s="2" t="s">
        <v>313</v>
      </c>
      <c r="C88" s="2" t="s">
        <v>314</v>
      </c>
      <c r="D88" s="2" t="s">
        <v>309</v>
      </c>
      <c r="E88" s="2" t="s">
        <v>14</v>
      </c>
      <c r="F88" s="2" t="s">
        <v>15</v>
      </c>
      <c r="G88" s="2" t="s">
        <v>315</v>
      </c>
      <c r="H88" s="2" t="s">
        <v>74</v>
      </c>
      <c r="I88" s="2" t="str">
        <f>IFERROR(__xludf.DUMMYFUNCTION("GOOGLETRANSLATE(C88,""fr"",""en"")"),"Oyé oye brave people, incompetent. For my part, they made me pay for the work trip while I live on the very scene of my work and the pricing of a vehicle parked on the public highway while my vehicle is parked in a hermetically enclosed location . I live "&amp;"in a college and given the reinforced vigipirate plan of the moment my vehicle is ""safe"".
So as soon as you ask why? They answer you that these criteria are not involved in the establishment of the price which is false.
So much to do in short, but I c"&amp;"an prove what I advance !!!!!")</f>
        <v>Oyé oye brave people, incompetent. For my part, they made me pay for the work trip while I live on the very scene of my work and the pricing of a vehicle parked on the public highway while my vehicle is parked in a hermetically enclosed location . I live in a college and given the reinforced vigipirate plan of the moment my vehicle is "safe".
So as soon as you ask why? They answer you that these criteria are not involved in the establishment of the price which is false.
So much to do in short, but I can prove what I advance !!!!!</v>
      </c>
    </row>
    <row r="89" ht="15.75" customHeight="1">
      <c r="B89" s="2" t="s">
        <v>316</v>
      </c>
      <c r="C89" s="2" t="s">
        <v>317</v>
      </c>
      <c r="D89" s="2" t="s">
        <v>309</v>
      </c>
      <c r="E89" s="2" t="s">
        <v>14</v>
      </c>
      <c r="F89" s="2" t="s">
        <v>15</v>
      </c>
      <c r="G89" s="2" t="s">
        <v>105</v>
      </c>
      <c r="H89" s="2" t="s">
        <v>105</v>
      </c>
      <c r="I89" s="2" t="str">
        <f>IFERROR(__xludf.DUMMYFUNCTION("GOOGLETRANSLATE(C89,""fr"",""en"")"),"To be fleece, contract signed and payment made, after 10 days a letter with termination argument for supposedly I have a courier company (for more than a year) and I will use for delivery when it is completely fake.
I have not yet been reimbursed for the"&amp;" contributed period but not yet reimbursed but I will not let go.")</f>
        <v>To be fleece, contract signed and payment made, after 10 days a letter with termination argument for supposedly I have a courier company (for more than a year) and I will use for delivery when it is completely fake.
I have not yet been reimbursed for the contributed period but not yet reimbursed but I will not let go.</v>
      </c>
    </row>
    <row r="90" ht="15.75" customHeight="1">
      <c r="B90" s="2" t="s">
        <v>318</v>
      </c>
      <c r="C90" s="2" t="s">
        <v>319</v>
      </c>
      <c r="D90" s="2" t="s">
        <v>309</v>
      </c>
      <c r="E90" s="2" t="s">
        <v>14</v>
      </c>
      <c r="F90" s="2" t="s">
        <v>15</v>
      </c>
      <c r="G90" s="2" t="s">
        <v>320</v>
      </c>
      <c r="H90" s="2" t="s">
        <v>281</v>
      </c>
      <c r="I90" s="2" t="str">
        <f>IFERROR(__xludf.DUMMYFUNCTION("GOOGLETRANSLATE(C90,""fr"",""en"")"),"Flight of my vehicle on June 1 full returned file 5 days later, but more than 3 months later and around twenty calls, I am not always compensated!
TO FLEE")</f>
        <v>Flight of my vehicle on June 1 full returned file 5 days later, but more than 3 months later and around twenty calls, I am not always compensated!
TO FLEE</v>
      </c>
    </row>
    <row r="91" ht="15.75" customHeight="1">
      <c r="B91" s="2" t="s">
        <v>321</v>
      </c>
      <c r="C91" s="2" t="s">
        <v>322</v>
      </c>
      <c r="D91" s="2" t="s">
        <v>309</v>
      </c>
      <c r="E91" s="2" t="s">
        <v>14</v>
      </c>
      <c r="F91" s="2" t="s">
        <v>15</v>
      </c>
      <c r="G91" s="2" t="s">
        <v>144</v>
      </c>
      <c r="H91" s="2" t="s">
        <v>138</v>
      </c>
      <c r="I91" s="2" t="str">
        <f>IFERROR(__xludf.DUMMYFUNCTION("GOOGLETRANSLATE(C91,""fr"",""en"")"),"Do not take this insurance !!! More than 3 months of waiting for a simple authorization expertise of a vehicle by a dealership approve. Then you should not be pressed for the refund. On the other hand, withdrawing on time every 5 of the month during these"&amp;" 4 months of expertise waiting ... to ultimately realize that the vehicle is saying irreparable. And do not rely on the reimbursement of the 4 months unjustly take. RUN AWAY!!!!")</f>
        <v>Do not take this insurance !!! More than 3 months of waiting for a simple authorization expertise of a vehicle by a dealership approve. Then you should not be pressed for the refund. On the other hand, withdrawing on time every 5 of the month during these 4 months of expertise waiting ... to ultimately realize that the vehicle is saying irreparable. And do not rely on the reimbursement of the 4 months unjustly take. RUN AWAY!!!!</v>
      </c>
    </row>
    <row r="92" ht="15.75" customHeight="1">
      <c r="B92" s="2" t="s">
        <v>323</v>
      </c>
      <c r="C92" s="2" t="s">
        <v>324</v>
      </c>
      <c r="D92" s="2" t="s">
        <v>309</v>
      </c>
      <c r="E92" s="2" t="s">
        <v>14</v>
      </c>
      <c r="F92" s="2" t="s">
        <v>15</v>
      </c>
      <c r="G92" s="2" t="s">
        <v>325</v>
      </c>
      <c r="H92" s="2" t="s">
        <v>29</v>
      </c>
      <c r="I92" s="2" t="str">
        <f>IFERROR(__xludf.DUMMYFUNCTION("GOOGLETRANSLATE(C92,""fr"",""en"")"),"Lamentable. They kidnap your money for 3 months after asking for the termination. And of course they do not respond to any of the requests carried out in the meantime. The person on the phone had absolutely nothing to do. To flee.")</f>
        <v>Lamentable. They kidnap your money for 3 months after asking for the termination. And of course they do not respond to any of the requests carried out in the meantime. The person on the phone had absolutely nothing to do. To flee.</v>
      </c>
    </row>
    <row r="93" ht="15.75" customHeight="1">
      <c r="B93" s="2" t="s">
        <v>326</v>
      </c>
      <c r="C93" s="2" t="s">
        <v>327</v>
      </c>
      <c r="D93" s="2" t="s">
        <v>309</v>
      </c>
      <c r="E93" s="2" t="s">
        <v>14</v>
      </c>
      <c r="F93" s="2" t="s">
        <v>15</v>
      </c>
      <c r="G93" s="2" t="s">
        <v>328</v>
      </c>
      <c r="H93" s="2" t="s">
        <v>29</v>
      </c>
      <c r="I93" s="2" t="str">
        <f>IFERROR(__xludf.DUMMYFUNCTION("GOOGLETRANSLATE(C93,""fr"",""en"")"),"Flee as fast as you can! Prefer insurance with physical agencies. They want to make you pay exorbitant registration fees, threaten not to sign and they cancel them ...")</f>
        <v>Flee as fast as you can! Prefer insurance with physical agencies. They want to make you pay exorbitant registration fees, threaten not to sign and they cancel them ...</v>
      </c>
    </row>
    <row r="94" ht="15.75" customHeight="1">
      <c r="B94" s="2" t="s">
        <v>329</v>
      </c>
      <c r="C94" s="2" t="s">
        <v>330</v>
      </c>
      <c r="D94" s="2" t="s">
        <v>309</v>
      </c>
      <c r="E94" s="2" t="s">
        <v>14</v>
      </c>
      <c r="F94" s="2" t="s">
        <v>15</v>
      </c>
      <c r="G94" s="2" t="s">
        <v>331</v>
      </c>
      <c r="H94" s="2" t="s">
        <v>33</v>
      </c>
      <c r="I94" s="2" t="str">
        <f>IFERROR(__xludf.DUMMYFUNCTION("GOOGLETRANSLATE(C94,""fr"",""en"")"),"To flee, billed 50% after 3 days for a withdrawal")</f>
        <v>To flee, billed 50% after 3 days for a withdrawal</v>
      </c>
    </row>
    <row r="95" ht="15.75" customHeight="1">
      <c r="B95" s="2" t="s">
        <v>332</v>
      </c>
      <c r="C95" s="2" t="s">
        <v>333</v>
      </c>
      <c r="D95" s="2" t="s">
        <v>309</v>
      </c>
      <c r="E95" s="2" t="s">
        <v>14</v>
      </c>
      <c r="F95" s="2" t="s">
        <v>15</v>
      </c>
      <c r="G95" s="2" t="s">
        <v>334</v>
      </c>
      <c r="H95" s="2" t="s">
        <v>33</v>
      </c>
      <c r="I95" s="2" t="str">
        <f>IFERROR(__xludf.DUMMYFUNCTION("GOOGLETRANSLATE(C95,""fr"",""en"")"),"Following a motorcycle flight on 12.11.2018 Partner insurer La Parisienne sinister NUM 402915 I am still without any news the file does not advance I call every week I am still told 48 hours it's been 2 months that I am ballad sos please")</f>
        <v>Following a motorcycle flight on 12.11.2018 Partner insurer La Parisienne sinister NUM 402915 I am still without any news the file does not advance I call every week I am still told 48 hours it's been 2 months that I am ballad sos please</v>
      </c>
    </row>
    <row r="96" ht="15.75" customHeight="1">
      <c r="B96" s="2" t="s">
        <v>335</v>
      </c>
      <c r="C96" s="2" t="s">
        <v>336</v>
      </c>
      <c r="D96" s="2" t="s">
        <v>309</v>
      </c>
      <c r="E96" s="2" t="s">
        <v>14</v>
      </c>
      <c r="F96" s="2" t="s">
        <v>15</v>
      </c>
      <c r="G96" s="2" t="s">
        <v>337</v>
      </c>
      <c r="H96" s="2" t="s">
        <v>253</v>
      </c>
      <c r="I96" s="2" t="str">
        <f>IFERROR(__xludf.DUMMYFUNCTION("GOOGLETRANSLATE(C96,""fr"",""en"")"),"Difficult to leave .... they do not understand that we want to leave them ... so they continue the bank samples .... The phone calls and the emails rain .... when they gave the information statement According to the Hamelin law")</f>
        <v>Difficult to leave .... they do not understand that we want to leave them ... so they continue the bank samples .... The phone calls and the emails rain .... when they gave the information statement According to the Hamelin law</v>
      </c>
    </row>
    <row r="97" ht="15.75" customHeight="1">
      <c r="B97" s="2" t="s">
        <v>338</v>
      </c>
      <c r="C97" s="2" t="s">
        <v>339</v>
      </c>
      <c r="D97" s="2" t="s">
        <v>309</v>
      </c>
      <c r="E97" s="2" t="s">
        <v>14</v>
      </c>
      <c r="F97" s="2" t="s">
        <v>15</v>
      </c>
      <c r="G97" s="2" t="s">
        <v>340</v>
      </c>
      <c r="H97" s="2" t="s">
        <v>188</v>
      </c>
      <c r="I97" s="2" t="str">
        <f>IFERROR(__xludf.DUMMYFUNCTION("GOOGLETRANSLATE(C97,""fr"",""en"")"),"To avoid. Several customers of which I are concerned. I gathered all my docs, I paid 3 months of cash insurance, send back all the docs they flew, I receive my confirmation that the insurance contract is OK. Then a month later, I receive a pre -reason ter"&amp;"mination as it is missing documents, so I remind you they tell me that they do not know the reason, a vs advisor will recall but nothing. I call the days. And I fight for the reimbursement which an advisor dared to tell me, it will be 100%impossible.")</f>
        <v>To avoid. Several customers of which I are concerned. I gathered all my docs, I paid 3 months of cash insurance, send back all the docs they flew, I receive my confirmation that the insurance contract is OK. Then a month later, I receive a pre -reason termination as it is missing documents, so I remind you they tell me that they do not know the reason, a vs advisor will recall but nothing. I call the days. And I fight for the reimbursement which an advisor dared to tell me, it will be 100%impossible.</v>
      </c>
    </row>
    <row r="98" ht="15.75" customHeight="1">
      <c r="B98" s="2" t="s">
        <v>341</v>
      </c>
      <c r="C98" s="2" t="s">
        <v>342</v>
      </c>
      <c r="D98" s="2" t="s">
        <v>309</v>
      </c>
      <c r="E98" s="2" t="s">
        <v>14</v>
      </c>
      <c r="F98" s="2" t="s">
        <v>15</v>
      </c>
      <c r="G98" s="2" t="s">
        <v>343</v>
      </c>
      <c r="H98" s="2" t="s">
        <v>41</v>
      </c>
      <c r="I98" s="2" t="str">
        <f>IFERROR(__xludf.DUMMYFUNCTION("GOOGLETRANSLATE(C98,""fr"",""en"")"),"On 3 contracts for 2 wheels I ask for 2 terminations one for the other for sale, I end up with all the terminated contracts! After multiple email to find out the why of how to terminate this 3rd contract which was not concerned by any request on my part, "&amp;"no response from them for 2 months! I therefore logically signed a contract elsewhere for this 2 wheels. And on July 13 Awakening of Euro Insurance which restarts the contract by announcing by email the levy of 118 euros (why such a sum for a monthly paym"&amp;"ent which was Max 39 euros? No explanation of course) on August 5! They therefore manage your contracts alone as they see fit you find amounts as it suits them do not contact you in any way and abuse their position! Insurer to flee and to avoid because in"&amp;" the end the prices are almost identical among some of their competitor!")</f>
        <v>On 3 contracts for 2 wheels I ask for 2 terminations one for the other for sale, I end up with all the terminated contracts! After multiple email to find out the why of how to terminate this 3rd contract which was not concerned by any request on my part, no response from them for 2 months! I therefore logically signed a contract elsewhere for this 2 wheels. And on July 13 Awakening of Euro Insurance which restarts the contract by announcing by email the levy of 118 euros (why such a sum for a monthly payment which was Max 39 euros? No explanation of course) on August 5! They therefore manage your contracts alone as they see fit you find amounts as it suits them do not contact you in any way and abuse their position! Insurer to flee and to avoid because in the end the prices are almost identical among some of their competitor!</v>
      </c>
    </row>
    <row r="99" ht="15.75" customHeight="1">
      <c r="B99" s="2" t="s">
        <v>344</v>
      </c>
      <c r="C99" s="2" t="s">
        <v>345</v>
      </c>
      <c r="D99" s="2" t="s">
        <v>309</v>
      </c>
      <c r="E99" s="2" t="s">
        <v>14</v>
      </c>
      <c r="F99" s="2" t="s">
        <v>15</v>
      </c>
      <c r="G99" s="2" t="s">
        <v>346</v>
      </c>
      <c r="H99" s="2" t="s">
        <v>41</v>
      </c>
      <c r="I99" s="2" t="str">
        <f>IFERROR(__xludf.DUMMYFUNCTION("GOOGLETRANSLATE(C99,""fr"",""en"")"),"Peugeot Citystar scooter bought new in September 2014 at more than € 2,500, with supplements accessories (backrest, skirt). Entered twice a year, no accident or scratch. 15,000km at the time of the flight of my scooter, it worked perfectly and came out of"&amp;" revision (one month before). Amount of compensation for ""dilapidated"" and deductible? € 770. A joke. Not even 30% of the value of the scooter purchased. On occasion today, the scooter is not less than 1,500 € with comparable mileage.")</f>
        <v>Peugeot Citystar scooter bought new in September 2014 at more than € 2,500, with supplements accessories (backrest, skirt). Entered twice a year, no accident or scratch. 15,000km at the time of the flight of my scooter, it worked perfectly and came out of revision (one month before). Amount of compensation for "dilapidated" and deductible? € 770. A joke. Not even 30% of the value of the scooter purchased. On occasion today, the scooter is not less than 1,500 € with comparable mileage.</v>
      </c>
    </row>
    <row r="100" ht="15.75" customHeight="1">
      <c r="B100" s="2" t="s">
        <v>347</v>
      </c>
      <c r="C100" s="2" t="s">
        <v>348</v>
      </c>
      <c r="D100" s="2" t="s">
        <v>309</v>
      </c>
      <c r="E100" s="2" t="s">
        <v>14</v>
      </c>
      <c r="F100" s="2" t="s">
        <v>15</v>
      </c>
      <c r="G100" s="2" t="s">
        <v>349</v>
      </c>
      <c r="H100" s="2" t="s">
        <v>297</v>
      </c>
      <c r="I100" s="2" t="str">
        <f>IFERROR(__xludf.DUMMYFUNCTION("GOOGLETRANSLATE(C100,""fr"",""en"")"),"Unbelievable . Following a motorcycle accident for which I was not responsible. I had to justify myself several times. I had the impression that Euro Insurance was working for the motorist who had returned to me. In total little listening and a lot of inc"&amp;"ompetence. I have of course terminated very quickly.")</f>
        <v>Unbelievable . Following a motorcycle accident for which I was not responsible. I had to justify myself several times. I had the impression that Euro Insurance was working for the motorist who had returned to me. In total little listening and a lot of incompetence. I have of course terminated very quickly.</v>
      </c>
    </row>
    <row r="101" ht="15.75" customHeight="1">
      <c r="B101" s="2" t="s">
        <v>350</v>
      </c>
      <c r="C101" s="2" t="s">
        <v>351</v>
      </c>
      <c r="D101" s="2" t="s">
        <v>309</v>
      </c>
      <c r="E101" s="2" t="s">
        <v>14</v>
      </c>
      <c r="F101" s="2" t="s">
        <v>15</v>
      </c>
      <c r="G101" s="2" t="s">
        <v>352</v>
      </c>
      <c r="H101" s="2" t="s">
        <v>353</v>
      </c>
      <c r="I101" s="2" t="str">
        <f>IFERROR(__xludf.DUMMYFUNCTION("GOOGLETRANSLATE(C101,""fr"",""en"")"),"Exorbitant price, extreme slowness when you need them, and more than doubtful methods ...
I was insured for my scooter. In my signed contract, it is written that it takes at least two protections to ensure the scooter (approved anti -theft, ok, engraving"&amp;", ok). What I have done. I was stolen the scooter, it was found. After complaint, insurance is ""triggered"", first, I am told that I am contacted within 48 hours. 48 hours later, no contact. I call. This is the first time that it happens to me, I have be"&amp;"en trying to be insured and reassured, I come across someone who takes me from high and who tells me to wait before talking about a possible compensation (it is -In customary, me not). I note that the exchanges change completely now that I need help.
It "&amp;"is therefore said to be processing my file, that I am sent to the documents to be completed. Two weeks after still nothing. So I remind you. Following this call, I was finally sending me the documents in 3 minutes. (When we talk about slowness, this is a "&amp;"concrete example, it's up to me to call twice for things to move).
In the end, I receive a letter telling me that the guarantee does not work, because of the 3 of the points necessary for the warranty, 1 is not carried out.
I remind you, saying that on "&amp;"my contract, 2 minimum protection points are written. There I am told that under the general conditions, a third point is written (block the management) ...
How to call your methods? Doubtful?
We tell you on your contract, to indicate another different "&amp;"in ""general conditions"".
Result, no charges for repairing my scooter. The dialogue has completely changed when I call, and I had the right to an extreme slowness on my file after the flight was taken place, it was up to me to constantly call to make "&amp;"things happen.
So I go to competition, and speak for a long time around me from Euro-Assurance. Not in good, you suspect it. Feeling of having been extremely having and having had no support when I needed it in addition to having to call for the employ"&amp;"ees to do their job and take care of my file.
We tell you one thing in the contract to indicate something else in the general conditions ... ""two minimum protections"" I quote my contract, which I respected. To ultimately indicate a third, but under t"&amp;"he general conditions (I quote the lady I had on the phone). How do we call that? What is this contract, since what is written there is not valid and that it must be completed by the general conditions?
I signed this contract, I respected what is written"&amp;" there, and I completely get injured.")</f>
        <v>Exorbitant price, extreme slowness when you need them, and more than doubtful methods ...
I was insured for my scooter. In my signed contract, it is written that it takes at least two protections to ensure the scooter (approved anti -theft, ok, engraving, ok). What I have done. I was stolen the scooter, it was found. After complaint, insurance is "triggered", first, I am told that I am contacted within 48 hours. 48 hours later, no contact. I call. This is the first time that it happens to me, I have been trying to be insured and reassured, I come across someone who takes me from high and who tells me to wait before talking about a possible compensation (it is -In customary, me not). I note that the exchanges change completely now that I need help.
It is therefore said to be processing my file, that I am sent to the documents to be completed. Two weeks after still nothing. So I remind you. Following this call, I was finally sending me the documents in 3 minutes. (When we talk about slowness, this is a concrete example, it's up to me to call twice for things to move).
In the end, I receive a letter telling me that the guarantee does not work, because of the 3 of the points necessary for the warranty, 1 is not carried out.
I remind you, saying that on my contract, 2 minimum protection points are written. There I am told that under the general conditions, a third point is written (block the management) ...
How to call your methods? Doubtful?
We tell you on your contract, to indicate another different in "general conditions".
Result, no charges for repairing my scooter. The dialogue has completely changed when I call, and I had the right to an extreme slowness on my file after the flight was taken place, it was up to me to constantly call to make things happen.
So I go to competition, and speak for a long time around me from Euro-Assurance. Not in good, you suspect it. Feeling of having been extremely having and having had no support when I needed it in addition to having to call for the employees to do their job and take care of my file.
We tell you one thing in the contract to indicate something else in the general conditions ... "two minimum protections" I quote my contract, which I respected. To ultimately indicate a third, but under the general conditions (I quote the lady I had on the phone). How do we call that? What is this contract, since what is written there is not valid and that it must be completed by the general conditions?
I signed this contract, I respected what is written there, and I completely get injured.</v>
      </c>
    </row>
    <row r="102" ht="15.75" customHeight="1">
      <c r="B102" s="2" t="s">
        <v>354</v>
      </c>
      <c r="C102" s="2" t="s">
        <v>355</v>
      </c>
      <c r="D102" s="2" t="s">
        <v>309</v>
      </c>
      <c r="E102" s="2" t="s">
        <v>14</v>
      </c>
      <c r="F102" s="2" t="s">
        <v>15</v>
      </c>
      <c r="G102" s="2" t="s">
        <v>356</v>
      </c>
      <c r="H102" s="2" t="s">
        <v>230</v>
      </c>
      <c r="I102" s="2" t="str">
        <f>IFERROR(__xludf.DUMMYFUNCTION("GOOGLETRANSLATE(C102,""fr"",""en"")"),"Following a first disaster supposedly responsible for more than 10 years for which I have denied Euroassurance responsibility gives me 25% penalties. Leaving me a car is to let me go. A two -wheeled driver who doubles on a white line strikes me and for th"&amp;"at I am given 100% liability ???????")</f>
        <v>Following a first disaster supposedly responsible for more than 10 years for which I have denied Euroassurance responsibility gives me 25% penalties. Leaving me a car is to let me go. A two -wheeled driver who doubles on a white line strikes me and for that I am given 100% liability ???????</v>
      </c>
    </row>
    <row r="103" ht="15.75" customHeight="1">
      <c r="B103" s="2" t="s">
        <v>357</v>
      </c>
      <c r="C103" s="2" t="s">
        <v>358</v>
      </c>
      <c r="D103" s="2" t="s">
        <v>359</v>
      </c>
      <c r="E103" s="2" t="s">
        <v>360</v>
      </c>
      <c r="F103" s="2" t="s">
        <v>15</v>
      </c>
      <c r="G103" s="2" t="s">
        <v>361</v>
      </c>
      <c r="H103" s="2" t="s">
        <v>362</v>
      </c>
      <c r="I103" s="2" t="str">
        <f>IFERROR(__xludf.DUMMYFUNCTION("GOOGLETRANSLATE(C103,""fr"",""en"")"),"I have no opinion on Santiane yet because I have not yet used the mutual.
On the other hand, I called the administrative service and I had a person, Rawane who was very friendly and very professional, he immediately listened to me on my need and immediat"&amp;"ely could enlighten me.
Thanks to you Rawane!")</f>
        <v>I have no opinion on Santiane yet because I have not yet used the mutual.
On the other hand, I called the administrative service and I had a person, Rawane who was very friendly and very professional, he immediately listened to me on my need and immediately could enlighten me.
Thanks to you Rawane!</v>
      </c>
    </row>
    <row r="104" ht="15.75" customHeight="1">
      <c r="B104" s="2" t="s">
        <v>363</v>
      </c>
      <c r="C104" s="2" t="s">
        <v>364</v>
      </c>
      <c r="D104" s="2" t="s">
        <v>359</v>
      </c>
      <c r="E104" s="2" t="s">
        <v>360</v>
      </c>
      <c r="F104" s="2" t="s">
        <v>15</v>
      </c>
      <c r="G104" s="2" t="s">
        <v>361</v>
      </c>
      <c r="H104" s="2" t="s">
        <v>362</v>
      </c>
      <c r="I104" s="2" t="str">
        <f>IFERROR(__xludf.DUMMYFUNCTION("GOOGLETRANSLATE(C104,""fr"",""en"")"),"The interviews with Meriem have been constructive and it remains very attentive to the customer's need and directs as it should be and even if my problem is not yet solved.")</f>
        <v>The interviews with Meriem have been constructive and it remains very attentive to the customer's need and directs as it should be and even if my problem is not yet solved.</v>
      </c>
    </row>
    <row r="105" ht="15.75" customHeight="1">
      <c r="B105" s="2" t="s">
        <v>365</v>
      </c>
      <c r="C105" s="2" t="s">
        <v>366</v>
      </c>
      <c r="D105" s="2" t="s">
        <v>359</v>
      </c>
      <c r="E105" s="2" t="s">
        <v>360</v>
      </c>
      <c r="F105" s="2" t="s">
        <v>15</v>
      </c>
      <c r="G105" s="2" t="s">
        <v>367</v>
      </c>
      <c r="H105" s="2" t="s">
        <v>362</v>
      </c>
      <c r="I105" s="2" t="str">
        <f>IFERROR(__xludf.DUMMYFUNCTION("GOOGLETRANSLATE(C105,""fr"",""en"")"),"After a problem to activate my customer area, the support on the site sent me the same message 3 times to activate the account with each time the same error message. After ten minutes of waiting and a discussion with technical support, the problem was qui"&amp;"ckly solved.")</f>
        <v>After a problem to activate my customer area, the support on the site sent me the same message 3 times to activate the account with each time the same error message. After ten minutes of waiting and a discussion with technical support, the problem was quickly solved.</v>
      </c>
    </row>
    <row r="106" ht="15.75" customHeight="1">
      <c r="B106" s="2" t="s">
        <v>368</v>
      </c>
      <c r="C106" s="2" t="s">
        <v>369</v>
      </c>
      <c r="D106" s="2" t="s">
        <v>359</v>
      </c>
      <c r="E106" s="2" t="s">
        <v>360</v>
      </c>
      <c r="F106" s="2" t="s">
        <v>15</v>
      </c>
      <c r="G106" s="2" t="s">
        <v>367</v>
      </c>
      <c r="H106" s="2" t="s">
        <v>362</v>
      </c>
      <c r="I106" s="2" t="str">
        <f>IFERROR(__xludf.DUMMYFUNCTION("GOOGLETRANSLATE(C106,""fr"",""en"")"),"Related to advisor Daouda he knew how to answer my questions entirely and quickly. Having the kindness to send me an important document lost in my emails directly.")</f>
        <v>Related to advisor Daouda he knew how to answer my questions entirely and quickly. Having the kindness to send me an important document lost in my emails directly.</v>
      </c>
    </row>
    <row r="107" ht="15.75" customHeight="1">
      <c r="B107" s="2" t="s">
        <v>370</v>
      </c>
      <c r="C107" s="2" t="s">
        <v>371</v>
      </c>
      <c r="D107" s="2" t="s">
        <v>359</v>
      </c>
      <c r="E107" s="2" t="s">
        <v>360</v>
      </c>
      <c r="F107" s="2" t="s">
        <v>15</v>
      </c>
      <c r="G107" s="2" t="s">
        <v>367</v>
      </c>
      <c r="H107" s="2" t="s">
        <v>362</v>
      </c>
      <c r="I107" s="2" t="str">
        <f>IFERROR(__xludf.DUMMYFUNCTION("GOOGLETRANSLATE(C107,""fr"",""en"")"),"Thanks to Mariama, her information was precise and responded to my request ... his. Efficacity and her ... kindness were there ... Regards everyone")</f>
        <v>Thanks to Mariama, her information was precise and responded to my request ... his. Efficacity and her ... kindness were there ... Regards everyone</v>
      </c>
    </row>
    <row r="108" ht="15.75" customHeight="1">
      <c r="B108" s="2" t="s">
        <v>372</v>
      </c>
      <c r="C108" s="2" t="s">
        <v>373</v>
      </c>
      <c r="D108" s="2" t="s">
        <v>359</v>
      </c>
      <c r="E108" s="2" t="s">
        <v>360</v>
      </c>
      <c r="F108" s="2" t="s">
        <v>15</v>
      </c>
      <c r="G108" s="2" t="s">
        <v>374</v>
      </c>
      <c r="H108" s="2" t="s">
        <v>362</v>
      </c>
      <c r="I108" s="2" t="str">
        <f>IFERROR(__xludf.DUMMYFUNCTION("GOOGLETRANSLATE(C108,""fr"",""en"")"),"Sokhna.
Good welcome
Good availability.
Given information.
I am satisfied with the receipt and the professionalism of my interlocutor")</f>
        <v>Sokhna.
Good welcome
Good availability.
Given information.
I am satisfied with the receipt and the professionalism of my interlocutor</v>
      </c>
    </row>
    <row r="109" ht="15.75" customHeight="1">
      <c r="B109" s="2" t="s">
        <v>375</v>
      </c>
      <c r="C109" s="2" t="s">
        <v>376</v>
      </c>
      <c r="D109" s="2" t="s">
        <v>359</v>
      </c>
      <c r="E109" s="2" t="s">
        <v>360</v>
      </c>
      <c r="F109" s="2" t="s">
        <v>15</v>
      </c>
      <c r="G109" s="2" t="s">
        <v>377</v>
      </c>
      <c r="H109" s="2" t="s">
        <v>362</v>
      </c>
      <c r="I109" s="2" t="str">
        <f>IFERROR(__xludf.DUMMYFUNCTION("GOOGLETRANSLATE(C109,""fr"",""en"")")," I was dealing with a very pleasant interlocutor she quickly solved my access problem to my customer area (name of the widad advisor) thank you")</f>
        <v> I was dealing with a very pleasant interlocutor she quickly solved my access problem to my customer area (name of the widad advisor) thank you</v>
      </c>
    </row>
    <row r="110" ht="15.75" customHeight="1">
      <c r="B110" s="2" t="s">
        <v>378</v>
      </c>
      <c r="C110" s="2" t="s">
        <v>379</v>
      </c>
      <c r="D110" s="2" t="s">
        <v>359</v>
      </c>
      <c r="E110" s="2" t="s">
        <v>360</v>
      </c>
      <c r="F110" s="2" t="s">
        <v>15</v>
      </c>
      <c r="G110" s="2" t="s">
        <v>380</v>
      </c>
      <c r="H110" s="2" t="s">
        <v>362</v>
      </c>
      <c r="I110" s="2" t="str">
        <f>IFERROR(__xludf.DUMMYFUNCTION("GOOGLETRANSLATE(C110,""fr"",""en"")"),"Call this day (11/14/2021) Mariama as an interlocutor, pleasant and professional for the explanations received. Everything was very clear and understanding, I validate 5 Star for Mariama")</f>
        <v>Call this day (11/14/2021) Mariama as an interlocutor, pleasant and professional for the explanations received. Everything was very clear and understanding, I validate 5 Star for Mariama</v>
      </c>
    </row>
    <row r="111" ht="15.75" customHeight="1">
      <c r="B111" s="2" t="s">
        <v>381</v>
      </c>
      <c r="C111" s="2" t="s">
        <v>382</v>
      </c>
      <c r="D111" s="2" t="s">
        <v>359</v>
      </c>
      <c r="E111" s="2" t="s">
        <v>360</v>
      </c>
      <c r="F111" s="2" t="s">
        <v>15</v>
      </c>
      <c r="G111" s="2" t="s">
        <v>383</v>
      </c>
      <c r="H111" s="2" t="s">
        <v>362</v>
      </c>
      <c r="I111" s="2" t="str">
        <f>IFERROR(__xludf.DUMMYFUNCTION("GOOGLETRANSLATE(C111,""fr"",""en"")"),"Call today (13) M. ABO as an interlocutor, pleasant and professional for the explanations received. Everything was very clear and understanding, I validate 5*
 Cordially
D.R")</f>
        <v>Call today (13) M. ABO as an interlocutor, pleasant and professional for the explanations received. Everything was very clear and understanding, I validate 5*
 Cordially
D.R</v>
      </c>
    </row>
    <row r="112" ht="15.75" customHeight="1">
      <c r="B112" s="2" t="s">
        <v>384</v>
      </c>
      <c r="C112" s="2" t="s">
        <v>385</v>
      </c>
      <c r="D112" s="2" t="s">
        <v>359</v>
      </c>
      <c r="E112" s="2" t="s">
        <v>360</v>
      </c>
      <c r="F112" s="2" t="s">
        <v>15</v>
      </c>
      <c r="G112" s="2" t="s">
        <v>386</v>
      </c>
      <c r="H112" s="2" t="s">
        <v>362</v>
      </c>
      <c r="I112" s="2" t="str">
        <f>IFERROR(__xludf.DUMMYFUNCTION("GOOGLETRANSLATE(C112,""fr"",""en"")"),"With the interlocutor that I had on the phone frankly it is a nice person is done for the best so that I can have all the information is to help me solve my problem. Excellent Amadou")</f>
        <v>With the interlocutor that I had on the phone frankly it is a nice person is done for the best so that I can have all the information is to help me solve my problem. Excellent Amadou</v>
      </c>
    </row>
    <row r="113" ht="15.75" customHeight="1">
      <c r="B113" s="2" t="s">
        <v>387</v>
      </c>
      <c r="C113" s="2" t="s">
        <v>388</v>
      </c>
      <c r="D113" s="2" t="s">
        <v>359</v>
      </c>
      <c r="E113" s="2" t="s">
        <v>360</v>
      </c>
      <c r="F113" s="2" t="s">
        <v>15</v>
      </c>
      <c r="G113" s="2" t="s">
        <v>386</v>
      </c>
      <c r="H113" s="2" t="s">
        <v>362</v>
      </c>
      <c r="I113" s="2" t="str">
        <f>IFERROR(__xludf.DUMMYFUNCTION("GOOGLETRANSLATE(C113,""fr"",""en"")"),"Hello, I just had a telephone conversation with Daouda which went very well. Very attentive and very professional ??
Thank you Daouda ??")</f>
        <v>Hello, I just had a telephone conversation with Daouda which went very well. Very attentive and very professional ??
Thank you Daouda ??</v>
      </c>
    </row>
    <row r="114" ht="15.75" customHeight="1">
      <c r="B114" s="2" t="s">
        <v>389</v>
      </c>
      <c r="C114" s="2" t="s">
        <v>390</v>
      </c>
      <c r="D114" s="2" t="s">
        <v>359</v>
      </c>
      <c r="E114" s="2" t="s">
        <v>360</v>
      </c>
      <c r="F114" s="2" t="s">
        <v>15</v>
      </c>
      <c r="G114" s="2" t="s">
        <v>391</v>
      </c>
      <c r="H114" s="2" t="s">
        <v>362</v>
      </c>
      <c r="I114" s="2" t="str">
        <f>IFERROR(__xludf.DUMMYFUNCTION("GOOGLETRANSLATE(C114,""fr"",""en"")"),"I just had a conversation with Amanata very professional well attentive it solved the problem since June I had no connection between social security and the mutual therefore I received no refund, however, it's not the first time that I call you thank you "&amp;"you aminata")</f>
        <v>I just had a conversation with Amanata very professional well attentive it solved the problem since June I had no connection between social security and the mutual therefore I received no refund, however, it's not the first time that I call you thank you you aminata</v>
      </c>
    </row>
    <row r="115" ht="15.75" customHeight="1">
      <c r="B115" s="2" t="s">
        <v>392</v>
      </c>
      <c r="C115" s="2" t="s">
        <v>393</v>
      </c>
      <c r="D115" s="2" t="s">
        <v>359</v>
      </c>
      <c r="E115" s="2" t="s">
        <v>360</v>
      </c>
      <c r="F115" s="2" t="s">
        <v>15</v>
      </c>
      <c r="G115" s="2" t="s">
        <v>394</v>
      </c>
      <c r="H115" s="2" t="s">
        <v>362</v>
      </c>
      <c r="I115" s="2" t="str">
        <f>IFERROR(__xludf.DUMMYFUNCTION("GOOGLETRANSLATE(C115,""fr"",""en"")"),"Thank you Alassane for the time taken to understand with me the ""hiccups"" which appeared on my adherent space. Thank you for reminding me and accompanying me to help me connect.
Everything is in order.
Patience, efficiency. Cheer !
")</f>
        <v>Thank you Alassane for the time taken to understand with me the "hiccups" which appeared on my adherent space. Thank you for reminding me and accompanying me to help me connect.
Everything is in order.
Patience, efficiency. Cheer !
</v>
      </c>
    </row>
    <row r="116" ht="15.75" customHeight="1">
      <c r="B116" s="2" t="s">
        <v>395</v>
      </c>
      <c r="C116" s="2" t="s">
        <v>396</v>
      </c>
      <c r="D116" s="2" t="s">
        <v>359</v>
      </c>
      <c r="E116" s="2" t="s">
        <v>360</v>
      </c>
      <c r="F116" s="2" t="s">
        <v>15</v>
      </c>
      <c r="G116" s="2" t="s">
        <v>394</v>
      </c>
      <c r="H116" s="2" t="s">
        <v>397</v>
      </c>
      <c r="I116" s="2" t="str">
        <f>IFERROR(__xludf.DUMMYFUNCTION("GOOGLETRANSLATE(C116,""fr"",""en"")"),"Not very serious in the formulation of quotes. Before surgical procedure, I asked for a quote from Santiane health professionals. I was given a refund of € 100.00. After three months of complaints on my part, they first confirmed me the care of € 100.00 b"&amp;"efore they retract by explaining to me that they had just realized that I had exhausted my quotas acts not reimbursed by social security.
No commercial gesture, no apology either.")</f>
        <v>Not very serious in the formulation of quotes. Before surgical procedure, I asked for a quote from Santiane health professionals. I was given a refund of € 100.00. After three months of complaints on my part, they first confirmed me the care of € 100.00 before they retract by explaining to me that they had just realized that I had exhausted my quotas acts not reimbursed by social security.
No commercial gesture, no apology either.</v>
      </c>
    </row>
    <row r="117" ht="15.75" customHeight="1">
      <c r="B117" s="2" t="s">
        <v>398</v>
      </c>
      <c r="C117" s="2" t="s">
        <v>399</v>
      </c>
      <c r="D117" s="2" t="s">
        <v>359</v>
      </c>
      <c r="E117" s="2" t="s">
        <v>360</v>
      </c>
      <c r="F117" s="2" t="s">
        <v>15</v>
      </c>
      <c r="G117" s="2" t="s">
        <v>394</v>
      </c>
      <c r="H117" s="2" t="s">
        <v>362</v>
      </c>
      <c r="I117" s="2" t="str">
        <f>IFERROR(__xludf.DUMMYFUNCTION("GOOGLETRANSLATE(C117,""fr"",""en"")"),"Very responsive and very professional customer service. New customer, I contacted this service for a small card problem not received. Problem solved. Thank you Alassane.")</f>
        <v>Very responsive and very professional customer service. New customer, I contacted this service for a small card problem not received. Problem solved. Thank you Alassane.</v>
      </c>
    </row>
    <row r="118" ht="15.75" customHeight="1">
      <c r="B118" s="2" t="s">
        <v>400</v>
      </c>
      <c r="C118" s="2" t="s">
        <v>401</v>
      </c>
      <c r="D118" s="2" t="s">
        <v>359</v>
      </c>
      <c r="E118" s="2" t="s">
        <v>360</v>
      </c>
      <c r="F118" s="2" t="s">
        <v>15</v>
      </c>
      <c r="G118" s="2" t="s">
        <v>402</v>
      </c>
      <c r="H118" s="2" t="s">
        <v>362</v>
      </c>
      <c r="I118" s="2" t="str">
        <f>IFERROR(__xludf.DUMMYFUNCTION("GOOGLETRANSLATE(C118,""fr"",""en"")"),"I was greeted by Mariama there was a small technical problem and promised to remember in the morning what she did and very well solved my problem so I only have satisfaction Cordially")</f>
        <v>I was greeted by Mariama there was a small technical problem and promised to remember in the morning what she did and very well solved my problem so I only have satisfaction Cordially</v>
      </c>
    </row>
    <row r="119" ht="15.75" customHeight="1">
      <c r="B119" s="2" t="s">
        <v>403</v>
      </c>
      <c r="C119" s="2" t="s">
        <v>404</v>
      </c>
      <c r="D119" s="2" t="s">
        <v>359</v>
      </c>
      <c r="E119" s="2" t="s">
        <v>360</v>
      </c>
      <c r="F119" s="2" t="s">
        <v>15</v>
      </c>
      <c r="G119" s="2" t="s">
        <v>402</v>
      </c>
      <c r="H119" s="2" t="s">
        <v>362</v>
      </c>
      <c r="I119" s="2" t="str">
        <f>IFERROR(__xludf.DUMMYFUNCTION("GOOGLETRANSLATE(C119,""fr"",""en"")"),"I had a little problem with the writing of my name I was welcomed by a gentleman named Larbi someone very kindness knew how to give me all the information I expected")</f>
        <v>I had a little problem with the writing of my name I was welcomed by a gentleman named Larbi someone very kindness knew how to give me all the information I expected</v>
      </c>
    </row>
    <row r="120" ht="15.75" customHeight="1">
      <c r="B120" s="2" t="s">
        <v>405</v>
      </c>
      <c r="C120" s="2" t="s">
        <v>406</v>
      </c>
      <c r="D120" s="2" t="s">
        <v>359</v>
      </c>
      <c r="E120" s="2" t="s">
        <v>360</v>
      </c>
      <c r="F120" s="2" t="s">
        <v>15</v>
      </c>
      <c r="G120" s="2" t="s">
        <v>407</v>
      </c>
      <c r="H120" s="2" t="s">
        <v>362</v>
      </c>
      <c r="I120" s="2" t="str">
        <f>IFERROR(__xludf.DUMMYFUNCTION("GOOGLETRANSLATE(C120,""fr"",""en"")"),"The information that Alassane gave me today was extremely precise. He spent a lot of time with me who is not very comfortable with my computer, I really enjoyed. It indeed shows a lot of patience and professionalism ...")</f>
        <v>The information that Alassane gave me today was extremely precise. He spent a lot of time with me who is not very comfortable with my computer, I really enjoyed. It indeed shows a lot of patience and professionalism ...</v>
      </c>
    </row>
    <row r="121" ht="15.75" customHeight="1">
      <c r="B121" s="2" t="s">
        <v>408</v>
      </c>
      <c r="C121" s="2" t="s">
        <v>409</v>
      </c>
      <c r="D121" s="2" t="s">
        <v>359</v>
      </c>
      <c r="E121" s="2" t="s">
        <v>360</v>
      </c>
      <c r="F121" s="2" t="s">
        <v>15</v>
      </c>
      <c r="G121" s="2" t="s">
        <v>407</v>
      </c>
      <c r="H121" s="2" t="s">
        <v>362</v>
      </c>
      <c r="I121" s="2" t="str">
        <f>IFERROR(__xludf.DUMMYFUNCTION("GOOGLETRANSLATE(C121,""fr"",""en"")"),"I had a mailbox problem on my customer area solved by Ramata, which sent my documents attached to my mailbox, which allowed me to consult them
Satisfied with his performance.
")</f>
        <v>I had a mailbox problem on my customer area solved by Ramata, which sent my documents attached to my mailbox, which allowed me to consult them
Satisfied with his performance.
</v>
      </c>
    </row>
    <row r="122" ht="15.75" customHeight="1">
      <c r="B122" s="2" t="s">
        <v>410</v>
      </c>
      <c r="C122" s="2" t="s">
        <v>411</v>
      </c>
      <c r="D122" s="2" t="s">
        <v>359</v>
      </c>
      <c r="E122" s="2" t="s">
        <v>360</v>
      </c>
      <c r="F122" s="2" t="s">
        <v>15</v>
      </c>
      <c r="G122" s="2" t="s">
        <v>412</v>
      </c>
      <c r="H122" s="2" t="s">
        <v>362</v>
      </c>
      <c r="I122" s="2" t="str">
        <f>IFERROR(__xludf.DUMMYFUNCTION("GOOGLETRANSLATE(C122,""fr"",""en"")"),"My telephone exchange with Thérèse concerning the validation of my member space gave me complete satisfaction.
Excellent welcome from his kind-friendly-bonne listening and clear responses")</f>
        <v>My telephone exchange with Thérèse concerning the validation of my member space gave me complete satisfaction.
Excellent welcome from his kind-friendly-bonne listening and clear responses</v>
      </c>
    </row>
    <row r="123" ht="15.75" customHeight="1">
      <c r="B123" s="2" t="s">
        <v>413</v>
      </c>
      <c r="C123" s="2" t="s">
        <v>414</v>
      </c>
      <c r="D123" s="2" t="s">
        <v>359</v>
      </c>
      <c r="E123" s="2" t="s">
        <v>360</v>
      </c>
      <c r="F123" s="2" t="s">
        <v>15</v>
      </c>
      <c r="G123" s="2" t="s">
        <v>415</v>
      </c>
      <c r="H123" s="2" t="s">
        <v>362</v>
      </c>
      <c r="I123" s="2" t="str">
        <f>IFERROR(__xludf.DUMMYFUNCTION("GOOGLETRANSLATE(C123,""fr"",""en"")"),"My telephone exchange with Therese concerning my registration for your mutual insurance company was very cordial which gave me complete satisfaction. Being newly registered, I have no advice to give immediately.")</f>
        <v>My telephone exchange with Therese concerning my registration for your mutual insurance company was very cordial which gave me complete satisfaction. Being newly registered, I have no advice to give immediately.</v>
      </c>
    </row>
    <row r="124" ht="15.75" customHeight="1">
      <c r="B124" s="2" t="s">
        <v>416</v>
      </c>
      <c r="C124" s="2" t="s">
        <v>417</v>
      </c>
      <c r="D124" s="2" t="s">
        <v>359</v>
      </c>
      <c r="E124" s="2" t="s">
        <v>360</v>
      </c>
      <c r="F124" s="2" t="s">
        <v>15</v>
      </c>
      <c r="G124" s="2" t="s">
        <v>362</v>
      </c>
      <c r="H124" s="2" t="s">
        <v>362</v>
      </c>
      <c r="I124" s="2" t="str">
        <f>IFERROR(__xludf.DUMMYFUNCTION("GOOGLETRANSLATE(C124,""fr"",""en"")"),"This is my first contact - the phone advisor was very kind and knew how to reassure me right away compared to my questions. The telephone menu is rather long on the other hand")</f>
        <v>This is my first contact - the phone advisor was very kind and knew how to reassure me right away compared to my questions. The telephone menu is rather long on the other hand</v>
      </c>
    </row>
    <row r="125" ht="15.75" customHeight="1">
      <c r="B125" s="2" t="s">
        <v>418</v>
      </c>
      <c r="C125" s="2" t="s">
        <v>419</v>
      </c>
      <c r="D125" s="2" t="s">
        <v>359</v>
      </c>
      <c r="E125" s="2" t="s">
        <v>360</v>
      </c>
      <c r="F125" s="2" t="s">
        <v>15</v>
      </c>
      <c r="G125" s="2" t="s">
        <v>420</v>
      </c>
      <c r="H125" s="2" t="s">
        <v>397</v>
      </c>
      <c r="I125" s="2" t="str">
        <f>IFERROR(__xludf.DUMMYFUNCTION("GOOGLETRANSLATE(C125,""fr"",""en"")"),"Hello
I recommend this mutual a lot less expensive than others, Larbi is kindness and rare competence
Instruction and transmission to the clinic of our file for an operation scheduled for October 8 in less time than it takes to say it
Congratulation")</f>
        <v>Hello
I recommend this mutual a lot less expensive than others, Larbi is kindness and rare competence
Instruction and transmission to the clinic of our file for an operation scheduled for October 8 in less time than it takes to say it
Congratulation</v>
      </c>
    </row>
    <row r="126" ht="15.75" customHeight="1">
      <c r="B126" s="2" t="s">
        <v>421</v>
      </c>
      <c r="C126" s="2" t="s">
        <v>422</v>
      </c>
      <c r="D126" s="2" t="s">
        <v>359</v>
      </c>
      <c r="E126" s="2" t="s">
        <v>360</v>
      </c>
      <c r="F126" s="2" t="s">
        <v>15</v>
      </c>
      <c r="G126" s="2" t="s">
        <v>423</v>
      </c>
      <c r="H126" s="2" t="s">
        <v>397</v>
      </c>
      <c r="I126" s="2" t="str">
        <f>IFERROR(__xludf.DUMMYFUNCTION("GOOGLETRANSLATE(C126,""fr"",""en"")"),"I had a good contact with an operator Khadiatou who explained to me. She provided me with all the information necessary to understand elements to transmit documents. Thank you")</f>
        <v>I had a good contact with an operator Khadiatou who explained to me. She provided me with all the information necessary to understand elements to transmit documents. Thank you</v>
      </c>
    </row>
    <row r="127" ht="15.75" customHeight="1">
      <c r="B127" s="2" t="s">
        <v>424</v>
      </c>
      <c r="C127" s="2" t="s">
        <v>425</v>
      </c>
      <c r="D127" s="2" t="s">
        <v>359</v>
      </c>
      <c r="E127" s="2" t="s">
        <v>360</v>
      </c>
      <c r="F127" s="2" t="s">
        <v>15</v>
      </c>
      <c r="G127" s="2" t="s">
        <v>426</v>
      </c>
      <c r="H127" s="2" t="s">
        <v>397</v>
      </c>
      <c r="I127" s="2" t="str">
        <f>IFERROR(__xludf.DUMMYFUNCTION("GOOGLETRANSLATE(C127,""fr"",""en"")"),"Following an error in a hospital, he claims 287 € to my mother when they did not make a request for care.
Following my exchange I had all the info by Mariama who will follow the file and take care of the PEC.
Thanks to the team.")</f>
        <v>Following an error in a hospital, he claims 287 € to my mother when they did not make a request for care.
Following my exchange I had all the info by Mariama who will follow the file and take care of the PEC.
Thanks to the team.</v>
      </c>
    </row>
    <row r="128" ht="15.75" customHeight="1">
      <c r="B128" s="2" t="s">
        <v>427</v>
      </c>
      <c r="C128" s="2" t="s">
        <v>428</v>
      </c>
      <c r="D128" s="2" t="s">
        <v>359</v>
      </c>
      <c r="E128" s="2" t="s">
        <v>360</v>
      </c>
      <c r="F128" s="2" t="s">
        <v>15</v>
      </c>
      <c r="G128" s="2" t="s">
        <v>429</v>
      </c>
      <c r="H128" s="2" t="s">
        <v>397</v>
      </c>
      <c r="I128" s="2" t="str">
        <f>IFERROR(__xludf.DUMMYFUNCTION("GOOGLETRANSLATE(C128,""fr"",""en"")"),"After telephone conversation very well inform with Mariama. Hoping that the connection problem with my customer area will be solved I am told unknown when I try to connect")</f>
        <v>After telephone conversation very well inform with Mariama. Hoping that the connection problem with my customer area will be solved I am told unknown when I try to connect</v>
      </c>
    </row>
    <row r="129" ht="15.75" customHeight="1">
      <c r="B129" s="2" t="s">
        <v>430</v>
      </c>
      <c r="C129" s="2" t="s">
        <v>431</v>
      </c>
      <c r="D129" s="2" t="s">
        <v>359</v>
      </c>
      <c r="E129" s="2" t="s">
        <v>360</v>
      </c>
      <c r="F129" s="2" t="s">
        <v>15</v>
      </c>
      <c r="G129" s="2" t="s">
        <v>432</v>
      </c>
      <c r="H129" s="2" t="s">
        <v>397</v>
      </c>
      <c r="I129" s="2" t="str">
        <f>IFERROR(__xludf.DUMMYFUNCTION("GOOGLETRANSLATE(C129,""fr"",""en"")"),"Hello
I am very satisfied with Mr Therno Deme, he was listening to me, he advised me well on how to achieve what I had to perform with my computer.
I thank him very much")</f>
        <v>Hello
I am very satisfied with Mr Therno Deme, he was listening to me, he advised me well on how to achieve what I had to perform with my computer.
I thank him very much</v>
      </c>
    </row>
    <row r="130" ht="15.75" customHeight="1">
      <c r="B130" s="2" t="s">
        <v>433</v>
      </c>
      <c r="C130" s="2" t="s">
        <v>434</v>
      </c>
      <c r="D130" s="2" t="s">
        <v>359</v>
      </c>
      <c r="E130" s="2" t="s">
        <v>360</v>
      </c>
      <c r="F130" s="2" t="s">
        <v>15</v>
      </c>
      <c r="G130" s="2" t="s">
        <v>435</v>
      </c>
      <c r="H130" s="2" t="s">
        <v>397</v>
      </c>
      <c r="I130" s="2" t="str">
        <f>IFERROR(__xludf.DUMMYFUNCTION("GOOGLETRANSLATE(C130,""fr"",""en"")"),"Very good telephone care by the staff called Khadidiatou, very useful and very clear in these words
I thank her for this help,
Cordially.")</f>
        <v>Very good telephone care by the staff called Khadidiatou, very useful and very clear in these words
I thank her for this help,
Cordially.</v>
      </c>
    </row>
    <row r="131" ht="15.75" customHeight="1">
      <c r="B131" s="2" t="s">
        <v>436</v>
      </c>
      <c r="C131" s="2" t="s">
        <v>437</v>
      </c>
      <c r="D131" s="2" t="s">
        <v>359</v>
      </c>
      <c r="E131" s="2" t="s">
        <v>360</v>
      </c>
      <c r="F131" s="2" t="s">
        <v>15</v>
      </c>
      <c r="G131" s="2" t="s">
        <v>435</v>
      </c>
      <c r="H131" s="2" t="s">
        <v>397</v>
      </c>
      <c r="I131" s="2" t="str">
        <f>IFERROR(__xludf.DUMMYFUNCTION("GOOGLETRANSLATE(C131,""fr"",""en"")"),"Hello
I have called Santiane several times since my membership I have been very well informed Min interlocutor very professional and courteous
Thank you again I do not regret my membership price and services
Regards Mr Lebigre Morel")</f>
        <v>Hello
I have called Santiane several times since my membership I have been very well informed Min interlocutor very professional and courteous
Thank you again I do not regret my membership price and services
Regards Mr Lebigre Morel</v>
      </c>
    </row>
    <row r="132" ht="15.75" customHeight="1">
      <c r="B132" s="2" t="s">
        <v>438</v>
      </c>
      <c r="C132" s="2" t="s">
        <v>439</v>
      </c>
      <c r="D132" s="2" t="s">
        <v>359</v>
      </c>
      <c r="E132" s="2" t="s">
        <v>360</v>
      </c>
      <c r="F132" s="2" t="s">
        <v>15</v>
      </c>
      <c r="G132" s="2" t="s">
        <v>435</v>
      </c>
      <c r="H132" s="2" t="s">
        <v>397</v>
      </c>
      <c r="I132" s="2" t="str">
        <f>IFERROR(__xludf.DUMMYFUNCTION("GOOGLETRANSLATE(C132,""fr"",""en"")"),"Very welcome on the phone Rawane My advisor knew how to answer my questions effectively and accompany me to activate my customer area I took my membership on Saturday and everything went very quickly I already have my provisional card for the moment I am "&amp;"very satisfied.")</f>
        <v>Very welcome on the phone Rawane My advisor knew how to answer my questions effectively and accompany me to activate my customer area I took my membership on Saturday and everything went very quickly I already have my provisional card for the moment I am very satisfied.</v>
      </c>
    </row>
    <row r="133" ht="15.75" customHeight="1">
      <c r="B133" s="2" t="s">
        <v>440</v>
      </c>
      <c r="C133" s="2" t="s">
        <v>441</v>
      </c>
      <c r="D133" s="2" t="s">
        <v>359</v>
      </c>
      <c r="E133" s="2" t="s">
        <v>360</v>
      </c>
      <c r="F133" s="2" t="s">
        <v>15</v>
      </c>
      <c r="G133" s="2" t="s">
        <v>442</v>
      </c>
      <c r="H133" s="2" t="s">
        <v>397</v>
      </c>
      <c r="I133" s="2" t="str">
        <f>IFERROR(__xludf.DUMMYFUNCTION("GOOGLETRANSLATE(C133,""fr"",""en"")"),"I have just called for information, and an absolutely charming person by the name of Widad, guided me so that I can send a document.
Very warm, courteous and not freezing person, like at SFR for example.
I did not find better as a comparison.
")</f>
        <v>I have just called for information, and an absolutely charming person by the name of Widad, guided me so that I can send a document.
Very warm, courteous and not freezing person, like at SFR for example.
I did not find better as a comparison.
</v>
      </c>
    </row>
    <row r="134" ht="15.75" customHeight="1">
      <c r="B134" s="2" t="s">
        <v>443</v>
      </c>
      <c r="C134" s="2" t="s">
        <v>444</v>
      </c>
      <c r="D134" s="2" t="s">
        <v>359</v>
      </c>
      <c r="E134" s="2" t="s">
        <v>360</v>
      </c>
      <c r="F134" s="2" t="s">
        <v>15</v>
      </c>
      <c r="G134" s="2" t="s">
        <v>445</v>
      </c>
      <c r="H134" s="2" t="s">
        <v>397</v>
      </c>
      <c r="I134" s="2" t="str">
        <f>IFERROR(__xludf.DUMMYFUNCTION("GOOGLETRANSLATE(C134,""fr"",""en"")"),"Mariama my interlocutor was reactive and very friendly.
Quick answer to my questions. I was satisfied with this conversation.
I recommend.")</f>
        <v>Mariama my interlocutor was reactive and very friendly.
Quick answer to my questions. I was satisfied with this conversation.
I recommend.</v>
      </c>
    </row>
    <row r="135" ht="15.75" customHeight="1">
      <c r="B135" s="2" t="s">
        <v>446</v>
      </c>
      <c r="C135" s="2" t="s">
        <v>447</v>
      </c>
      <c r="D135" s="2" t="s">
        <v>359</v>
      </c>
      <c r="E135" s="2" t="s">
        <v>360</v>
      </c>
      <c r="F135" s="2" t="s">
        <v>15</v>
      </c>
      <c r="G135" s="2" t="s">
        <v>448</v>
      </c>
      <c r="H135" s="2" t="s">
        <v>397</v>
      </c>
      <c r="I135" s="2" t="str">
        <f>IFERROR(__xludf.DUMMYFUNCTION("GOOGLETRANSLATE(C135,""fr"",""en"")"),"Maria A very attentive advisor, she took charge of my request for reimbursement, welcoming and smiling.
Quick management of my call.")</f>
        <v>Maria A very attentive advisor, she took charge of my request for reimbursement, welcoming and smiling.
Quick management of my call.</v>
      </c>
    </row>
    <row r="136" ht="15.75" customHeight="1">
      <c r="B136" s="2" t="s">
        <v>449</v>
      </c>
      <c r="C136" s="2" t="s">
        <v>450</v>
      </c>
      <c r="D136" s="2" t="s">
        <v>359</v>
      </c>
      <c r="E136" s="2" t="s">
        <v>360</v>
      </c>
      <c r="F136" s="2" t="s">
        <v>15</v>
      </c>
      <c r="G136" s="2" t="s">
        <v>451</v>
      </c>
      <c r="H136" s="2" t="s">
        <v>397</v>
      </c>
      <c r="I136" s="2" t="str">
        <f>IFERROR(__xludf.DUMMYFUNCTION("GOOGLETRANSLATE(C136,""fr"",""en"")"),"The first telephone contact was professional and pleasant because I felt listened to and understood in my needs concerning the choice of a health mutual.
Then I had problems on the website because I did not have an answer to the emails sent (change of ri"&amp;"b, request for a third -party payment card ...), so I called the Santiane standard and I Had Mariama on the phone who was very patient and understanding, and answered all the questions I had.")</f>
        <v>The first telephone contact was professional and pleasant because I felt listened to and understood in my needs concerning the choice of a health mutual.
Then I had problems on the website because I did not have an answer to the emails sent (change of rib, request for a third -party payment card ...), so I called the Santiane standard and I Had Mariama on the phone who was very patient and understanding, and answered all the questions I had.</v>
      </c>
    </row>
    <row r="137" ht="15.75" customHeight="1">
      <c r="B137" s="2" t="s">
        <v>452</v>
      </c>
      <c r="C137" s="2" t="s">
        <v>453</v>
      </c>
      <c r="D137" s="2" t="s">
        <v>359</v>
      </c>
      <c r="E137" s="2" t="s">
        <v>360</v>
      </c>
      <c r="F137" s="2" t="s">
        <v>15</v>
      </c>
      <c r="G137" s="2" t="s">
        <v>454</v>
      </c>
      <c r="H137" s="2" t="s">
        <v>66</v>
      </c>
      <c r="I137" s="2" t="str">
        <f>IFERROR(__xludf.DUMMYFUNCTION("GOOGLETRANSLATE(C137,""fr"",""en"")"),"Hello
Thank you Mariama very nice
I like customer service for the moment nothing to say everything is fine
I hope it will last ????
Good continuation")</f>
        <v>Hello
Thank you Mariama very nice
I like customer service for the moment nothing to say everything is fine
I hope it will last ????
Good continuation</v>
      </c>
    </row>
    <row r="138" ht="15.75" customHeight="1">
      <c r="B138" s="2" t="s">
        <v>455</v>
      </c>
      <c r="C138" s="2" t="s">
        <v>456</v>
      </c>
      <c r="D138" s="2" t="s">
        <v>359</v>
      </c>
      <c r="E138" s="2" t="s">
        <v>360</v>
      </c>
      <c r="F138" s="2" t="s">
        <v>15</v>
      </c>
      <c r="G138" s="2" t="s">
        <v>457</v>
      </c>
      <c r="H138" s="2" t="s">
        <v>66</v>
      </c>
      <c r="I138" s="2" t="str">
        <f>IFERROR(__xludf.DUMMYFUNCTION("GOOGLETRANSLATE(C138,""fr"",""en"")"),"Hello,
New customer at Santiane I thank Lissa for her help on the opening of my space. Very honest telephone waiting time, and pleasant operator.
Patrick")</f>
        <v>Hello,
New customer at Santiane I thank Lissa for her help on the opening of my space. Very honest telephone waiting time, and pleasant operator.
Patrick</v>
      </c>
    </row>
    <row r="139" ht="15.75" customHeight="1">
      <c r="B139" s="2" t="s">
        <v>458</v>
      </c>
      <c r="C139" s="2" t="s">
        <v>459</v>
      </c>
      <c r="D139" s="2" t="s">
        <v>359</v>
      </c>
      <c r="E139" s="2" t="s">
        <v>360</v>
      </c>
      <c r="F139" s="2" t="s">
        <v>15</v>
      </c>
      <c r="G139" s="2" t="s">
        <v>460</v>
      </c>
      <c r="H139" s="2" t="s">
        <v>66</v>
      </c>
      <c r="I139" s="2" t="str">
        <f>IFERROR(__xludf.DUMMYFUNCTION("GOOGLETRANSLATE(C139,""fr"",""en"")"),"Hello, Lamia I had on the phone was very patient, effective in my requests, and very professional to advise me. Thank you again for his patience and his professionalism,
good week start,
Mrs. Dabo Eva-Marie
")</f>
        <v>Hello, Lamia I had on the phone was very patient, effective in my requests, and very professional to advise me. Thank you again for his patience and his professionalism,
good week start,
Mrs. Dabo Eva-Marie
</v>
      </c>
    </row>
    <row r="140" ht="15.75" customHeight="1">
      <c r="B140" s="2" t="s">
        <v>461</v>
      </c>
      <c r="C140" s="2" t="s">
        <v>462</v>
      </c>
      <c r="D140" s="2" t="s">
        <v>359</v>
      </c>
      <c r="E140" s="2" t="s">
        <v>360</v>
      </c>
      <c r="F140" s="2" t="s">
        <v>15</v>
      </c>
      <c r="G140" s="2" t="s">
        <v>463</v>
      </c>
      <c r="H140" s="2" t="s">
        <v>66</v>
      </c>
      <c r="I140" s="2" t="str">
        <f>IFERROR(__xludf.DUMMYFUNCTION("GOOGLETRANSLATE(C140,""fr"",""en"")"),"Very pleasant interlocutor lissa and listen
Suitable price
Support for hospitalizations are very long, which blocks the rendering of a deposit")</f>
        <v>Very pleasant interlocutor lissa and listen
Suitable price
Support for hospitalizations are very long, which blocks the rendering of a deposit</v>
      </c>
    </row>
    <row r="141" ht="15.75" customHeight="1">
      <c r="B141" s="2" t="s">
        <v>464</v>
      </c>
      <c r="C141" s="2" t="s">
        <v>465</v>
      </c>
      <c r="D141" s="2" t="s">
        <v>359</v>
      </c>
      <c r="E141" s="2" t="s">
        <v>360</v>
      </c>
      <c r="F141" s="2" t="s">
        <v>15</v>
      </c>
      <c r="G141" s="2" t="s">
        <v>466</v>
      </c>
      <c r="H141" s="2" t="s">
        <v>66</v>
      </c>
      <c r="I141" s="2" t="str">
        <f>IFERROR(__xludf.DUMMYFUNCTION("GOOGLETRANSLATE(C141,""fr"",""en"")")," Emeline effective advisor very pretty voice who knows her job perfectly I thank her again for her explanations and advice for my file")</f>
        <v> Emeline effective advisor very pretty voice who knows her job perfectly I thank her again for her explanations and advice for my file</v>
      </c>
    </row>
    <row r="142" ht="15.75" customHeight="1">
      <c r="B142" s="2" t="s">
        <v>467</v>
      </c>
      <c r="C142" s="2" t="s">
        <v>468</v>
      </c>
      <c r="D142" s="2" t="s">
        <v>359</v>
      </c>
      <c r="E142" s="2" t="s">
        <v>360</v>
      </c>
      <c r="F142" s="2" t="s">
        <v>15</v>
      </c>
      <c r="G142" s="2" t="s">
        <v>469</v>
      </c>
      <c r="H142" s="2" t="s">
        <v>66</v>
      </c>
      <c r="I142" s="2" t="str">
        <f>IFERROR(__xludf.DUMMYFUNCTION("GOOGLETRANSLATE(C142,""fr"",""en"")"),"I just had contact with Aminata, I want to specify the availability of this person and the help they gave me for the resolution of my contract
thank you for everything")</f>
        <v>I just had contact with Aminata, I want to specify the availability of this person and the help they gave me for the resolution of my contract
thank you for everything</v>
      </c>
    </row>
    <row r="143" ht="15.75" customHeight="1">
      <c r="B143" s="2" t="s">
        <v>470</v>
      </c>
      <c r="C143" s="2" t="s">
        <v>471</v>
      </c>
      <c r="D143" s="2" t="s">
        <v>359</v>
      </c>
      <c r="E143" s="2" t="s">
        <v>360</v>
      </c>
      <c r="F143" s="2" t="s">
        <v>15</v>
      </c>
      <c r="G143" s="2" t="s">
        <v>472</v>
      </c>
      <c r="H143" s="2" t="s">
        <v>66</v>
      </c>
      <c r="I143" s="2" t="str">
        <f>IFERROR(__xludf.DUMMYFUNCTION("GOOGLETRANSLATE(C143,""fr"",""en"")"),"I contacted Aminata to customer service this morning in order to obtain the connection help to transmit a CPAM statement that had not passed into teletransmission. I obtained all the answers to my questions and the help requested. A pleasant and very fast"&amp;" lady for information. If all the advisers react then the different problems can be resolved quickly.")</f>
        <v>I contacted Aminata to customer service this morning in order to obtain the connection help to transmit a CPAM statement that had not passed into teletransmission. I obtained all the answers to my questions and the help requested. A pleasant and very fast lady for information. If all the advisers react then the different problems can be resolved quickly.</v>
      </c>
    </row>
    <row r="144" ht="15.75" customHeight="1">
      <c r="B144" s="2" t="s">
        <v>473</v>
      </c>
      <c r="C144" s="2" t="s">
        <v>474</v>
      </c>
      <c r="D144" s="2" t="s">
        <v>359</v>
      </c>
      <c r="E144" s="2" t="s">
        <v>360</v>
      </c>
      <c r="F144" s="2" t="s">
        <v>15</v>
      </c>
      <c r="G144" s="2" t="s">
        <v>475</v>
      </c>
      <c r="H144" s="2" t="s">
        <v>66</v>
      </c>
      <c r="I144" s="2" t="str">
        <f>IFERROR(__xludf.DUMMYFUNCTION("GOOGLETRANSLATE(C144,""fr"",""en"")"),"First of all, I thank, ""Emeline"" the hostess with whom we exchanged by phone concerning my request for ""optical"" care and the addition of a beneficiary on the paid third party card. The information was clear and precise.")</f>
        <v>First of all, I thank, "Emeline" the hostess with whom we exchanged by phone concerning my request for "optical" care and the addition of a beneficiary on the paid third party card. The information was clear and precise.</v>
      </c>
    </row>
    <row r="145" ht="15.75" customHeight="1">
      <c r="B145" s="2" t="s">
        <v>476</v>
      </c>
      <c r="C145" s="2" t="s">
        <v>477</v>
      </c>
      <c r="D145" s="2" t="s">
        <v>359</v>
      </c>
      <c r="E145" s="2" t="s">
        <v>360</v>
      </c>
      <c r="F145" s="2" t="s">
        <v>15</v>
      </c>
      <c r="G145" s="2" t="s">
        <v>475</v>
      </c>
      <c r="H145" s="2" t="s">
        <v>66</v>
      </c>
      <c r="I145" s="2" t="str">
        <f>IFERROR(__xludf.DUMMYFUNCTION("GOOGLETRANSLATE(C145,""fr"",""en"")")," Rawane who answered my phone call was very helpful, listening to my request. Very satisfied with the telephone reception and I received the documents I needed")</f>
        <v> Rawane who answered my phone call was very helpful, listening to my request. Very satisfied with the telephone reception and I received the documents I needed</v>
      </c>
    </row>
    <row r="146" ht="15.75" customHeight="1">
      <c r="B146" s="2" t="s">
        <v>478</v>
      </c>
      <c r="C146" s="2" t="s">
        <v>479</v>
      </c>
      <c r="D146" s="2" t="s">
        <v>359</v>
      </c>
      <c r="E146" s="2" t="s">
        <v>360</v>
      </c>
      <c r="F146" s="2" t="s">
        <v>15</v>
      </c>
      <c r="G146" s="2" t="s">
        <v>480</v>
      </c>
      <c r="H146" s="2" t="s">
        <v>66</v>
      </c>
      <c r="I146" s="2" t="str">
        <f>IFERROR(__xludf.DUMMYFUNCTION("GOOGLETRANSLATE(C146,""fr"",""en"")"),"Emmeline who answered my phone call was very helpful, listening to my request. Very satisfied with the telephone reception, it is eager to send me the requested documents")</f>
        <v>Emmeline who answered my phone call was very helpful, listening to my request. Very satisfied with the telephone reception, it is eager to send me the requested documents</v>
      </c>
    </row>
    <row r="147" ht="15.75" customHeight="1">
      <c r="B147" s="2" t="s">
        <v>481</v>
      </c>
      <c r="C147" s="2" t="s">
        <v>482</v>
      </c>
      <c r="D147" s="2" t="s">
        <v>359</v>
      </c>
      <c r="E147" s="2" t="s">
        <v>360</v>
      </c>
      <c r="F147" s="2" t="s">
        <v>15</v>
      </c>
      <c r="G147" s="2" t="s">
        <v>483</v>
      </c>
      <c r="H147" s="2" t="s">
        <v>66</v>
      </c>
      <c r="I147" s="2" t="str">
        <f>IFERROR(__xludf.DUMMYFUNCTION("GOOGLETRANSLATE(C147,""fr"",""en"")"),"A little long to relax, the new mutual cards a little late, I have called I was received 11 ?? Except that my wife was not on it, new call a young person saw the error and correct it; Galère for 2 months, super nice at Tel.
Eric")</f>
        <v>A little long to relax, the new mutual cards a little late, I have called I was received 11 ?? Except that my wife was not on it, new call a young person saw the error and correct it; Galère for 2 months, super nice at Tel.
Eric</v>
      </c>
    </row>
    <row r="148" ht="15.75" customHeight="1">
      <c r="B148" s="2" t="s">
        <v>484</v>
      </c>
      <c r="C148" s="2" t="s">
        <v>485</v>
      </c>
      <c r="D148" s="2" t="s">
        <v>359</v>
      </c>
      <c r="E148" s="2" t="s">
        <v>360</v>
      </c>
      <c r="F148" s="2" t="s">
        <v>15</v>
      </c>
      <c r="G148" s="2" t="s">
        <v>483</v>
      </c>
      <c r="H148" s="2" t="s">
        <v>66</v>
      </c>
      <c r="I148" s="2" t="str">
        <f>IFERROR(__xludf.DUMMYFUNCTION("GOOGLETRANSLATE(C148,""fr"",""en"")"),"Very warm telephone reception of Chanice ... just as much as Anass
Answers to questions asked with great availability.
Very satisfied with the competent interlocutors for my mutual health insurance.")</f>
        <v>Very warm telephone reception of Chanice ... just as much as Anass
Answers to questions asked with great availability.
Very satisfied with the competent interlocutors for my mutual health insurance.</v>
      </c>
    </row>
    <row r="149" ht="15.75" customHeight="1">
      <c r="B149" s="2" t="s">
        <v>486</v>
      </c>
      <c r="C149" s="2" t="s">
        <v>487</v>
      </c>
      <c r="D149" s="2" t="s">
        <v>359</v>
      </c>
      <c r="E149" s="2" t="s">
        <v>360</v>
      </c>
      <c r="F149" s="2" t="s">
        <v>15</v>
      </c>
      <c r="G149" s="2" t="s">
        <v>488</v>
      </c>
      <c r="H149" s="2" t="s">
        <v>70</v>
      </c>
      <c r="I149" s="2" t="str">
        <f>IFERROR(__xludf.DUMMYFUNCTION("GOOGLETRANSLATE(C149,""fr"",""en"")"),"No complaints, suitable welcome, clear response
Good professionals
interesting price
For management, I hope he will live up to presenpetuates")</f>
        <v>No complaints, suitable welcome, clear response
Good professionals
interesting price
For management, I hope he will live up to presenpetuates</v>
      </c>
    </row>
    <row r="150" ht="15.75" customHeight="1">
      <c r="B150" s="2" t="s">
        <v>489</v>
      </c>
      <c r="C150" s="2" t="s">
        <v>490</v>
      </c>
      <c r="D150" s="2" t="s">
        <v>359</v>
      </c>
      <c r="E150" s="2" t="s">
        <v>360</v>
      </c>
      <c r="F150" s="2" t="s">
        <v>15</v>
      </c>
      <c r="G150" s="2" t="s">
        <v>491</v>
      </c>
      <c r="H150" s="2" t="s">
        <v>70</v>
      </c>
      <c r="I150" s="2" t="str">
        <f>IFERROR(__xludf.DUMMYFUNCTION("GOOGLETRANSLATE(C150,""fr"",""en"")"),"Very good advisor who knew how to answer in a very kind and courteous way to my questions and who took her time, thanks to Nisrine I was able to have a beautiful image of Santian.")</f>
        <v>Very good advisor who knew how to answer in a very kind and courteous way to my questions and who took her time, thanks to Nisrine I was able to have a beautiful image of Santian.</v>
      </c>
    </row>
    <row r="151" ht="15.75" customHeight="1">
      <c r="B151" s="2" t="s">
        <v>492</v>
      </c>
      <c r="C151" s="2" t="s">
        <v>493</v>
      </c>
      <c r="D151" s="2" t="s">
        <v>359</v>
      </c>
      <c r="E151" s="2" t="s">
        <v>360</v>
      </c>
      <c r="F151" s="2" t="s">
        <v>15</v>
      </c>
      <c r="G151" s="2" t="s">
        <v>70</v>
      </c>
      <c r="H151" s="2" t="s">
        <v>70</v>
      </c>
      <c r="I151" s="2" t="str">
        <f>IFERROR(__xludf.DUMMYFUNCTION("GOOGLETRANSLATE(C151,""fr"",""en"")"),"Unresolved problem. After 33 minutes with an advisor, still no solutions for a connection to the insurer's site. Yet I am confirmed Internet user. I think I was not understood")</f>
        <v>Unresolved problem. After 33 minutes with an advisor, still no solutions for a connection to the insurer's site. Yet I am confirmed Internet user. I think I was not understood</v>
      </c>
    </row>
    <row r="152" ht="15.75" customHeight="1">
      <c r="B152" s="2" t="s">
        <v>494</v>
      </c>
      <c r="C152" s="2" t="s">
        <v>495</v>
      </c>
      <c r="D152" s="2" t="s">
        <v>359</v>
      </c>
      <c r="E152" s="2" t="s">
        <v>360</v>
      </c>
      <c r="F152" s="2" t="s">
        <v>15</v>
      </c>
      <c r="G152" s="2" t="s">
        <v>496</v>
      </c>
      <c r="H152" s="2" t="s">
        <v>74</v>
      </c>
      <c r="I152" s="2" t="str">
        <f>IFERROR(__xludf.DUMMYFUNCTION("GOOGLETRANSLATE(C152,""fr"",""en"")"),"Saliha was very attentive and advised me perfectly.
She had promised to remind me of taking information and she held there by giving me all the answers to my questions.
Thank you again, top")</f>
        <v>Saliha was very attentive and advised me perfectly.
She had promised to remind me of taking information and she held there by giving me all the answers to my questions.
Thank you again, top</v>
      </c>
    </row>
    <row r="153" ht="15.75" customHeight="1">
      <c r="B153" s="2" t="s">
        <v>497</v>
      </c>
      <c r="C153" s="2" t="s">
        <v>498</v>
      </c>
      <c r="D153" s="2" t="s">
        <v>359</v>
      </c>
      <c r="E153" s="2" t="s">
        <v>360</v>
      </c>
      <c r="F153" s="2" t="s">
        <v>15</v>
      </c>
      <c r="G153" s="2" t="s">
        <v>499</v>
      </c>
      <c r="H153" s="2" t="s">
        <v>74</v>
      </c>
      <c r="I153" s="2" t="str">
        <f>IFERROR(__xludf.DUMMYFUNCTION("GOOGLETRANSLATE(C153,""fr"",""en"")"),"Very good mutual and listening and responsive advisers ?? Thanks to Salhia for setting my questions of the day at the top ???? ???? And good prices")</f>
        <v>Very good mutual and listening and responsive advisers ?? Thanks to Salhia for setting my questions of the day at the top ???? ???? And good prices</v>
      </c>
    </row>
    <row r="154" ht="15.75" customHeight="1">
      <c r="B154" s="2" t="s">
        <v>500</v>
      </c>
      <c r="C154" s="2" t="s">
        <v>501</v>
      </c>
      <c r="D154" s="2" t="s">
        <v>359</v>
      </c>
      <c r="E154" s="2" t="s">
        <v>360</v>
      </c>
      <c r="F154" s="2" t="s">
        <v>15</v>
      </c>
      <c r="G154" s="2" t="s">
        <v>502</v>
      </c>
      <c r="H154" s="2" t="s">
        <v>74</v>
      </c>
      <c r="I154" s="2" t="str">
        <f>IFERROR(__xludf.DUMMYFUNCTION("GOOGLETRANSLATE(C154,""fr"",""en"")"),"Thanks to Émeline who answered me on the phone today
Obtained all the requested information
Very pleasant and efficient person
Thanks very much
Alain Lohmann")</f>
        <v>Thanks to Émeline who answered me on the phone today
Obtained all the requested information
Very pleasant and efficient person
Thanks very much
Alain Lohmann</v>
      </c>
    </row>
    <row r="155" ht="15.75" customHeight="1">
      <c r="B155" s="2" t="s">
        <v>503</v>
      </c>
      <c r="C155" s="2" t="s">
        <v>504</v>
      </c>
      <c r="D155" s="2" t="s">
        <v>359</v>
      </c>
      <c r="E155" s="2" t="s">
        <v>360</v>
      </c>
      <c r="F155" s="2" t="s">
        <v>15</v>
      </c>
      <c r="G155" s="2" t="s">
        <v>505</v>
      </c>
      <c r="H155" s="2" t="s">
        <v>74</v>
      </c>
      <c r="I155" s="2" t="str">
        <f>IFERROR(__xludf.DUMMYFUNCTION("GOOGLETRANSLATE(C155,""fr"",""en"")"),"Excellent exchange with Emeline de Santiane An precious help and friendly welcome Certain call centers would do well to take seed.")</f>
        <v>Excellent exchange with Emeline de Santiane An precious help and friendly welcome Certain call centers would do well to take seed.</v>
      </c>
    </row>
    <row r="156" ht="15.75" customHeight="1">
      <c r="B156" s="2" t="s">
        <v>506</v>
      </c>
      <c r="C156" s="2" t="s">
        <v>507</v>
      </c>
      <c r="D156" s="2" t="s">
        <v>359</v>
      </c>
      <c r="E156" s="2" t="s">
        <v>360</v>
      </c>
      <c r="F156" s="2" t="s">
        <v>15</v>
      </c>
      <c r="G156" s="2" t="s">
        <v>508</v>
      </c>
      <c r="H156" s="2" t="s">
        <v>74</v>
      </c>
      <c r="I156" s="2" t="str">
        <f>IFERROR(__xludf.DUMMYFUNCTION("GOOGLETRANSLATE(C156,""fr"",""en"")"),"I called. Maria helped me solve my connection problem. And she waited on the phone while I have manipulations on my PC. Thank you")</f>
        <v>I called. Maria helped me solve my connection problem. And she waited on the phone while I have manipulations on my PC. Thank you</v>
      </c>
    </row>
    <row r="157" ht="15.75" customHeight="1">
      <c r="B157" s="2" t="s">
        <v>509</v>
      </c>
      <c r="C157" s="2" t="s">
        <v>510</v>
      </c>
      <c r="D157" s="2" t="s">
        <v>359</v>
      </c>
      <c r="E157" s="2" t="s">
        <v>360</v>
      </c>
      <c r="F157" s="2" t="s">
        <v>15</v>
      </c>
      <c r="G157" s="2" t="s">
        <v>511</v>
      </c>
      <c r="H157" s="2" t="s">
        <v>74</v>
      </c>
      <c r="I157" s="2" t="str">
        <f>IFERROR(__xludf.DUMMYFUNCTION("GOOGLETRANSLATE(C157,""fr"",""en"")"),"Very warm welcome from Lamia, pleasant, I had the answers to the questions asked. Lamia even answered other questions asked the glasses.")</f>
        <v>Very warm welcome from Lamia, pleasant, I had the answers to the questions asked. Lamia even answered other questions asked the glasses.</v>
      </c>
    </row>
    <row r="158" ht="15.75" customHeight="1">
      <c r="B158" s="2" t="s">
        <v>512</v>
      </c>
      <c r="C158" s="2" t="s">
        <v>513</v>
      </c>
      <c r="D158" s="2" t="s">
        <v>359</v>
      </c>
      <c r="E158" s="2" t="s">
        <v>360</v>
      </c>
      <c r="F158" s="2" t="s">
        <v>15</v>
      </c>
      <c r="G158" s="2" t="s">
        <v>511</v>
      </c>
      <c r="H158" s="2" t="s">
        <v>74</v>
      </c>
      <c r="I158" s="2" t="str">
        <f>IFERROR(__xludf.DUMMYFUNCTION("GOOGLETRANSLATE(C158,""fr"",""en"")"),"I am satisfied with the reception and the service, all my questions have obtained answers and advice on the refunds of optical costs, the hostess was effective and quick to answer my questions.")</f>
        <v>I am satisfied with the reception and the service, all my questions have obtained answers and advice on the refunds of optical costs, the hostess was effective and quick to answer my questions.</v>
      </c>
    </row>
    <row r="159" ht="15.75" customHeight="1">
      <c r="B159" s="2" t="s">
        <v>514</v>
      </c>
      <c r="C159" s="2" t="s">
        <v>515</v>
      </c>
      <c r="D159" s="2" t="s">
        <v>359</v>
      </c>
      <c r="E159" s="2" t="s">
        <v>360</v>
      </c>
      <c r="F159" s="2" t="s">
        <v>15</v>
      </c>
      <c r="G159" s="2" t="s">
        <v>516</v>
      </c>
      <c r="H159" s="2" t="s">
        <v>74</v>
      </c>
      <c r="I159" s="2" t="str">
        <f>IFERROR(__xludf.DUMMYFUNCTION("GOOGLETRANSLATE(C159,""fr"",""en"")"),"I was received by a charming lady who took her time to explain the chosen formula to me, I advise her to anyone. I thank her for the time spent with me. She is very professional.")</f>
        <v>I was received by a charming lady who took her time to explain the chosen formula to me, I advise her to anyone. I thank her for the time spent with me. She is very professional.</v>
      </c>
    </row>
    <row r="160" ht="15.75" customHeight="1">
      <c r="B160" s="2" t="s">
        <v>517</v>
      </c>
      <c r="C160" s="2" t="s">
        <v>518</v>
      </c>
      <c r="D160" s="2" t="s">
        <v>359</v>
      </c>
      <c r="E160" s="2" t="s">
        <v>360</v>
      </c>
      <c r="F160" s="2" t="s">
        <v>15</v>
      </c>
      <c r="G160" s="2" t="s">
        <v>519</v>
      </c>
      <c r="H160" s="2" t="s">
        <v>74</v>
      </c>
      <c r="I160" s="2" t="str">
        <f>IFERROR(__xludf.DUMMYFUNCTION("GOOGLETRANSLATE(C160,""fr"",""en"")"),"Welcome with Widad who gave me a fairly clear and precise answer. Professional contact is pleasant and fast, I recommend this mutual.")</f>
        <v>Welcome with Widad who gave me a fairly clear and precise answer. Professional contact is pleasant and fast, I recommend this mutual.</v>
      </c>
    </row>
    <row r="161" ht="15.75" customHeight="1">
      <c r="B161" s="2" t="s">
        <v>520</v>
      </c>
      <c r="C161" s="2" t="s">
        <v>521</v>
      </c>
      <c r="D161" s="2" t="s">
        <v>359</v>
      </c>
      <c r="E161" s="2" t="s">
        <v>360</v>
      </c>
      <c r="F161" s="2" t="s">
        <v>15</v>
      </c>
      <c r="G161" s="2" t="s">
        <v>74</v>
      </c>
      <c r="H161" s="2" t="s">
        <v>74</v>
      </c>
      <c r="I161" s="2" t="str">
        <f>IFERROR(__xludf.DUMMYFUNCTION("GOOGLETRANSLATE(C161,""fr"",""en"")"),"I am very satisfied with the kindness, explanations and assistance of Maria who helped me well (difficulties in creating my account)
Thanks to her")</f>
        <v>I am very satisfied with the kindness, explanations and assistance of Maria who helped me well (difficulties in creating my account)
Thanks to her</v>
      </c>
    </row>
    <row r="162" ht="15.75" customHeight="1">
      <c r="B162" s="2" t="s">
        <v>522</v>
      </c>
      <c r="C162" s="2" t="s">
        <v>523</v>
      </c>
      <c r="D162" s="2" t="s">
        <v>359</v>
      </c>
      <c r="E162" s="2" t="s">
        <v>360</v>
      </c>
      <c r="F162" s="2" t="s">
        <v>15</v>
      </c>
      <c r="G162" s="2" t="s">
        <v>74</v>
      </c>
      <c r="H162" s="2" t="s">
        <v>74</v>
      </c>
      <c r="I162" s="2" t="str">
        <f>IFERROR(__xludf.DUMMYFUNCTION("GOOGLETRANSLATE(C162,""fr"",""en"")"),"Very nice home. The last communication with Widad was in warm, clear and very available faith. She was attentive to my concerns and knew how to manage my expectations.")</f>
        <v>Very nice home. The last communication with Widad was in warm, clear and very available faith. She was attentive to my concerns and knew how to manage my expectations.</v>
      </c>
    </row>
    <row r="163" ht="15.75" customHeight="1">
      <c r="B163" s="2" t="s">
        <v>524</v>
      </c>
      <c r="C163" s="2" t="s">
        <v>525</v>
      </c>
      <c r="D163" s="2" t="s">
        <v>359</v>
      </c>
      <c r="E163" s="2" t="s">
        <v>360</v>
      </c>
      <c r="F163" s="2" t="s">
        <v>15</v>
      </c>
      <c r="G163" s="2" t="s">
        <v>526</v>
      </c>
      <c r="H163" s="2" t="s">
        <v>84</v>
      </c>
      <c r="I163" s="2" t="str">
        <f>IFERROR(__xludf.DUMMYFUNCTION("GOOGLETRANSLATE(C163,""fr"",""en"")"),"A very good customer service thank you widad I received the documents that I wanted very quickly. a saving of time and money at the moment I am very satisfied")</f>
        <v>A very good customer service thank you widad I received the documents that I wanted very quickly. a saving of time and money at the moment I am very satisfied</v>
      </c>
    </row>
    <row r="164" ht="15.75" customHeight="1">
      <c r="B164" s="2" t="s">
        <v>527</v>
      </c>
      <c r="C164" s="2" t="s">
        <v>528</v>
      </c>
      <c r="D164" s="2" t="s">
        <v>359</v>
      </c>
      <c r="E164" s="2" t="s">
        <v>360</v>
      </c>
      <c r="F164" s="2" t="s">
        <v>15</v>
      </c>
      <c r="G164" s="2" t="s">
        <v>83</v>
      </c>
      <c r="H164" s="2" t="s">
        <v>84</v>
      </c>
      <c r="I164" s="2" t="str">
        <f>IFERROR(__xludf.DUMMYFUNCTION("GOOGLETRANSLATE(C164,""fr"",""en"")"),"I warmly thank Léa, for her kindness, her understanding and the resolution of my request. Otherwise in terms of services, my opinion is a little less enthusiastic.")</f>
        <v>I warmly thank Léa, for her kindness, her understanding and the resolution of my request. Otherwise in terms of services, my opinion is a little less enthusiastic.</v>
      </c>
    </row>
    <row r="165" ht="15.75" customHeight="1">
      <c r="B165" s="2" t="s">
        <v>529</v>
      </c>
      <c r="C165" s="2" t="s">
        <v>530</v>
      </c>
      <c r="D165" s="2" t="s">
        <v>359</v>
      </c>
      <c r="E165" s="2" t="s">
        <v>360</v>
      </c>
      <c r="F165" s="2" t="s">
        <v>15</v>
      </c>
      <c r="G165" s="2" t="s">
        <v>531</v>
      </c>
      <c r="H165" s="2" t="s">
        <v>84</v>
      </c>
      <c r="I165" s="2" t="str">
        <f>IFERROR(__xludf.DUMMYFUNCTION("GOOGLETRANSLATE(C165,""fr"",""en"")"),"Good professional contact with understandable kindness on the phone thank you to Léa who allowed me not to regret having changed my mutual mr laborde")</f>
        <v>Good professional contact with understandable kindness on the phone thank you to Léa who allowed me not to regret having changed my mutual mr laborde</v>
      </c>
    </row>
    <row r="166" ht="15.75" customHeight="1">
      <c r="B166" s="2" t="s">
        <v>532</v>
      </c>
      <c r="C166" s="2" t="s">
        <v>533</v>
      </c>
      <c r="D166" s="2" t="s">
        <v>359</v>
      </c>
      <c r="E166" s="2" t="s">
        <v>360</v>
      </c>
      <c r="F166" s="2" t="s">
        <v>15</v>
      </c>
      <c r="G166" s="2" t="s">
        <v>534</v>
      </c>
      <c r="H166" s="2" t="s">
        <v>84</v>
      </c>
      <c r="I166" s="2" t="str">
        <f>IFERROR(__xludf.DUMMYFUNCTION("GOOGLETRANSLATE(C166,""fr"",""en"")"),"Registration by phone, file mounted in 10 minutes. Very good simple explanations and forced 11.05 a call to for information very very good welcome. good explanation from Laura")</f>
        <v>Registration by phone, file mounted in 10 minutes. Very good simple explanations and forced 11.05 a call to for information very very good welcome. good explanation from Laura</v>
      </c>
    </row>
    <row r="167" ht="15.75" customHeight="1">
      <c r="B167" s="2" t="s">
        <v>535</v>
      </c>
      <c r="C167" s="2" t="s">
        <v>536</v>
      </c>
      <c r="D167" s="2" t="s">
        <v>359</v>
      </c>
      <c r="E167" s="2" t="s">
        <v>360</v>
      </c>
      <c r="F167" s="2" t="s">
        <v>15</v>
      </c>
      <c r="G167" s="2" t="s">
        <v>537</v>
      </c>
      <c r="H167" s="2" t="s">
        <v>91</v>
      </c>
      <c r="I167" s="2" t="str">
        <f>IFERROR(__xludf.DUMMYFUNCTION("GOOGLETRANSLATE(C167,""fr"",""en"")"),"Very effective help from the Emeline advisor who advised me well for my 1st connection to my customer area. She is very pleasant and relevant in her answers")</f>
        <v>Very effective help from the Emeline advisor who advised me well for my 1st connection to my customer area. She is very pleasant and relevant in her answers</v>
      </c>
    </row>
    <row r="168" ht="15.75" customHeight="1">
      <c r="B168" s="2" t="s">
        <v>538</v>
      </c>
      <c r="C168" s="2" t="s">
        <v>539</v>
      </c>
      <c r="D168" s="2" t="s">
        <v>359</v>
      </c>
      <c r="E168" s="2" t="s">
        <v>360</v>
      </c>
      <c r="F168" s="2" t="s">
        <v>15</v>
      </c>
      <c r="G168" s="2" t="s">
        <v>537</v>
      </c>
      <c r="H168" s="2" t="s">
        <v>91</v>
      </c>
      <c r="I168" s="2" t="str">
        <f>IFERROR(__xludf.DUMMYFUNCTION("GOOGLETRANSLATE(C168,""fr"",""en"")"),"Hello,
Good telephone welcome with Alimatou who helps me active my account to access this
Wishing you good reception
have a good day")</f>
        <v>Hello,
Good telephone welcome with Alimatou who helps me active my account to access this
Wishing you good reception
have a good day</v>
      </c>
    </row>
    <row r="169" ht="15.75" customHeight="1">
      <c r="B169" s="2" t="s">
        <v>540</v>
      </c>
      <c r="C169" s="2" t="s">
        <v>541</v>
      </c>
      <c r="D169" s="2" t="s">
        <v>359</v>
      </c>
      <c r="E169" s="2" t="s">
        <v>360</v>
      </c>
      <c r="F169" s="2" t="s">
        <v>15</v>
      </c>
      <c r="G169" s="2" t="s">
        <v>542</v>
      </c>
      <c r="H169" s="2" t="s">
        <v>91</v>
      </c>
      <c r="I169" s="2" t="str">
        <f>IFERROR(__xludf.DUMMYFUNCTION("GOOGLETRANSLATE(C169,""fr"",""en"")"),"Excellent telephone reception of a person named Angélique who was able to respond effectively to my requests, taking the time of the explanations.")</f>
        <v>Excellent telephone reception of a person named Angélique who was able to respond effectively to my requests, taking the time of the explanations.</v>
      </c>
    </row>
    <row r="170" ht="15.75" customHeight="1">
      <c r="B170" s="2" t="s">
        <v>543</v>
      </c>
      <c r="C170" s="2" t="s">
        <v>544</v>
      </c>
      <c r="D170" s="2" t="s">
        <v>359</v>
      </c>
      <c r="E170" s="2" t="s">
        <v>360</v>
      </c>
      <c r="F170" s="2" t="s">
        <v>15</v>
      </c>
      <c r="G170" s="2" t="s">
        <v>542</v>
      </c>
      <c r="H170" s="2" t="s">
        <v>91</v>
      </c>
      <c r="I170" s="2" t="str">
        <f>IFERROR(__xludf.DUMMYFUNCTION("GOOGLETRANSLATE(C170,""fr"",""en"")"),"Moves advisor Santiane very well answered my questions she was perfectly clear and pleasant on the questions and answers that I asked her again for your patience for your patience")</f>
        <v>Moves advisor Santiane very well answered my questions she was perfectly clear and pleasant on the questions and answers that I asked her again for your patience for your patience</v>
      </c>
    </row>
    <row r="171" ht="15.75" customHeight="1">
      <c r="B171" s="2" t="s">
        <v>545</v>
      </c>
      <c r="C171" s="2" t="s">
        <v>546</v>
      </c>
      <c r="D171" s="2" t="s">
        <v>359</v>
      </c>
      <c r="E171" s="2" t="s">
        <v>360</v>
      </c>
      <c r="F171" s="2" t="s">
        <v>15</v>
      </c>
      <c r="G171" s="2" t="s">
        <v>90</v>
      </c>
      <c r="H171" s="2" t="s">
        <v>91</v>
      </c>
      <c r="I171" s="2" t="str">
        <f>IFERROR(__xludf.DUMMYFUNCTION("GOOGLETRANSLATE(C171,""fr"",""en"")"),"Angelique responded with competence and kindness to my requests.
I am very satisfied with his intervention.
His information corresponded to what I expected.")</f>
        <v>Angelique responded with competence and kindness to my requests.
I am very satisfied with his intervention.
His information corresponded to what I expected.</v>
      </c>
    </row>
    <row r="172" ht="15.75" customHeight="1">
      <c r="B172" s="2" t="s">
        <v>547</v>
      </c>
      <c r="C172" s="2" t="s">
        <v>548</v>
      </c>
      <c r="D172" s="2" t="s">
        <v>359</v>
      </c>
      <c r="E172" s="2" t="s">
        <v>360</v>
      </c>
      <c r="F172" s="2" t="s">
        <v>15</v>
      </c>
      <c r="G172" s="2" t="s">
        <v>90</v>
      </c>
      <c r="H172" s="2" t="s">
        <v>91</v>
      </c>
      <c r="I172" s="2" t="str">
        <f>IFERROR(__xludf.DUMMYFUNCTION("GOOGLETRANSLATE(C172,""fr"",""en"")")," A absolutely zero leak as mutual as a mutual is to provide them several times the accounts the invoices paid so either it is not the documents or its puts more than a month for a simple refund while this online teletransmission I even imagine if it would"&amp;" be without the service Customer or done or to make between the fact that he does not understand the requests or that he always responds the same thing you have to wait ...: ..")</f>
        <v> A absolutely zero leak as mutual as a mutual is to provide them several times the accounts the invoices paid so either it is not the documents or its puts more than a month for a simple refund while this online teletransmission I even imagine if it would be without the service Customer or done or to make between the fact that he does not understand the requests or that he always responds the same thing you have to wait ...: ..</v>
      </c>
    </row>
    <row r="173" ht="15.75" customHeight="1">
      <c r="B173" s="2" t="s">
        <v>549</v>
      </c>
      <c r="C173" s="2" t="s">
        <v>550</v>
      </c>
      <c r="D173" s="2" t="s">
        <v>359</v>
      </c>
      <c r="E173" s="2" t="s">
        <v>360</v>
      </c>
      <c r="F173" s="2" t="s">
        <v>15</v>
      </c>
      <c r="G173" s="2" t="s">
        <v>551</v>
      </c>
      <c r="H173" s="2" t="s">
        <v>91</v>
      </c>
      <c r="I173" s="2" t="str">
        <f>IFERROR(__xludf.DUMMYFUNCTION("GOOGLETRANSLATE(C173,""fr"",""en"")"),"Morning
I was received by a lady ""Lamia"" her answers were clear and moreover attentive
Competent
Excellent
Very satisfied with our conversation
")</f>
        <v>Morning
I was received by a lady "Lamia" her answers were clear and moreover attentive
Competent
Excellent
Very satisfied with our conversation
</v>
      </c>
    </row>
    <row r="174" ht="15.75" customHeight="1">
      <c r="B174" s="2" t="s">
        <v>552</v>
      </c>
      <c r="C174" s="2" t="s">
        <v>553</v>
      </c>
      <c r="D174" s="2" t="s">
        <v>359</v>
      </c>
      <c r="E174" s="2" t="s">
        <v>360</v>
      </c>
      <c r="F174" s="2" t="s">
        <v>15</v>
      </c>
      <c r="G174" s="2" t="s">
        <v>554</v>
      </c>
      <c r="H174" s="2" t="s">
        <v>91</v>
      </c>
      <c r="I174" s="2" t="str">
        <f>IFERROR(__xludf.DUMMYFUNCTION("GOOGLETRANSLATE(C174,""fr"",""en"")"),"I compared and I find the prices a little too high compared to the competition, it will be necessary to review in the future for a reduction of around 15% with identical guarantees")</f>
        <v>I compared and I find the prices a little too high compared to the competition, it will be necessary to review in the future for a reduction of around 15% with identical guarantees</v>
      </c>
    </row>
    <row r="175" ht="15.75" customHeight="1">
      <c r="B175" s="2" t="s">
        <v>555</v>
      </c>
      <c r="C175" s="2" t="s">
        <v>556</v>
      </c>
      <c r="D175" s="2" t="s">
        <v>359</v>
      </c>
      <c r="E175" s="2" t="s">
        <v>360</v>
      </c>
      <c r="F175" s="2" t="s">
        <v>15</v>
      </c>
      <c r="G175" s="2" t="s">
        <v>557</v>
      </c>
      <c r="H175" s="2" t="s">
        <v>105</v>
      </c>
      <c r="I175" s="2" t="str">
        <f>IFERROR(__xludf.DUMMYFUNCTION("GOOGLETRANSLATE(C175,""fr"",""en"")"),"A kind advisor named Khadija was able to listen to and provide the answers I expected. Hyper reactive in any time, it has set up solutions to solve my problem.
Good start I hope it continues like this. I recommend Lsantiane
")</f>
        <v>A kind advisor named Khadija was able to listen to and provide the answers I expected. Hyper reactive in any time, it has set up solutions to solve my problem.
Good start I hope it continues like this. I recommend Lsantiane
</v>
      </c>
    </row>
    <row r="176" ht="15.75" customHeight="1">
      <c r="B176" s="2" t="s">
        <v>558</v>
      </c>
      <c r="C176" s="2" t="s">
        <v>559</v>
      </c>
      <c r="D176" s="2" t="s">
        <v>359</v>
      </c>
      <c r="E176" s="2" t="s">
        <v>360</v>
      </c>
      <c r="F176" s="2" t="s">
        <v>15</v>
      </c>
      <c r="G176" s="2" t="s">
        <v>560</v>
      </c>
      <c r="H176" s="2" t="s">
        <v>105</v>
      </c>
      <c r="I176" s="2" t="str">
        <f>IFERROR(__xludf.DUMMYFUNCTION("GOOGLETRANSLATE(C176,""fr"",""en"")"),"Hello.
I would like to thank Éméline for her efficiency and her professionalism as well as her kindness.
Cordially.
Madame LENORRY Dominique.
PS: I will not say so much of Oliane Santé.")</f>
        <v>Hello.
I would like to thank Éméline for her efficiency and her professionalism as well as her kindness.
Cordially.
Madame LENORRY Dominique.
PS: I will not say so much of Oliane Santé.</v>
      </c>
    </row>
    <row r="177" ht="15.75" customHeight="1">
      <c r="B177" s="2" t="s">
        <v>561</v>
      </c>
      <c r="C177" s="2" t="s">
        <v>562</v>
      </c>
      <c r="D177" s="2" t="s">
        <v>359</v>
      </c>
      <c r="E177" s="2" t="s">
        <v>360</v>
      </c>
      <c r="F177" s="2" t="s">
        <v>15</v>
      </c>
      <c r="G177" s="2" t="s">
        <v>563</v>
      </c>
      <c r="H177" s="2" t="s">
        <v>105</v>
      </c>
      <c r="I177" s="2" t="str">
        <f>IFERROR(__xludf.DUMMYFUNCTION("GOOGLETRANSLATE(C177,""fr"",""en"")"),"My interlocutor Pope informed me very well was very clear and above all very available thank you and his work. He was very courteous and answered all my questions everything was very clear he was absolutely competent")</f>
        <v>My interlocutor Pope informed me very well was very clear and above all very available thank you and his work. He was very courteous and answered all my questions everything was very clear he was absolutely competent</v>
      </c>
    </row>
    <row r="178" ht="15.75" customHeight="1">
      <c r="B178" s="2" t="s">
        <v>564</v>
      </c>
      <c r="C178" s="2" t="s">
        <v>565</v>
      </c>
      <c r="D178" s="2" t="s">
        <v>359</v>
      </c>
      <c r="E178" s="2" t="s">
        <v>360</v>
      </c>
      <c r="F178" s="2" t="s">
        <v>15</v>
      </c>
      <c r="G178" s="2" t="s">
        <v>566</v>
      </c>
      <c r="H178" s="2" t="s">
        <v>105</v>
      </c>
      <c r="I178" s="2" t="str">
        <f>IFERROR(__xludf.DUMMYFUNCTION("GOOGLETRANSLATE(C178,""fr"",""en"")"),"good welcome
clear answer and meeting my expectations
Only downside ""the number of responses to type on the phone to have an interlocutor""
Otherwise once in contact I had very welcome
")</f>
        <v>good welcome
clear answer and meeting my expectations
Only downside "the number of responses to type on the phone to have an interlocutor"
Otherwise once in contact I had very welcome
</v>
      </c>
    </row>
    <row r="179" ht="15.75" customHeight="1">
      <c r="B179" s="2" t="s">
        <v>567</v>
      </c>
      <c r="C179" s="2" t="s">
        <v>568</v>
      </c>
      <c r="D179" s="2" t="s">
        <v>359</v>
      </c>
      <c r="E179" s="2" t="s">
        <v>360</v>
      </c>
      <c r="F179" s="2" t="s">
        <v>15</v>
      </c>
      <c r="G179" s="2" t="s">
        <v>569</v>
      </c>
      <c r="H179" s="2" t="s">
        <v>105</v>
      </c>
      <c r="I179" s="2" t="str">
        <f>IFERROR(__xludf.DUMMYFUNCTION("GOOGLETRANSLATE(C179,""fr"",""en"")"),"New member, I don't have enough perspective to transmit an opinion.
However, despite the wait on the phone, my interlocutor Oumou was very clear and very courteous. The answer to my question was resolved in 2 minutes.")</f>
        <v>New member, I don't have enough perspective to transmit an opinion.
However, despite the wait on the phone, my interlocutor Oumou was very clear and very courteous. The answer to my question was resolved in 2 minutes.</v>
      </c>
    </row>
    <row r="180" ht="15.75" customHeight="1">
      <c r="B180" s="2" t="s">
        <v>570</v>
      </c>
      <c r="C180" s="2" t="s">
        <v>571</v>
      </c>
      <c r="D180" s="2" t="s">
        <v>359</v>
      </c>
      <c r="E180" s="2" t="s">
        <v>360</v>
      </c>
      <c r="F180" s="2" t="s">
        <v>15</v>
      </c>
      <c r="G180" s="2" t="s">
        <v>569</v>
      </c>
      <c r="H180" s="2" t="s">
        <v>105</v>
      </c>
      <c r="I180" s="2" t="str">
        <f>IFERROR(__xludf.DUMMYFUNCTION("GOOGLETRANSLATE(C180,""fr"",""en"")"),"I thank Emeline who knew how to give me clear explanations and who responded to my request.
Very professional listening and courteous thank you")</f>
        <v>I thank Emeline who knew how to give me clear explanations and who responded to my request.
Very professional listening and courteous thank you</v>
      </c>
    </row>
    <row r="181" ht="15.75" customHeight="1">
      <c r="B181" s="2" t="s">
        <v>572</v>
      </c>
      <c r="C181" s="2" t="s">
        <v>573</v>
      </c>
      <c r="D181" s="2" t="s">
        <v>359</v>
      </c>
      <c r="E181" s="2" t="s">
        <v>360</v>
      </c>
      <c r="F181" s="2" t="s">
        <v>15</v>
      </c>
      <c r="G181" s="2" t="s">
        <v>574</v>
      </c>
      <c r="H181" s="2" t="s">
        <v>105</v>
      </c>
      <c r="I181" s="2" t="str">
        <f>IFERROR(__xludf.DUMMYFUNCTION("GOOGLETRANSLATE(C181,""fr"",""en"")"),"Client since January 14, 2021 since problems.
No answers to my requests. I thought I had to do a competent group. Unfortunately very disappointed with this group.
I hope I will not have a year of galley with you ...")</f>
        <v>Client since January 14, 2021 since problems.
No answers to my requests. I thought I had to do a competent group. Unfortunately very disappointed with this group.
I hope I will not have a year of galley with you ...</v>
      </c>
    </row>
    <row r="182" ht="15.75" customHeight="1">
      <c r="B182" s="2" t="s">
        <v>575</v>
      </c>
      <c r="C182" s="2" t="s">
        <v>576</v>
      </c>
      <c r="D182" s="2" t="s">
        <v>359</v>
      </c>
      <c r="E182" s="2" t="s">
        <v>360</v>
      </c>
      <c r="F182" s="2" t="s">
        <v>15</v>
      </c>
      <c r="G182" s="2" t="s">
        <v>577</v>
      </c>
      <c r="H182" s="2" t="s">
        <v>105</v>
      </c>
      <c r="I182" s="2" t="str">
        <f>IFERROR(__xludf.DUMMYFUNCTION("GOOGLETRANSLATE(C182,""fr"",""en"")"),"For my 1st phone call in Santiane I had Houria on the phone, very nice and pleasant person she was attentive. A big thank you to her.
I hope my concern will be settled as quickly as possible.")</f>
        <v>For my 1st phone call in Santiane I had Houria on the phone, very nice and pleasant person she was attentive. A big thank you to her.
I hope my concern will be settled as quickly as possible.</v>
      </c>
    </row>
    <row r="183" ht="15.75" customHeight="1">
      <c r="B183" s="2" t="s">
        <v>578</v>
      </c>
      <c r="C183" s="2" t="s">
        <v>579</v>
      </c>
      <c r="D183" s="2" t="s">
        <v>359</v>
      </c>
      <c r="E183" s="2" t="s">
        <v>360</v>
      </c>
      <c r="F183" s="2" t="s">
        <v>15</v>
      </c>
      <c r="G183" s="2" t="s">
        <v>580</v>
      </c>
      <c r="H183" s="2" t="s">
        <v>105</v>
      </c>
      <c r="I183" s="2" t="str">
        <f>IFERROR(__xludf.DUMMYFUNCTION("GOOGLETRANSLATE(C183,""fr"",""en"")"),"For a 1st AYA contact was courteous and professional
I opened my account and followed me step by step
I hope in the future to have such a professional correspondent")</f>
        <v>For a 1st AYA contact was courteous and professional
I opened my account and followed me step by step
I hope in the future to have such a professional correspondent</v>
      </c>
    </row>
    <row r="184" ht="15.75" customHeight="1">
      <c r="B184" s="2" t="s">
        <v>581</v>
      </c>
      <c r="C184" s="2" t="s">
        <v>582</v>
      </c>
      <c r="D184" s="2" t="s">
        <v>359</v>
      </c>
      <c r="E184" s="2" t="s">
        <v>360</v>
      </c>
      <c r="F184" s="2" t="s">
        <v>15</v>
      </c>
      <c r="G184" s="2" t="s">
        <v>583</v>
      </c>
      <c r="H184" s="2" t="s">
        <v>105</v>
      </c>
      <c r="I184" s="2" t="str">
        <f>IFERROR(__xludf.DUMMYFUNCTION("GOOGLETRANSLATE(C184,""fr"",""en"")"),"Thanks to Emeline. Very competent, pleasant, conscientious, devoted. That feels good
I called for a problem of transmission of documents which was solved with courtesy.")</f>
        <v>Thanks to Emeline. Very competent, pleasant, conscientious, devoted. That feels good
I called for a problem of transmission of documents which was solved with courtesy.</v>
      </c>
    </row>
    <row r="185" ht="15.75" customHeight="1">
      <c r="B185" s="2" t="s">
        <v>584</v>
      </c>
      <c r="C185" s="2" t="s">
        <v>585</v>
      </c>
      <c r="D185" s="2" t="s">
        <v>359</v>
      </c>
      <c r="E185" s="2" t="s">
        <v>360</v>
      </c>
      <c r="F185" s="2" t="s">
        <v>15</v>
      </c>
      <c r="G185" s="2" t="s">
        <v>586</v>
      </c>
      <c r="H185" s="2" t="s">
        <v>105</v>
      </c>
      <c r="I185" s="2" t="str">
        <f>IFERROR(__xludf.DUMMYFUNCTION("GOOGLETRANSLATE(C185,""fr"",""en"")"),"Following the telephone conversation with Mr. Othman who and helpful and serious and moreover sympathetic met my expectations thank you cordially
")</f>
        <v>Following the telephone conversation with Mr. Othman who and helpful and serious and moreover sympathetic met my expectations thank you cordially
</v>
      </c>
    </row>
    <row r="186" ht="15.75" customHeight="1">
      <c r="B186" s="2" t="s">
        <v>587</v>
      </c>
      <c r="C186" s="2" t="s">
        <v>588</v>
      </c>
      <c r="D186" s="2" t="s">
        <v>359</v>
      </c>
      <c r="E186" s="2" t="s">
        <v>360</v>
      </c>
      <c r="F186" s="2" t="s">
        <v>15</v>
      </c>
      <c r="G186" s="2" t="s">
        <v>108</v>
      </c>
      <c r="H186" s="2" t="s">
        <v>105</v>
      </c>
      <c r="I186" s="2" t="str">
        <f>IFERROR(__xludf.DUMMYFUNCTION("GOOGLETRANSLATE(C186,""fr"",""en"")"),"Mr Pope coded is very competent and also very kind. He will submit my problem of connection to computer technical services to solve the problem. I thank him very much.")</f>
        <v>Mr Pope coded is very competent and also very kind. He will submit my problem of connection to computer technical services to solve the problem. I thank him very much.</v>
      </c>
    </row>
    <row r="187" ht="15.75" customHeight="1">
      <c r="B187" s="2" t="s">
        <v>589</v>
      </c>
      <c r="C187" s="2" t="s">
        <v>590</v>
      </c>
      <c r="D187" s="2" t="s">
        <v>359</v>
      </c>
      <c r="E187" s="2" t="s">
        <v>360</v>
      </c>
      <c r="F187" s="2" t="s">
        <v>15</v>
      </c>
      <c r="G187" s="2" t="s">
        <v>245</v>
      </c>
      <c r="H187" s="2" t="s">
        <v>105</v>
      </c>
      <c r="I187" s="2" t="str">
        <f>IFERROR(__xludf.DUMMYFUNCTION("GOOGLETRANSLATE(C187,""fr"",""en"")"),"I thank Khadija, very attentive, clear explanation and total understanding. Resolution of the problem, o top, too bad to terminate my contract but if I had to stay with this mutual, I would have enjoyed having Khadija on the phone again. A 20/20 for her")</f>
        <v>I thank Khadija, very attentive, clear explanation and total understanding. Resolution of the problem, o top, too bad to terminate my contract but if I had to stay with this mutual, I would have enjoyed having Khadija on the phone again. A 20/20 for her</v>
      </c>
    </row>
    <row r="188" ht="15.75" customHeight="1">
      <c r="B188" s="2" t="s">
        <v>591</v>
      </c>
      <c r="C188" s="2" t="s">
        <v>592</v>
      </c>
      <c r="D188" s="2" t="s">
        <v>359</v>
      </c>
      <c r="E188" s="2" t="s">
        <v>360</v>
      </c>
      <c r="F188" s="2" t="s">
        <v>15</v>
      </c>
      <c r="G188" s="2" t="s">
        <v>593</v>
      </c>
      <c r="H188" s="2" t="s">
        <v>105</v>
      </c>
      <c r="I188" s="2" t="str">
        <f>IFERROR(__xludf.DUMMYFUNCTION("GOOGLETRANSLATE(C188,""fr"",""en"")"),"Advisers to listen to our requests, available (with a slightly long telephone waiting time and waiting music that does not facilitate calm after a few minutes). A will not pretended to solve the problem posed.")</f>
        <v>Advisers to listen to our requests, available (with a slightly long telephone waiting time and waiting music that does not facilitate calm after a few minutes). A will not pretended to solve the problem posed.</v>
      </c>
    </row>
    <row r="189" ht="15.75" customHeight="1">
      <c r="B189" s="2" t="s">
        <v>594</v>
      </c>
      <c r="C189" s="2" t="s">
        <v>595</v>
      </c>
      <c r="D189" s="2" t="s">
        <v>359</v>
      </c>
      <c r="E189" s="2" t="s">
        <v>360</v>
      </c>
      <c r="F189" s="2" t="s">
        <v>15</v>
      </c>
      <c r="G189" s="2" t="s">
        <v>596</v>
      </c>
      <c r="H189" s="2" t="s">
        <v>105</v>
      </c>
      <c r="I189" s="2" t="str">
        <f>IFERROR(__xludf.DUMMYFUNCTION("GOOGLETRANSLATE(C189,""fr"",""en"")"),"I contacted this Néoliane Health day following reimbursements not made. I was very well advised by Hajar who showed patient and listening, but I am not satisfied with this insurance. We have a hard time contacting them either by email or phone. I think I "&amp;"change insurer at the end of my contract.")</f>
        <v>I contacted this Néoliane Health day following reimbursements not made. I was very well advised by Hajar who showed patient and listening, but I am not satisfied with this insurance. We have a hard time contacting them either by email or phone. I think I change insurer at the end of my contract.</v>
      </c>
    </row>
    <row r="190" ht="15.75" customHeight="1">
      <c r="B190" s="2" t="s">
        <v>597</v>
      </c>
      <c r="C190" s="2" t="s">
        <v>598</v>
      </c>
      <c r="D190" s="2" t="s">
        <v>359</v>
      </c>
      <c r="E190" s="2" t="s">
        <v>360</v>
      </c>
      <c r="F190" s="2" t="s">
        <v>15</v>
      </c>
      <c r="G190" s="2" t="s">
        <v>599</v>
      </c>
      <c r="H190" s="2" t="s">
        <v>120</v>
      </c>
      <c r="I190" s="2" t="str">
        <f>IFERROR(__xludf.DUMMYFUNCTION("GOOGLETRANSLATE(C190,""fr"",""en"")"),"This insurance deserves a large detour a advice to flee ...
I was asked by phone to take out a health insurance contract a year ago currently I managed to interrupt it thanks to a broker without that I could not have done so.
Currently I realize that th"&amp;"ey are continizing to take a disability insurance that I have not asked for
They sent me several papers to sign at the time and among there was this famous insurance that is useless when you have life insurance.
It is purely and simply ashamed to see th"&amp;"at and even if I was too confident it is not fair to keep the customers hostage if unfortunately they want to terminate the contract after a year.")</f>
        <v>This insurance deserves a large detour a advice to flee ...
I was asked by phone to take out a health insurance contract a year ago currently I managed to interrupt it thanks to a broker without that I could not have done so.
Currently I realize that they are continizing to take a disability insurance that I have not asked for
They sent me several papers to sign at the time and among there was this famous insurance that is useless when you have life insurance.
It is purely and simply ashamed to see that and even if I was too confident it is not fair to keep the customers hostage if unfortunately they want to terminate the contract after a year.</v>
      </c>
    </row>
    <row r="191" ht="15.75" customHeight="1">
      <c r="B191" s="2" t="s">
        <v>600</v>
      </c>
      <c r="C191" s="2" t="s">
        <v>601</v>
      </c>
      <c r="D191" s="2" t="s">
        <v>359</v>
      </c>
      <c r="E191" s="2" t="s">
        <v>360</v>
      </c>
      <c r="F191" s="2" t="s">
        <v>15</v>
      </c>
      <c r="G191" s="2" t="s">
        <v>602</v>
      </c>
      <c r="H191" s="2" t="s">
        <v>120</v>
      </c>
      <c r="I191" s="2" t="str">
        <f>IFERROR(__xludf.DUMMYFUNCTION("GOOGLETRANSLATE(C191,""fr"",""en"")"),"This is extraordinary at Santiane, I ask you questions by emails and you are unreachable by phone since November no answer so I have just sent a registered letter but I put an unfavorable opinion, you answer right away ....")</f>
        <v>This is extraordinary at Santiane, I ask you questions by emails and you are unreachable by phone since November no answer so I have just sent a registered letter but I put an unfavorable opinion, you answer right away ....</v>
      </c>
    </row>
    <row r="192" ht="15.75" customHeight="1">
      <c r="B192" s="2" t="s">
        <v>603</v>
      </c>
      <c r="C192" s="2" t="s">
        <v>604</v>
      </c>
      <c r="D192" s="2" t="s">
        <v>359</v>
      </c>
      <c r="E192" s="2" t="s">
        <v>360</v>
      </c>
      <c r="F192" s="2" t="s">
        <v>15</v>
      </c>
      <c r="G192" s="2" t="s">
        <v>602</v>
      </c>
      <c r="H192" s="2" t="s">
        <v>120</v>
      </c>
      <c r="I192" s="2" t="str">
        <f>IFERROR(__xludf.DUMMYFUNCTION("GOOGLETRANSLATE(C192,""fr"",""en"")"),"To flee, but absolutely!
It has been several times that I send email with and without letters attached to request an infra-annual termination at this mutual. Employees take a week or more to respond to me each time by negative opinion, on the pretext tha"&amp;"t the letter must be written in hand and sign it. I find that they abuse largely and do so on purpose to make their customers lose as much time as possible and pocket more money as possible, especially since the new termination law, which entered into for"&amp;"ce in December 2020 authorizes the termination request by Any sustainable medium, whether by e-mail or digital way and any other means used at the base to sign the contract. Yesterday, I still received an email, too much, from them telling me that my cont"&amp;"ract was renewed for the second year and that I must send a notice of two me before the end of the second year before to be able to terminate it !!! I think that it is absolutely necessary to denounce this mutual pseudo. Santiane is to be fleeing absolute"&amp;"ly! I will find out more to start legal action against them. I'm waiting for your advice please. A client more than anger and exasperated by the bad liver of Santian")</f>
        <v>To flee, but absolutely!
It has been several times that I send email with and without letters attached to request an infra-annual termination at this mutual. Employees take a week or more to respond to me each time by negative opinion, on the pretext that the letter must be written in hand and sign it. I find that they abuse largely and do so on purpose to make their customers lose as much time as possible and pocket more money as possible, especially since the new termination law, which entered into force in December 2020 authorizes the termination request by Any sustainable medium, whether by e-mail or digital way and any other means used at the base to sign the contract. Yesterday, I still received an email, too much, from them telling me that my contract was renewed for the second year and that I must send a notice of two me before the end of the second year before to be able to terminate it !!! I think that it is absolutely necessary to denounce this mutual pseudo. Santiane is to be fleeing absolutely! I will find out more to start legal action against them. I'm waiting for your advice please. A client more than anger and exasperated by the bad liver of Santian</v>
      </c>
    </row>
    <row r="193" ht="15.75" customHeight="1">
      <c r="B193" s="2" t="s">
        <v>605</v>
      </c>
      <c r="C193" s="2" t="s">
        <v>606</v>
      </c>
      <c r="D193" s="2" t="s">
        <v>359</v>
      </c>
      <c r="E193" s="2" t="s">
        <v>360</v>
      </c>
      <c r="F193" s="2" t="s">
        <v>15</v>
      </c>
      <c r="G193" s="2" t="s">
        <v>607</v>
      </c>
      <c r="H193" s="2" t="s">
        <v>120</v>
      </c>
      <c r="I193" s="2" t="str">
        <f>IFERROR(__xludf.DUMMYFUNCTION("GOOGLETRANSLATE(C193,""fr"",""en"")"),"I subscribed to a mutual through Santiane in December after several insistent calls from them. But looking at the negative opinions, I quickly retracted. Except that a first levy was made on my account. I asked for a refund and blocked the creditor. And t"&amp;"he I have just received a recovery letter because their sample was blocked. Even if my contract is not effective, they continue to try to take me. Run away! Run away")</f>
        <v>I subscribed to a mutual through Santiane in December after several insistent calls from them. But looking at the negative opinions, I quickly retracted. Except that a first levy was made on my account. I asked for a refund and blocked the creditor. And the I have just received a recovery letter because their sample was blocked. Even if my contract is not effective, they continue to try to take me. Run away! Run away</v>
      </c>
    </row>
    <row r="194" ht="15.75" customHeight="1">
      <c r="B194" s="2" t="s">
        <v>608</v>
      </c>
      <c r="C194" s="2" t="s">
        <v>609</v>
      </c>
      <c r="D194" s="2" t="s">
        <v>359</v>
      </c>
      <c r="E194" s="2" t="s">
        <v>360</v>
      </c>
      <c r="F194" s="2" t="s">
        <v>15</v>
      </c>
      <c r="G194" s="2" t="s">
        <v>610</v>
      </c>
      <c r="H194" s="2" t="s">
        <v>120</v>
      </c>
      <c r="I194" s="2" t="str">
        <f>IFERROR(__xludf.DUMMYFUNCTION("GOOGLETRANSLATE(C194,""fr"",""en"")"),"I took this mutual a year ago because it seemed interesting to me, but the level of reimbursement is not at all satisfactory. When I called to increase my guarantees for a somewhat high reimbursement of glasses, I was told that this was not possible becau"&amp;"se the change would take time. And when I wanted to terminate my contract, I am announced that I have to wait for the anniversary month !!!!! So here I am stuck for another year !!!! I do not recommend this mutual insurance at all !!!! I am Furax !!!")</f>
        <v>I took this mutual a year ago because it seemed interesting to me, but the level of reimbursement is not at all satisfactory. When I called to increase my guarantees for a somewhat high reimbursement of glasses, I was told that this was not possible because the change would take time. And when I wanted to terminate my contract, I am announced that I have to wait for the anniversary month !!!!! So here I am stuck for another year !!!! I do not recommend this mutual insurance at all !!!! I am Furax !!!</v>
      </c>
    </row>
    <row r="195" ht="15.75" customHeight="1">
      <c r="B195" s="2" t="s">
        <v>611</v>
      </c>
      <c r="C195" s="2" t="s">
        <v>612</v>
      </c>
      <c r="D195" s="2" t="s">
        <v>359</v>
      </c>
      <c r="E195" s="2" t="s">
        <v>360</v>
      </c>
      <c r="F195" s="2" t="s">
        <v>15</v>
      </c>
      <c r="G195" s="2" t="s">
        <v>613</v>
      </c>
      <c r="H195" s="2" t="s">
        <v>277</v>
      </c>
      <c r="I195" s="2" t="str">
        <f>IFERROR(__xludf.DUMMYFUNCTION("GOOGLETRANSLATE(C195,""fr"",""en"")"),"- an increase of more than € 37 per month since January!
- Impossible to have them on the phone
- Dentist quote sent for 1 week, no answer!
")</f>
        <v>- an increase of more than € 37 per month since January!
- Impossible to have them on the phone
- Dentist quote sent for 1 week, no answer!
</v>
      </c>
    </row>
    <row r="196" ht="15.75" customHeight="1">
      <c r="B196" s="2" t="s">
        <v>614</v>
      </c>
      <c r="C196" s="2" t="s">
        <v>615</v>
      </c>
      <c r="D196" s="2" t="s">
        <v>359</v>
      </c>
      <c r="E196" s="2" t="s">
        <v>360</v>
      </c>
      <c r="F196" s="2" t="s">
        <v>15</v>
      </c>
      <c r="G196" s="2" t="s">
        <v>616</v>
      </c>
      <c r="H196" s="2" t="s">
        <v>126</v>
      </c>
      <c r="I196" s="2" t="str">
        <f>IFERROR(__xludf.DUMMYFUNCTION("GOOGLETRANSLATE(C196,""fr"",""en"")"),"advise her very well, listening, calm and effective
The difficult prices to judge too many proposals. This remains satisfactory since we remain
A good 14 out of 20")</f>
        <v>advise her very well, listening, calm and effective
The difficult prices to judge too many proposals. This remains satisfactory since we remain
A good 14 out of 20</v>
      </c>
    </row>
    <row r="197" ht="15.75" customHeight="1">
      <c r="B197" s="2" t="s">
        <v>617</v>
      </c>
      <c r="C197" s="2" t="s">
        <v>618</v>
      </c>
      <c r="D197" s="2" t="s">
        <v>359</v>
      </c>
      <c r="E197" s="2" t="s">
        <v>360</v>
      </c>
      <c r="F197" s="2" t="s">
        <v>15</v>
      </c>
      <c r="G197" s="2" t="s">
        <v>619</v>
      </c>
      <c r="H197" s="2" t="s">
        <v>126</v>
      </c>
      <c r="I197" s="2" t="str">
        <f>IFERROR(__xludf.DUMMYFUNCTION("GOOGLETRANSLATE(C197,""fr"",""en"")"),"Intrusting telephone canvassing: 5 calls in less than an hour yesterday, 3 calls that day at mealtime and the Santian worker Laughs when I pointed out to him the number of calls
Band of Charlots!")</f>
        <v>Intrusting telephone canvassing: 5 calls in less than an hour yesterday, 3 calls that day at mealtime and the Santian worker Laughs when I pointed out to him the number of calls
Band of Charlots!</v>
      </c>
    </row>
    <row r="198" ht="15.75" customHeight="1">
      <c r="B198" s="2" t="s">
        <v>620</v>
      </c>
      <c r="C198" s="2" t="s">
        <v>621</v>
      </c>
      <c r="D198" s="2" t="s">
        <v>359</v>
      </c>
      <c r="E198" s="2" t="s">
        <v>360</v>
      </c>
      <c r="F198" s="2" t="s">
        <v>15</v>
      </c>
      <c r="G198" s="2" t="s">
        <v>125</v>
      </c>
      <c r="H198" s="2" t="s">
        <v>126</v>
      </c>
      <c r="I198" s="2" t="str">
        <f>IFERROR(__xludf.DUMMYFUNCTION("GOOGLETRANSLATE(C198,""fr"",""en"")"),"Hello,
Very unhappy. I terminated my mutual insurance company because I subscribed to the mutual insurance company. There is no worries the termination was taken into account. I had in this same contract, a contract for the IJH that they did not take i"&amp;"nto account in the termination.
I therefore sent them an LRAR electronically on 10/20/20 to terminate this contract due on 12/31/20. They received it on 10/22/20.
09/12/20 Santiane replies that they cannot give a favorable suite because the electronic s"&amp;"ignature must be original or accompanied by an electronic signature certificate.
")</f>
        <v>Hello,
Very unhappy. I terminated my mutual insurance company because I subscribed to the mutual insurance company. There is no worries the termination was taken into account. I had in this same contract, a contract for the IJH that they did not take into account in the termination.
I therefore sent them an LRAR electronically on 10/20/20 to terminate this contract due on 12/31/20. They received it on 10/22/20.
09/12/20 Santiane replies that they cannot give a favorable suite because the electronic signature must be original or accompanied by an electronic signature certificate.
</v>
      </c>
    </row>
    <row r="199" ht="15.75" customHeight="1">
      <c r="B199" s="2" t="s">
        <v>622</v>
      </c>
      <c r="C199" s="2" t="s">
        <v>623</v>
      </c>
      <c r="D199" s="2" t="s">
        <v>359</v>
      </c>
      <c r="E199" s="2" t="s">
        <v>360</v>
      </c>
      <c r="F199" s="2" t="s">
        <v>15</v>
      </c>
      <c r="G199" s="2" t="s">
        <v>125</v>
      </c>
      <c r="H199" s="2" t="s">
        <v>126</v>
      </c>
      <c r="I199" s="2" t="str">
        <f>IFERROR(__xludf.DUMMYFUNCTION("GOOGLETRANSLATE(C199,""fr"",""en"")"),"Save yourself !! Flee, give your money to a mutual that really has one !!
Nonexistent customer service, on the other hand to take money and increase your prices they are there !! No problem solving, we swing the service ball in service.
I explain to y"&amp;"ou, I gave birth on July 14, 2020, I updated my card, Santiane has of course increased my price as of the following month 150 €/month, they send me a provisional card until October 10, 2020 (I still don't have a final card) Meanwhile my baby undergoes an "&amp;"operation, and he is hospitalized.
By admission to the hospital, the secretary realizes that my card is valid until 10/10/2020.
I call Santiane, because I need my mutual card, the super customer service #IRonie sends me a card directly but on the date o"&amp;"f November 23.
My daughter had surgery care between October 10 and November 23 !! Impossible for them to send me care, or to edit a mutual card that begins on October 10! I am asked to put forward costs when I am levy € 150 per month !!
No care will be "&amp;"taken care of between October 10 and November 23 because it is up to me to claim my mutual card in time after customer service! We are on December 10 I have still received nothing !! We do not require that I pay care, surgeries and that I send them the in"&amp;"voices, no advance of costs will be made on my side because I Jevpaye 150 € per month for a service nonexistent!
According to customer service it is up to me to restart to request a provisional card no to them to send it to me in time. In this sense and "&amp;"as I was told I did not do my recovery work !! They will not send me any document or care, however the samples are taken.
I decided to file a complaint, and of course I terminate my contract and block the direct debits until a competent person who unders"&amp;"tands the French recalls !!
In addition to having customer service with people who tell you bullshit, you never take the requested services (card or complaints service).
Flee this mutual !!! These are only incompetents who refer the ball, with a more th"&amp;"an mediocre customer service, give your money elsewhere
")</f>
        <v>Save yourself !! Flee, give your money to a mutual that really has one !!
Nonexistent customer service, on the other hand to take money and increase your prices they are there !! No problem solving, we swing the service ball in service.
I explain to you, I gave birth on July 14, 2020, I updated my card, Santiane has of course increased my price as of the following month 150 €/month, they send me a provisional card until October 10, 2020 (I still don't have a final card) Meanwhile my baby undergoes an operation, and he is hospitalized.
By admission to the hospital, the secretary realizes that my card is valid until 10/10/2020.
I call Santiane, because I need my mutual card, the super customer service #IRonie sends me a card directly but on the date of November 23.
My daughter had surgery care between October 10 and November 23 !! Impossible for them to send me care, or to edit a mutual card that begins on October 10! I am asked to put forward costs when I am levy € 150 per month !!
No care will be taken care of between October 10 and November 23 because it is up to me to claim my mutual card in time after customer service! We are on December 10 I have still received nothing !! We do not require that I pay care, surgeries and that I send them the invoices, no advance of costs will be made on my side because I Jevpaye 150 € per month for a service nonexistent!
According to customer service it is up to me to restart to request a provisional card no to them to send it to me in time. In this sense and as I was told I did not do my recovery work !! They will not send me any document or care, however the samples are taken.
I decided to file a complaint, and of course I terminate my contract and block the direct debits until a competent person who understands the French recalls !!
In addition to having customer service with people who tell you bullshit, you never take the requested services (card or complaints service).
Flee this mutual !!! These are only incompetents who refer the ball, with a more than mediocre customer service, give your money elsewhere
</v>
      </c>
    </row>
    <row r="200" ht="15.75" customHeight="1">
      <c r="B200" s="2" t="s">
        <v>624</v>
      </c>
      <c r="C200" s="2" t="s">
        <v>625</v>
      </c>
      <c r="D200" s="2" t="s">
        <v>359</v>
      </c>
      <c r="E200" s="2" t="s">
        <v>360</v>
      </c>
      <c r="F200" s="2" t="s">
        <v>15</v>
      </c>
      <c r="G200" s="2" t="s">
        <v>626</v>
      </c>
      <c r="H200" s="2" t="s">
        <v>126</v>
      </c>
      <c r="I200" s="2" t="str">
        <f>IFERROR(__xludf.DUMMYFUNCTION("GOOGLETRANSLATE(C200,""fr"",""en"")"),"Kadi, a very pleasant welcome hostess, listening to the member, very professional, very reassuring, very smiling. Excellent conversation.
Cheer!! All is said!!")</f>
        <v>Kadi, a very pleasant welcome hostess, listening to the member, very professional, very reassuring, very smiling. Excellent conversation.
Cheer!! All is said!!</v>
      </c>
    </row>
    <row r="201" ht="15.75" customHeight="1">
      <c r="B201" s="2" t="s">
        <v>627</v>
      </c>
      <c r="C201" s="2" t="s">
        <v>628</v>
      </c>
      <c r="D201" s="2" t="s">
        <v>359</v>
      </c>
      <c r="E201" s="2" t="s">
        <v>360</v>
      </c>
      <c r="F201" s="2" t="s">
        <v>15</v>
      </c>
      <c r="G201" s="2" t="s">
        <v>629</v>
      </c>
      <c r="H201" s="2" t="s">
        <v>630</v>
      </c>
      <c r="I201" s="2" t="str">
        <f>IFERROR(__xludf.DUMMYFUNCTION("GOOGLETRANSLATE(C201,""fr"",""en"")"),"One month that I await a refund (dental costs) of € 84.98 I will leave this mutual.")</f>
        <v>One month that I await a refund (dental costs) of € 84.98 I will leave this mutual.</v>
      </c>
    </row>
    <row r="202" ht="15.75" customHeight="1">
      <c r="B202" s="2" t="s">
        <v>631</v>
      </c>
      <c r="C202" s="2" t="s">
        <v>632</v>
      </c>
      <c r="D202" s="2" t="s">
        <v>359</v>
      </c>
      <c r="E202" s="2" t="s">
        <v>360</v>
      </c>
      <c r="F202" s="2" t="s">
        <v>15</v>
      </c>
      <c r="G202" s="2" t="s">
        <v>633</v>
      </c>
      <c r="H202" s="2" t="s">
        <v>630</v>
      </c>
      <c r="I202" s="2" t="str">
        <f>IFERROR(__xludf.DUMMYFUNCTION("GOOGLETRANSLATE(C202,""fr"",""en"")"),"Flee this mutual, customer monitoring is completely nonexistent. They are neither reachable by phone nor by email. I wish to terminate my contract with them because new mutual with my business and they turn a deaf ear.")</f>
        <v>Flee this mutual, customer monitoring is completely nonexistent. They are neither reachable by phone nor by email. I wish to terminate my contract with them because new mutual with my business and they turn a deaf ear.</v>
      </c>
    </row>
    <row r="203" ht="15.75" customHeight="1">
      <c r="B203" s="2" t="s">
        <v>634</v>
      </c>
      <c r="C203" s="2" t="s">
        <v>635</v>
      </c>
      <c r="D203" s="2" t="s">
        <v>359</v>
      </c>
      <c r="E203" s="2" t="s">
        <v>360</v>
      </c>
      <c r="F203" s="2" t="s">
        <v>15</v>
      </c>
      <c r="G203" s="2" t="s">
        <v>636</v>
      </c>
      <c r="H203" s="2" t="s">
        <v>630</v>
      </c>
      <c r="I203" s="2" t="str">
        <f>IFERROR(__xludf.DUMMYFUNCTION("GOOGLETRANSLATE(C203,""fr"",""en"")"),"Almost impossible to reach on the phone and when you are lucky enough to be in contact with an advisor, he will not be able to respond to an information request concerning the management of exceeding fees.
No more response to my request by email ...
So "&amp;"I terminated my Santiane contract on the anniversary date on 07/7/2020 .... and since then I have taken € 14.40 each month because it was necessary to send two termination requests:
- One in Santiane
- One at Linéa Hospi'accident
Consequence I will be "&amp;"taken by € 14.40 per month for a year more ... Flee this company.")</f>
        <v>Almost impossible to reach on the phone and when you are lucky enough to be in contact with an advisor, he will not be able to respond to an information request concerning the management of exceeding fees.
No more response to my request by email ...
So I terminated my Santiane contract on the anniversary date on 07/7/2020 .... and since then I have taken € 14.40 each month because it was necessary to send two termination requests:
- One in Santiane
- One at Linéa Hospi'accident
Consequence I will be taken by € 14.40 per month for a year more ... Flee this company.</v>
      </c>
    </row>
    <row r="204" ht="15.75" customHeight="1">
      <c r="B204" s="2" t="s">
        <v>637</v>
      </c>
      <c r="C204" s="2" t="s">
        <v>638</v>
      </c>
      <c r="D204" s="2" t="s">
        <v>359</v>
      </c>
      <c r="E204" s="2" t="s">
        <v>360</v>
      </c>
      <c r="F204" s="2" t="s">
        <v>15</v>
      </c>
      <c r="G204" s="2" t="s">
        <v>639</v>
      </c>
      <c r="H204" s="2" t="s">
        <v>630</v>
      </c>
      <c r="I204" s="2" t="str">
        <f>IFERROR(__xludf.DUMMYFUNCTION("GOOGLETRANSLATE(C204,""fr"",""en"")"),"Hello
Achraf is a very attentive, friendly, insightful and effective interlocutor especially !!!! He knew how to listen to me and I thank him for his seriousness.
")</f>
        <v>Hello
Achraf is a very attentive, friendly, insightful and effective interlocutor especially !!!! He knew how to listen to me and I thank him for his seriousness.
</v>
      </c>
    </row>
    <row r="205" ht="15.75" customHeight="1">
      <c r="B205" s="2" t="s">
        <v>640</v>
      </c>
      <c r="C205" s="2" t="s">
        <v>641</v>
      </c>
      <c r="D205" s="2" t="s">
        <v>359</v>
      </c>
      <c r="E205" s="2" t="s">
        <v>360</v>
      </c>
      <c r="F205" s="2" t="s">
        <v>15</v>
      </c>
      <c r="G205" s="2" t="s">
        <v>639</v>
      </c>
      <c r="H205" s="2" t="s">
        <v>630</v>
      </c>
      <c r="I205" s="2" t="str">
        <f>IFERROR(__xludf.DUMMYFUNCTION("GOOGLETRANSLATE(C205,""fr"",""en"")"),"A member since 01/01/2020, I have just received my schedule for 2021 and what a stupor, an increase of 20 % - what a shame !!! Especially since this year, I had to have 3 refunds for doctor consultations - I sent a complaint email but of course, no answer"&amp;" for explanation - I can't wait to resign from this mutual, especially since the guarantees are minimal compared to the contribution")</f>
        <v>A member since 01/01/2020, I have just received my schedule for 2021 and what a stupor, an increase of 20 % - what a shame !!! Especially since this year, I had to have 3 refunds for doctor consultations - I sent a complaint email but of course, no answer for explanation - I can't wait to resign from this mutual, especially since the guarantees are minimal compared to the contribution</v>
      </c>
    </row>
    <row r="206" ht="15.75" customHeight="1">
      <c r="B206" s="2" t="s">
        <v>642</v>
      </c>
      <c r="C206" s="2" t="s">
        <v>643</v>
      </c>
      <c r="D206" s="2" t="s">
        <v>359</v>
      </c>
      <c r="E206" s="2" t="s">
        <v>360</v>
      </c>
      <c r="F206" s="2" t="s">
        <v>15</v>
      </c>
      <c r="G206" s="2" t="s">
        <v>644</v>
      </c>
      <c r="H206" s="2" t="s">
        <v>130</v>
      </c>
      <c r="I206" s="2" t="str">
        <f>IFERROR(__xludf.DUMMYFUNCTION("GOOGLETRANSLATE(C206,""fr"",""en"")"),"Following an internet consultation to see a warranty table we were contacted 3 times with an insistence of very bad taste. This insurance broker explaining to us that we were stupid and that we were going to be fooled if we were going elsewhere than with "&amp;"them !!!! This is called telephone harassment bravo")</f>
        <v>Following an internet consultation to see a warranty table we were contacted 3 times with an insistence of very bad taste. This insurance broker explaining to us that we were stupid and that we were going to be fooled if we were going elsewhere than with them !!!! This is called telephone harassment bravo</v>
      </c>
    </row>
    <row r="207" ht="15.75" customHeight="1">
      <c r="B207" s="2" t="s">
        <v>645</v>
      </c>
      <c r="C207" s="2" t="s">
        <v>646</v>
      </c>
      <c r="D207" s="2" t="s">
        <v>359</v>
      </c>
      <c r="E207" s="2" t="s">
        <v>360</v>
      </c>
      <c r="F207" s="2" t="s">
        <v>15</v>
      </c>
      <c r="G207" s="2" t="s">
        <v>647</v>
      </c>
      <c r="H207" s="2" t="s">
        <v>130</v>
      </c>
      <c r="I207" s="2" t="str">
        <f>IFERROR(__xludf.DUMMYFUNCTION("GOOGLETRANSLATE(C207,""fr"",""en"")"),"Not clear contracts, deplorable customer service, lack of information (or erroneous information). Beware of termination because they separate the contracts, you think you have terminated your contract but provident is a second contract. To be avoided abso"&amp;"lutely. I put a star but in fact is 0 star!")</f>
        <v>Not clear contracts, deplorable customer service, lack of information (or erroneous information). Beware of termination because they separate the contracts, you think you have terminated your contract but provident is a second contract. To be avoided absolutely. I put a star but in fact is 0 star!</v>
      </c>
    </row>
    <row r="208" ht="15.75" customHeight="1">
      <c r="B208" s="2" t="s">
        <v>648</v>
      </c>
      <c r="C208" s="2" t="s">
        <v>649</v>
      </c>
      <c r="D208" s="2" t="s">
        <v>359</v>
      </c>
      <c r="E208" s="2" t="s">
        <v>360</v>
      </c>
      <c r="F208" s="2" t="s">
        <v>15</v>
      </c>
      <c r="G208" s="2" t="s">
        <v>650</v>
      </c>
      <c r="H208" s="2" t="s">
        <v>130</v>
      </c>
      <c r="I208" s="2" t="str">
        <f>IFERROR(__xludf.DUMMYFUNCTION("GOOGLETRANSLATE(C208,""fr"",""en"")"),"TO FLEE!!!! Absolutely to flee! Above all, do not make the same mistake as me! Before joining, the broker is present, even omnipresent to call and recall. But ... once the membership is made, Ouh la la! There is not anybody! I sent several quotes but no a"&amp;"nswer! Nothing! It's super frustrating")</f>
        <v>TO FLEE!!!! Absolutely to flee! Above all, do not make the same mistake as me! Before joining, the broker is present, even omnipresent to call and recall. But ... once the membership is made, Ouh la la! There is not anybody! I sent several quotes but no answer! Nothing! It's super frustrating</v>
      </c>
    </row>
    <row r="209" ht="15.75" customHeight="1">
      <c r="B209" s="2" t="s">
        <v>651</v>
      </c>
      <c r="C209" s="2" t="s">
        <v>652</v>
      </c>
      <c r="D209" s="2" t="s">
        <v>359</v>
      </c>
      <c r="E209" s="2" t="s">
        <v>360</v>
      </c>
      <c r="F209" s="2" t="s">
        <v>15</v>
      </c>
      <c r="G209" s="2" t="s">
        <v>650</v>
      </c>
      <c r="H209" s="2" t="s">
        <v>130</v>
      </c>
      <c r="I209" s="2" t="str">
        <f>IFERROR(__xludf.DUMMYFUNCTION("GOOGLETRANSLATE(C209,""fr"",""en"")"),"I came across the advisor named Lamia and I am very satisfied with a listening person and accompanied me in the process requested
")</f>
        <v>I came across the advisor named Lamia and I am very satisfied with a listening person and accompanied me in the process requested
</v>
      </c>
    </row>
    <row r="210" ht="15.75" customHeight="1">
      <c r="B210" s="2" t="s">
        <v>653</v>
      </c>
      <c r="C210" s="2" t="s">
        <v>654</v>
      </c>
      <c r="D210" s="2" t="s">
        <v>359</v>
      </c>
      <c r="E210" s="2" t="s">
        <v>360</v>
      </c>
      <c r="F210" s="2" t="s">
        <v>15</v>
      </c>
      <c r="G210" s="2" t="s">
        <v>650</v>
      </c>
      <c r="H210" s="2" t="s">
        <v>130</v>
      </c>
      <c r="I210" s="2" t="str">
        <f>IFERROR(__xludf.DUMMYFUNCTION("GOOGLETRANSLATE(C210,""fr"",""en"")"),"Comment for Lamia
Very kind person who explained to me and very patient, thank you!
She took the time to look at my situation and explain myself!
")</f>
        <v>Comment for Lamia
Very kind person who explained to me and very patient, thank you!
She took the time to look at my situation and explain myself!
</v>
      </c>
    </row>
    <row r="211" ht="15.75" customHeight="1">
      <c r="B211" s="2" t="s">
        <v>655</v>
      </c>
      <c r="C211" s="2" t="s">
        <v>656</v>
      </c>
      <c r="D211" s="2" t="s">
        <v>359</v>
      </c>
      <c r="E211" s="2" t="s">
        <v>360</v>
      </c>
      <c r="F211" s="2" t="s">
        <v>15</v>
      </c>
      <c r="G211" s="2" t="s">
        <v>657</v>
      </c>
      <c r="H211" s="2" t="s">
        <v>281</v>
      </c>
      <c r="I211" s="2" t="str">
        <f>IFERROR(__xludf.DUMMYFUNCTION("GOOGLETRANSLATE(C211,""fr"",""en"")"),"I asked my questions to the great person and answered my questions by explaining myself well is by being kind super khalid especially with me must be explained it is important")</f>
        <v>I asked my questions to the great person and answered my questions by explaining myself well is by being kind super khalid especially with me must be explained it is important</v>
      </c>
    </row>
    <row r="212" ht="15.75" customHeight="1">
      <c r="B212" s="2" t="s">
        <v>658</v>
      </c>
      <c r="C212" s="2" t="s">
        <v>659</v>
      </c>
      <c r="D212" s="2" t="s">
        <v>359</v>
      </c>
      <c r="E212" s="2" t="s">
        <v>360</v>
      </c>
      <c r="F212" s="2" t="s">
        <v>15</v>
      </c>
      <c r="G212" s="2" t="s">
        <v>660</v>
      </c>
      <c r="H212" s="2" t="s">
        <v>661</v>
      </c>
      <c r="I212" s="2" t="str">
        <f>IFERROR(__xludf.DUMMYFUNCTION("GOOGLETRANSLATE(C212,""fr"",""en"")"),"Following a telephone exchange with Lamia
This person was very pleasant and my very well informed
on my request
very pro
Very pleasant and very nice
Thank you Lamia for this exchange")</f>
        <v>Following a telephone exchange with Lamia
This person was very pleasant and my very well informed
on my request
very pro
Very pleasant and very nice
Thank you Lamia for this exchange</v>
      </c>
    </row>
    <row r="213" ht="15.75" customHeight="1">
      <c r="B213" s="2" t="s">
        <v>662</v>
      </c>
      <c r="C213" s="2" t="s">
        <v>663</v>
      </c>
      <c r="D213" s="2" t="s">
        <v>359</v>
      </c>
      <c r="E213" s="2" t="s">
        <v>360</v>
      </c>
      <c r="F213" s="2" t="s">
        <v>15</v>
      </c>
      <c r="G213" s="2" t="s">
        <v>660</v>
      </c>
      <c r="H213" s="2" t="s">
        <v>661</v>
      </c>
      <c r="I213" s="2" t="str">
        <f>IFERROR(__xludf.DUMMYFUNCTION("GOOGLETRANSLATE(C213,""fr"",""en"")"),"After having a lot of trouble having an interlocutor, the voice box is a horror, I had Houria as an interlocutor and she answered all my questions with kindness and professionalism")</f>
        <v>After having a lot of trouble having an interlocutor, the voice box is a horror, I had Houria as an interlocutor and she answered all my questions with kindness and professionalism</v>
      </c>
    </row>
    <row r="214" ht="15.75" customHeight="1">
      <c r="B214" s="2" t="s">
        <v>664</v>
      </c>
      <c r="C214" s="2" t="s">
        <v>665</v>
      </c>
      <c r="D214" s="2" t="s">
        <v>359</v>
      </c>
      <c r="E214" s="2" t="s">
        <v>360</v>
      </c>
      <c r="F214" s="2" t="s">
        <v>15</v>
      </c>
      <c r="G214" s="2" t="s">
        <v>666</v>
      </c>
      <c r="H214" s="2" t="s">
        <v>661</v>
      </c>
      <c r="I214" s="2" t="str">
        <f>IFERROR(__xludf.DUMMYFUNCTION("GOOGLETRANSLATE(C214,""fr"",""en"")"),"Perfect in communication and in precision; I am consequently satisfied by the answers that I received from Khalid and ready to recommend Santian to those around me")</f>
        <v>Perfect in communication and in precision; I am consequently satisfied by the answers that I received from Khalid and ready to recommend Santian to those around me</v>
      </c>
    </row>
    <row r="215" ht="15.75" customHeight="1">
      <c r="B215" s="2" t="s">
        <v>667</v>
      </c>
      <c r="C215" s="2" t="s">
        <v>668</v>
      </c>
      <c r="D215" s="2" t="s">
        <v>359</v>
      </c>
      <c r="E215" s="2" t="s">
        <v>360</v>
      </c>
      <c r="F215" s="2" t="s">
        <v>15</v>
      </c>
      <c r="G215" s="2" t="s">
        <v>669</v>
      </c>
      <c r="H215" s="2" t="s">
        <v>661</v>
      </c>
      <c r="I215" s="2" t="str">
        <f>IFERROR(__xludf.DUMMYFUNCTION("GOOGLETRANSLATE(C215,""fr"",""en"")"),"I am pleasantly surprised by the skills of my interlocutor who took the time to explain my quote several times. I recommend Santiane to all.")</f>
        <v>I am pleasantly surprised by the skills of my interlocutor who took the time to explain my quote several times. I recommend Santiane to all.</v>
      </c>
    </row>
    <row r="216" ht="15.75" customHeight="1">
      <c r="B216" s="2" t="s">
        <v>670</v>
      </c>
      <c r="C216" s="2" t="s">
        <v>671</v>
      </c>
      <c r="D216" s="2" t="s">
        <v>359</v>
      </c>
      <c r="E216" s="2" t="s">
        <v>360</v>
      </c>
      <c r="F216" s="2" t="s">
        <v>15</v>
      </c>
      <c r="G216" s="2" t="s">
        <v>672</v>
      </c>
      <c r="H216" s="2" t="s">
        <v>134</v>
      </c>
      <c r="I216" s="2" t="str">
        <f>IFERROR(__xludf.DUMMYFUNCTION("GOOGLETRANSLATE(C216,""fr"",""en"")"),"I have been a member since July 1, 2020. When I subscribed to the contract with Santiane for the complementary Linea 4, Linea 4 had to take care of indicating her contact details at the CPAM for remote transmission and cancel my previous mutual of my empl"&amp;"oyer. This was not done, suddenly the two mutuals rided and the remote transmission of care carried out and paid by me could not be done. I rectified this overlap to have only Linea 4 which appears at the level of the CPAM. As the remote transmission coul"&amp;"d not be done, I sent by email on July 12 the CPAM counting to be reimbursed from the additional part. On July 20, still not having an answer, I send an email, the 2 emails have reached the destination. On July 24, after several phone calls that do not wo"&amp;"rk, I finally manage to have a correspondent, surely of a platform in Asia considering the accent of the person. This very friendly lady has a lot of trouble understanding my request, she certifies me that I have already been reimbursed, while she tells m"&amp;"e about the reimbursement of care by the CPAM, then that the healthcare professional was directly reimbursed While it was I who made the advance of the costs, obviously she does not know how to read a CPAM count. Faced with so much incompetence, and after"&amp;" being angry, she tells me that she will find out and remind me. She reminds me later and tells me that I was going to be quickly reimbursed care. Shortly after, I got an email telling me that the same evening I was going to be reimbursed. The surprises a"&amp;"re not completed, my specialist doctor is agreed sector 2 and he signed the OPTAM option with the CPAM. My Linea 4 contract stipulates that medical consultations for fee overruns with a doctor with the OPTAM option are reimbursed at 125% of the CPAM rate,"&amp;" when I look at my count, I was only reimbursed 100% of the CPAM price and no125%, why? I regret a lot of having trusted a beautiful sales speaker who makes me take this complementary health, for a 1st refund, that problems ... I think I will very quickly"&amp;" leave this mutual which does not respond to emails Sent, calls on a telephone platform abroad with sympathetic but incompetent staff. I await the answer to this opinion.")</f>
        <v>I have been a member since July 1, 2020. When I subscribed to the contract with Santiane for the complementary Linea 4, Linea 4 had to take care of indicating her contact details at the CPAM for remote transmission and cancel my previous mutual of my employer. This was not done, suddenly the two mutuals rided and the remote transmission of care carried out and paid by me could not be done. I rectified this overlap to have only Linea 4 which appears at the level of the CPAM. As the remote transmission could not be done, I sent by email on July 12 the CPAM counting to be reimbursed from the additional part. On July 20, still not having an answer, I send an email, the 2 emails have reached the destination. On July 24, after several phone calls that do not work, I finally manage to have a correspondent, surely of a platform in Asia considering the accent of the person. This very friendly lady has a lot of trouble understanding my request, she certifies me that I have already been reimbursed, while she tells me about the reimbursement of care by the CPAM, then that the healthcare professional was directly reimbursed While it was I who made the advance of the costs, obviously she does not know how to read a CPAM count. Faced with so much incompetence, and after being angry, she tells me that she will find out and remind me. She reminds me later and tells me that I was going to be quickly reimbursed care. Shortly after, I got an email telling me that the same evening I was going to be reimbursed. The surprises are not completed, my specialist doctor is agreed sector 2 and he signed the OPTAM option with the CPAM. My Linea 4 contract stipulates that medical consultations for fee overruns with a doctor with the OPTAM option are reimbursed at 125% of the CPAM rate, when I look at my count, I was only reimbursed 100% of the CPAM price and no125%, why? I regret a lot of having trusted a beautiful sales speaker who makes me take this complementary health, for a 1st refund, that problems ... I think I will very quickly leave this mutual which does not respond to emails Sent, calls on a telephone platform abroad with sympathetic but incompetent staff. I await the answer to this opinion.</v>
      </c>
    </row>
    <row r="217" ht="15.75" customHeight="1">
      <c r="B217" s="2" t="s">
        <v>673</v>
      </c>
      <c r="C217" s="2" t="s">
        <v>674</v>
      </c>
      <c r="D217" s="2" t="s">
        <v>359</v>
      </c>
      <c r="E217" s="2" t="s">
        <v>360</v>
      </c>
      <c r="F217" s="2" t="s">
        <v>15</v>
      </c>
      <c r="G217" s="2" t="s">
        <v>675</v>
      </c>
      <c r="H217" s="2" t="s">
        <v>134</v>
      </c>
      <c r="I217" s="2" t="str">
        <f>IFERROR(__xludf.DUMMYFUNCTION("GOOGLETRANSLATE(C217,""fr"",""en"")"),"This is the 2nd year that I subscribed to Santiane and I never had any repayments on my account. I have the impression that they play with my nerves. Despite several emails, mail with acknowledgment of receipt and I have not counts the calls for months, m"&amp;"y problem is still not solved even if each time the interlocutor tells me that they will solve my problem in emergency.
A few months after having subscribed to them, I made a change in domiciliation of bank, every month my contributions are taken from "&amp;"the new and good account number that I provided to them. Except that for my reimbursements he does it on my old account number which is closed. I await my three payments. I strongly advise against this mutual because no respect for my part.")</f>
        <v>This is the 2nd year that I subscribed to Santiane and I never had any repayments on my account. I have the impression that they play with my nerves. Despite several emails, mail with acknowledgment of receipt and I have not counts the calls for months, my problem is still not solved even if each time the interlocutor tells me that they will solve my problem in emergency.
A few months after having subscribed to them, I made a change in domiciliation of bank, every month my contributions are taken from the new and good account number that I provided to them. Except that for my reimbursements he does it on my old account number which is closed. I await my three payments. I strongly advise against this mutual because no respect for my part.</v>
      </c>
    </row>
    <row r="218" ht="15.75" customHeight="1">
      <c r="B218" s="2" t="s">
        <v>676</v>
      </c>
      <c r="C218" s="2" t="s">
        <v>677</v>
      </c>
      <c r="D218" s="2" t="s">
        <v>359</v>
      </c>
      <c r="E218" s="2" t="s">
        <v>360</v>
      </c>
      <c r="F218" s="2" t="s">
        <v>15</v>
      </c>
      <c r="G218" s="2" t="s">
        <v>678</v>
      </c>
      <c r="H218" s="2" t="s">
        <v>134</v>
      </c>
      <c r="I218" s="2" t="str">
        <f>IFERROR(__xludf.DUMMYFUNCTION("GOOGLETRANSLATE(C218,""fr"",""en"")"),"I had to do this morning with Amia who saved me, nice lady who fabulously made her job thank you very much to her.")</f>
        <v>I had to do this morning with Amia who saved me, nice lady who fabulously made her job thank you very much to her.</v>
      </c>
    </row>
    <row r="219" ht="15.75" customHeight="1">
      <c r="B219" s="2" t="s">
        <v>679</v>
      </c>
      <c r="C219" s="2" t="s">
        <v>680</v>
      </c>
      <c r="D219" s="2" t="s">
        <v>359</v>
      </c>
      <c r="E219" s="2" t="s">
        <v>360</v>
      </c>
      <c r="F219" s="2" t="s">
        <v>15</v>
      </c>
      <c r="G219" s="2" t="s">
        <v>134</v>
      </c>
      <c r="H219" s="2" t="s">
        <v>134</v>
      </c>
      <c r="I219" s="2" t="str">
        <f>IFERROR(__xludf.DUMMYFUNCTION("GOOGLETRANSLATE(C219,""fr"",""en"")"),"I was withdrawing to take a mutual by Internet but ultimately it went very well with pleasant interlocutors who know how to respond to our requests.")</f>
        <v>I was withdrawing to take a mutual by Internet but ultimately it went very well with pleasant interlocutors who know how to respond to our requests.</v>
      </c>
    </row>
    <row r="220" ht="15.75" customHeight="1">
      <c r="B220" s="2" t="s">
        <v>681</v>
      </c>
      <c r="C220" s="2" t="s">
        <v>682</v>
      </c>
      <c r="D220" s="2" t="s">
        <v>359</v>
      </c>
      <c r="E220" s="2" t="s">
        <v>360</v>
      </c>
      <c r="F220" s="2" t="s">
        <v>15</v>
      </c>
      <c r="G220" s="2" t="s">
        <v>683</v>
      </c>
      <c r="H220" s="2" t="s">
        <v>684</v>
      </c>
      <c r="I220" s="2" t="str">
        <f>IFERROR(__xludf.DUMMYFUNCTION("GOOGLETRANSLATE(C220,""fr"",""en"")"),"This mutual which is not one is to be avoided absolutely ..................................... ........................")</f>
        <v>This mutual which is not one is to be avoided absolutely ..................................... ........................</v>
      </c>
    </row>
    <row r="221" ht="15.75" customHeight="1">
      <c r="B221" s="2" t="s">
        <v>685</v>
      </c>
      <c r="C221" s="2" t="s">
        <v>686</v>
      </c>
      <c r="D221" s="2" t="s">
        <v>359</v>
      </c>
      <c r="E221" s="2" t="s">
        <v>360</v>
      </c>
      <c r="F221" s="2" t="s">
        <v>15</v>
      </c>
      <c r="G221" s="2" t="s">
        <v>687</v>
      </c>
      <c r="H221" s="2" t="s">
        <v>684</v>
      </c>
      <c r="I221" s="2" t="str">
        <f>IFERROR(__xludf.DUMMYFUNCTION("GOOGLETRANSLATE(C221,""fr"",""en"")"),"They signed a contract to my mother who is under curatorship without the downstream of this one breeds the abuse of weakness in addition now he is slow to close everything")</f>
        <v>They signed a contract to my mother who is under curatorship without the downstream of this one breeds the abuse of weakness in addition now he is slow to close everything</v>
      </c>
    </row>
    <row r="222" ht="15.75" customHeight="1">
      <c r="B222" s="2" t="s">
        <v>688</v>
      </c>
      <c r="C222" s="2" t="s">
        <v>689</v>
      </c>
      <c r="D222" s="2" t="s">
        <v>359</v>
      </c>
      <c r="E222" s="2" t="s">
        <v>360</v>
      </c>
      <c r="F222" s="2" t="s">
        <v>15</v>
      </c>
      <c r="G222" s="2" t="s">
        <v>690</v>
      </c>
      <c r="H222" s="2" t="s">
        <v>691</v>
      </c>
      <c r="I222" s="2" t="str">
        <f>IFERROR(__xludf.DUMMYFUNCTION("GOOGLETRANSLATE(C222,""fr"",""en"")"),"Beware of this mutual. The fact of not having an interlocutor makes the dialogue impossible in the event of a problem. Null customer service, dissociated subscribed contracts making the termination complex or even impossible.")</f>
        <v>Beware of this mutual. The fact of not having an interlocutor makes the dialogue impossible in the event of a problem. Null customer service, dissociated subscribed contracts making the termination complex or even impossible.</v>
      </c>
    </row>
    <row r="223" ht="15.75" customHeight="1">
      <c r="B223" s="2" t="s">
        <v>692</v>
      </c>
      <c r="C223" s="2" t="s">
        <v>693</v>
      </c>
      <c r="D223" s="2" t="s">
        <v>359</v>
      </c>
      <c r="E223" s="2" t="s">
        <v>360</v>
      </c>
      <c r="F223" s="2" t="s">
        <v>15</v>
      </c>
      <c r="G223" s="2" t="s">
        <v>694</v>
      </c>
      <c r="H223" s="2" t="s">
        <v>691</v>
      </c>
      <c r="I223" s="2" t="str">
        <f>IFERROR(__xludf.DUMMYFUNCTION("GOOGLETRANSLATE(C223,""fr"",""en"")"),"Santiane is actually a broker your reimbursements he does not care. Management is mutagement Center for Santian Management. Since January 14, I expect a reimbursements response from mutualization: your refund is well taken into account you must wait (sinc"&amp;"e January 14 = 3 months). In fact mutualization is completely exceeded by the management of mutuals offered by the Santiane broker. Am like the other members strongly on October to terminate this mutual which is not one. JJ Lepez")</f>
        <v>Santiane is actually a broker your reimbursements he does not care. Management is mutagement Center for Santian Management. Since January 14, I expect a reimbursements response from mutualization: your refund is well taken into account you must wait (since January 14 = 3 months). In fact mutualization is completely exceeded by the management of mutuals offered by the Santiane broker. Am like the other members strongly on October to terminate this mutual which is not one. JJ Lepez</v>
      </c>
    </row>
    <row r="224" ht="15.75" customHeight="1">
      <c r="B224" s="2" t="s">
        <v>695</v>
      </c>
      <c r="C224" s="2" t="s">
        <v>696</v>
      </c>
      <c r="D224" s="2" t="s">
        <v>359</v>
      </c>
      <c r="E224" s="2" t="s">
        <v>360</v>
      </c>
      <c r="F224" s="2" t="s">
        <v>15</v>
      </c>
      <c r="G224" s="2" t="s">
        <v>697</v>
      </c>
      <c r="H224" s="2" t="s">
        <v>691</v>
      </c>
      <c r="I224" s="2" t="str">
        <f>IFERROR(__xludf.DUMMYFUNCTION("GOOGLETRANSLATE(C224,""fr"",""en"")"),"New adherent I sent quotes and requests for reimbursement on their site on February 20 taken into account of 25 February and since nothing, unjoingable customer services (waiting for 10 mins then it hangs up, I am at 5 calls! !! at different hours and sur"&amp;"e of the hours recommended!). I just made a complaint on their site but if it is like the rest ... I feel that the year will be long. Strongly termination when you want it will avoid feeling trapped like that ...")</f>
        <v>New adherent I sent quotes and requests for reimbursement on their site on February 20 taken into account of 25 February and since nothing, unjoingable customer services (waiting for 10 mins then it hangs up, I am at 5 calls! !! at different hours and sure of the hours recommended!). I just made a complaint on their site but if it is like the rest ... I feel that the year will be long. Strongly termination when you want it will avoid feeling trapped like that ...</v>
      </c>
    </row>
    <row r="225" ht="15.75" customHeight="1">
      <c r="B225" s="2" t="s">
        <v>698</v>
      </c>
      <c r="C225" s="2" t="s">
        <v>699</v>
      </c>
      <c r="D225" s="2" t="s">
        <v>359</v>
      </c>
      <c r="E225" s="2" t="s">
        <v>360</v>
      </c>
      <c r="F225" s="2" t="s">
        <v>15</v>
      </c>
      <c r="G225" s="2" t="s">
        <v>700</v>
      </c>
      <c r="H225" s="2" t="s">
        <v>691</v>
      </c>
      <c r="I225" s="2" t="str">
        <f>IFERROR(__xludf.DUMMYFUNCTION("GOOGLETRANSLATE(C225,""fr"",""en"")"),"I have been a member since 1/11/2019 ... Following an operation by my husband of 4/11/2019, I have still not been reimbursed !! Lje calls them every week ... At the beginning he did not receive the pieces, I went through the official website (first sendin"&amp;"g on 24/01) ... Then I was provided an email address, hardly more success ... finally I am told that the pieces are there, but after 15 days, I relaunch, and I am told that the remote transmission did not work ... suddenly I send the statements of social "&amp;"security and there. .. Still nothing after 15 days .. Today, I threatened to file a complaint ... in short to avoid at all costs !!! I am thinking of sending my request to stop from my subscription for the day 1/11/2020, you never know ... good luck to al"&amp;"l those who have been trapped")</f>
        <v>I have been a member since 1/11/2019 ... Following an operation by my husband of 4/11/2019, I have still not been reimbursed !! Lje calls them every week ... At the beginning he did not receive the pieces, I went through the official website (first sending on 24/01) ... Then I was provided an email address, hardly more success ... finally I am told that the pieces are there, but after 15 days, I relaunch, and I am told that the remote transmission did not work ... suddenly I send the statements of social security and there. .. Still nothing after 15 days .. Today, I threatened to file a complaint ... in short to avoid at all costs !!! I am thinking of sending my request to stop from my subscription for the day 1/11/2020, you never know ... good luck to all those who have been trapped</v>
      </c>
    </row>
    <row r="226" ht="15.75" customHeight="1">
      <c r="B226" s="2" t="s">
        <v>701</v>
      </c>
      <c r="C226" s="2" t="s">
        <v>702</v>
      </c>
      <c r="D226" s="2" t="s">
        <v>359</v>
      </c>
      <c r="E226" s="2" t="s">
        <v>360</v>
      </c>
      <c r="F226" s="2" t="s">
        <v>15</v>
      </c>
      <c r="G226" s="2" t="s">
        <v>703</v>
      </c>
      <c r="H226" s="2" t="s">
        <v>704</v>
      </c>
      <c r="I226" s="2" t="str">
        <f>IFERROR(__xludf.DUMMYFUNCTION("GOOGLETRANSLATE(C226,""fr"",""en"")"),"Hello, I had Nadege on the phone who knew how to calm my anger in good competent professional on a dental quote, and I would like to fall in the future always on a person like her who knows and best informs members. I wish others to be in relation to this"&amp;" person ..... in any case thank you for everything.")</f>
        <v>Hello, I had Nadege on the phone who knew how to calm my anger in good competent professional on a dental quote, and I would like to fall in the future always on a person like her who knows and best informs members. I wish others to be in relation to this person ..... in any case thank you for everything.</v>
      </c>
    </row>
    <row r="227" ht="15.75" customHeight="1">
      <c r="B227" s="2" t="s">
        <v>705</v>
      </c>
      <c r="C227" s="2" t="s">
        <v>706</v>
      </c>
      <c r="D227" s="2" t="s">
        <v>359</v>
      </c>
      <c r="E227" s="2" t="s">
        <v>360</v>
      </c>
      <c r="F227" s="2" t="s">
        <v>15</v>
      </c>
      <c r="G227" s="2" t="s">
        <v>703</v>
      </c>
      <c r="H227" s="2" t="s">
        <v>704</v>
      </c>
      <c r="I227" s="2" t="str">
        <f>IFERROR(__xludf.DUMMYFUNCTION("GOOGLETRANSLATE(C227,""fr"",""en"")"),"Impossible to have my mutelle on the phone I am in the full blur. I have a contract with a certain sum when I arrived on my account I am debited by more than 10 euros behind I have just learned that I do not exist in their tablet but I am withdrawn a sum "&amp;"of fairly consequent months I am at home For the past two months and on my file there is no reimbursement so I am not part of them but I have been debited and for two months I have come across a respondent who tells me that there are too many people pleas"&amp;"e remind you insure")</f>
        <v>Impossible to have my mutelle on the phone I am in the full blur. I have a contract with a certain sum when I arrived on my account I am debited by more than 10 euros behind I have just learned that I do not exist in their tablet but I am withdrawn a sum of fairly consequent months I am at home For the past two months and on my file there is no reimbursement so I am not part of them but I have been debited and for two months I have come across a respondent who tells me that there are too many people please remind you insure</v>
      </c>
    </row>
    <row r="228" ht="15.75" customHeight="1">
      <c r="B228" s="2" t="s">
        <v>707</v>
      </c>
      <c r="C228" s="2" t="s">
        <v>708</v>
      </c>
      <c r="D228" s="2" t="s">
        <v>359</v>
      </c>
      <c r="E228" s="2" t="s">
        <v>360</v>
      </c>
      <c r="F228" s="2" t="s">
        <v>15</v>
      </c>
      <c r="G228" s="2" t="s">
        <v>709</v>
      </c>
      <c r="H228" s="2" t="s">
        <v>704</v>
      </c>
      <c r="I228" s="2" t="str">
        <f>IFERROR(__xludf.DUMMYFUNCTION("GOOGLETRANSLATE(C228,""fr"",""en"")"),"Congratulations to Nadège for his availability, his sense of relational and especially his diligence to resolve the problem which was posed to us, in this case the reason for my termination following my change of situation (retirement), because the other "&amp;"services De Néoliane does not seem at all in the same state of mind and it is a shame!")</f>
        <v>Congratulations to Nadège for his availability, his sense of relational and especially his diligence to resolve the problem which was posed to us, in this case the reason for my termination following my change of situation (retirement), because the other services De Néoliane does not seem at all in the same state of mind and it is a shame!</v>
      </c>
    </row>
    <row r="229" ht="15.75" customHeight="1">
      <c r="B229" s="2" t="s">
        <v>710</v>
      </c>
      <c r="C229" s="2" t="s">
        <v>711</v>
      </c>
      <c r="D229" s="2" t="s">
        <v>359</v>
      </c>
      <c r="E229" s="2" t="s">
        <v>360</v>
      </c>
      <c r="F229" s="2" t="s">
        <v>15</v>
      </c>
      <c r="G229" s="2" t="s">
        <v>712</v>
      </c>
      <c r="H229" s="2" t="s">
        <v>704</v>
      </c>
      <c r="I229" s="2" t="str">
        <f>IFERROR(__xludf.DUMMYFUNCTION("GOOGLETRANSLATE(C229,""fr"",""en"")"),"Completely opaque system, no detail of the reimbursements, you must always relaunch")</f>
        <v>Completely opaque system, no detail of the reimbursements, you must always relaunch</v>
      </c>
    </row>
    <row r="230" ht="15.75" customHeight="1">
      <c r="B230" s="2" t="s">
        <v>713</v>
      </c>
      <c r="C230" s="2" t="s">
        <v>714</v>
      </c>
      <c r="D230" s="2" t="s">
        <v>359</v>
      </c>
      <c r="E230" s="2" t="s">
        <v>360</v>
      </c>
      <c r="F230" s="2" t="s">
        <v>15</v>
      </c>
      <c r="G230" s="2" t="s">
        <v>715</v>
      </c>
      <c r="H230" s="2" t="s">
        <v>704</v>
      </c>
      <c r="I230" s="2" t="str">
        <f>IFERROR(__xludf.DUMMYFUNCTION("GOOGLETRANSLATE(C230,""fr"",""en"")"),"Today I had Gwendal on the phone to adjust an email address problem that went very well and above all quickly thank you it's great")</f>
        <v>Today I had Gwendal on the phone to adjust an email address problem that went very well and above all quickly thank you it's great</v>
      </c>
    </row>
    <row r="231" ht="15.75" customHeight="1">
      <c r="B231" s="2" t="s">
        <v>716</v>
      </c>
      <c r="C231" s="2" t="s">
        <v>717</v>
      </c>
      <c r="D231" s="2" t="s">
        <v>359</v>
      </c>
      <c r="E231" s="2" t="s">
        <v>360</v>
      </c>
      <c r="F231" s="2" t="s">
        <v>15</v>
      </c>
      <c r="G231" s="2" t="s">
        <v>718</v>
      </c>
      <c r="H231" s="2" t="s">
        <v>704</v>
      </c>
      <c r="I231" s="2" t="str">
        <f>IFERROR(__xludf.DUMMYFUNCTION("GOOGLETRANSLATE(C231,""fr"",""en"")"),"Difficulty having someone on the phone. Very long time between one question by email and the answer approx. Three weeks. We feel very alone !!!")</f>
        <v>Difficulty having someone on the phone. Very long time between one question by email and the answer approx. Three weeks. We feel very alone !!!</v>
      </c>
    </row>
    <row r="232" ht="15.75" customHeight="1">
      <c r="B232" s="2" t="s">
        <v>719</v>
      </c>
      <c r="C232" s="2" t="s">
        <v>720</v>
      </c>
      <c r="D232" s="2" t="s">
        <v>359</v>
      </c>
      <c r="E232" s="2" t="s">
        <v>360</v>
      </c>
      <c r="F232" s="2" t="s">
        <v>15</v>
      </c>
      <c r="G232" s="2" t="s">
        <v>721</v>
      </c>
      <c r="H232" s="2" t="s">
        <v>704</v>
      </c>
      <c r="I232" s="2" t="str">
        <f>IFERROR(__xludf.DUMMYFUNCTION("GOOGLETRANSLATE(C232,""fr"",""en"")"),"Mutual to flee after 5 email send and 3 phone calls for attachment of teletranition to the security always nothing done and he does not try to understand in we did nothing of their customers")</f>
        <v>Mutual to flee after 5 email send and 3 phone calls for attachment of teletranition to the security always nothing done and he does not try to understand in we did nothing of their customers</v>
      </c>
    </row>
    <row r="233" ht="15.75" customHeight="1">
      <c r="B233" s="2" t="s">
        <v>722</v>
      </c>
      <c r="C233" s="2" t="s">
        <v>723</v>
      </c>
      <c r="D233" s="2" t="s">
        <v>359</v>
      </c>
      <c r="E233" s="2" t="s">
        <v>360</v>
      </c>
      <c r="F233" s="2" t="s">
        <v>15</v>
      </c>
      <c r="G233" s="2" t="s">
        <v>724</v>
      </c>
      <c r="H233" s="2" t="s">
        <v>704</v>
      </c>
      <c r="I233" s="2" t="str">
        <f>IFERROR(__xludf.DUMMYFUNCTION("GOOGLETRANSLATE(C233,""fr"",""en"")"),"This manager will do everything to continue to take you from a contract that no longer covers you (departure abroad)")</f>
        <v>This manager will do everything to continue to take you from a contract that no longer covers you (departure abroad)</v>
      </c>
    </row>
    <row r="234" ht="15.75" customHeight="1">
      <c r="B234" s="2" t="s">
        <v>725</v>
      </c>
      <c r="C234" s="2" t="s">
        <v>726</v>
      </c>
      <c r="D234" s="2" t="s">
        <v>359</v>
      </c>
      <c r="E234" s="2" t="s">
        <v>360</v>
      </c>
      <c r="F234" s="2" t="s">
        <v>15</v>
      </c>
      <c r="G234" s="2" t="s">
        <v>704</v>
      </c>
      <c r="H234" s="2" t="s">
        <v>704</v>
      </c>
      <c r="I234" s="2" t="str">
        <f>IFERROR(__xludf.DUMMYFUNCTION("GOOGLETRANSLATE(C234,""fr"",""en"")"),"1 hour waiting to have someone at such and it is never clear the same song. that 'month and I still haven't received my card. A quote which must be reimbursed 100% but in real it is not the case ....")</f>
        <v>1 hour waiting to have someone at such and it is never clear the same song. that 'month and I still haven't received my card. A quote which must be reimbursed 100% but in real it is not the case ....</v>
      </c>
    </row>
    <row r="235" ht="15.75" customHeight="1">
      <c r="B235" s="2" t="s">
        <v>727</v>
      </c>
      <c r="C235" s="2" t="s">
        <v>728</v>
      </c>
      <c r="D235" s="2" t="s">
        <v>359</v>
      </c>
      <c r="E235" s="2" t="s">
        <v>360</v>
      </c>
      <c r="F235" s="2" t="s">
        <v>15</v>
      </c>
      <c r="G235" s="2" t="s">
        <v>729</v>
      </c>
      <c r="H235" s="2" t="s">
        <v>161</v>
      </c>
      <c r="I235" s="2" t="str">
        <f>IFERROR(__xludf.DUMMYFUNCTION("GOOGLETRANSLATE(C235,""fr"",""en"")"),"Gwendal the advisor was very nice know his work I am very satisfied with the information provided")</f>
        <v>Gwendal the advisor was very nice know his work I am very satisfied with the information provided</v>
      </c>
    </row>
    <row r="236" ht="15.75" customHeight="1">
      <c r="B236" s="2" t="s">
        <v>730</v>
      </c>
      <c r="C236" s="2" t="s">
        <v>731</v>
      </c>
      <c r="D236" s="2" t="s">
        <v>359</v>
      </c>
      <c r="E236" s="2" t="s">
        <v>360</v>
      </c>
      <c r="F236" s="2" t="s">
        <v>15</v>
      </c>
      <c r="G236" s="2" t="s">
        <v>732</v>
      </c>
      <c r="H236" s="2" t="s">
        <v>161</v>
      </c>
      <c r="I236" s="2" t="str">
        <f>IFERROR(__xludf.DUMMYFUNCTION("GOOGLETRANSLATE(C236,""fr"",""en"")"),"Hello,
I am very disappointed. After only 3 months, the subscription increased without warning. It's a shame. After several calls and request for an explanation, no one grants themselves to deal with this dispute.")</f>
        <v>Hello,
I am very disappointed. After only 3 months, the subscription increased without warning. It's a shame. After several calls and request for an explanation, no one grants themselves to deal with this dispute.</v>
      </c>
    </row>
    <row r="237" ht="15.75" customHeight="1">
      <c r="B237" s="2" t="s">
        <v>733</v>
      </c>
      <c r="C237" s="2" t="s">
        <v>734</v>
      </c>
      <c r="D237" s="2" t="s">
        <v>359</v>
      </c>
      <c r="E237" s="2" t="s">
        <v>360</v>
      </c>
      <c r="F237" s="2" t="s">
        <v>15</v>
      </c>
      <c r="G237" s="2" t="s">
        <v>735</v>
      </c>
      <c r="H237" s="2" t="s">
        <v>161</v>
      </c>
      <c r="I237" s="2" t="str">
        <f>IFERROR(__xludf.DUMMYFUNCTION("GOOGLETRANSLATE(C237,""fr"",""en"")"),"I had Mr. Leonard Angstrom Super Advisor I highly recommend him passionate knows how advisable a real professional, knows his work ... Bravo!")</f>
        <v>I had Mr. Leonard Angstrom Super Advisor I highly recommend him passionate knows how advisable a real professional, knows his work ... Bravo!</v>
      </c>
    </row>
    <row r="238" ht="15.75" customHeight="1">
      <c r="B238" s="2" t="s">
        <v>736</v>
      </c>
      <c r="C238" s="2" t="s">
        <v>737</v>
      </c>
      <c r="D238" s="2" t="s">
        <v>359</v>
      </c>
      <c r="E238" s="2" t="s">
        <v>360</v>
      </c>
      <c r="F238" s="2" t="s">
        <v>15</v>
      </c>
      <c r="G238" s="2" t="s">
        <v>738</v>
      </c>
      <c r="H238" s="2" t="s">
        <v>249</v>
      </c>
      <c r="I238" s="2" t="str">
        <f>IFERROR(__xludf.DUMMYFUNCTION("GOOGLETRANSLATE(C238,""fr"",""en"")"),"Bravo to Gwendal for his quality of advice listening. I was well informed. He took time to understand what I needed to offer me the best service. It's clear. This is the reason why I chose your service.")</f>
        <v>Bravo to Gwendal for his quality of advice listening. I was well informed. He took time to understand what I needed to offer me the best service. It's clear. This is the reason why I chose your service.</v>
      </c>
    </row>
    <row r="239" ht="15.75" customHeight="1">
      <c r="B239" s="2" t="s">
        <v>739</v>
      </c>
      <c r="C239" s="2" t="s">
        <v>740</v>
      </c>
      <c r="D239" s="2" t="s">
        <v>359</v>
      </c>
      <c r="E239" s="2" t="s">
        <v>360</v>
      </c>
      <c r="F239" s="2" t="s">
        <v>15</v>
      </c>
      <c r="G239" s="2" t="s">
        <v>738</v>
      </c>
      <c r="H239" s="2" t="s">
        <v>249</v>
      </c>
      <c r="I239" s="2" t="str">
        <f>IFERROR(__xludf.DUMMYFUNCTION("GOOGLETRANSLATE(C239,""fr"",""en"")"),"Courtesy and very friendly customer advisers")</f>
        <v>Courtesy and very friendly customer advisers</v>
      </c>
    </row>
    <row r="240" ht="15.75" customHeight="1">
      <c r="B240" s="2" t="s">
        <v>741</v>
      </c>
      <c r="C240" s="2" t="s">
        <v>742</v>
      </c>
      <c r="D240" s="2" t="s">
        <v>359</v>
      </c>
      <c r="E240" s="2" t="s">
        <v>360</v>
      </c>
      <c r="F240" s="2" t="s">
        <v>15</v>
      </c>
      <c r="G240" s="2" t="s">
        <v>743</v>
      </c>
      <c r="H240" s="2" t="s">
        <v>249</v>
      </c>
      <c r="I240" s="2" t="str">
        <f>IFERROR(__xludf.DUMMYFUNCTION("GOOGLETRANSLATE(C240,""fr"",""en"")"),"Very warm telephone reception Yasamina was a great listening to my needs")</f>
        <v>Very warm telephone reception Yasamina was a great listening to my needs</v>
      </c>
    </row>
    <row r="241" ht="15.75" customHeight="1">
      <c r="B241" s="2" t="s">
        <v>744</v>
      </c>
      <c r="C241" s="2" t="s">
        <v>745</v>
      </c>
      <c r="D241" s="2" t="s">
        <v>359</v>
      </c>
      <c r="E241" s="2" t="s">
        <v>360</v>
      </c>
      <c r="F241" s="2" t="s">
        <v>15</v>
      </c>
      <c r="G241" s="2" t="s">
        <v>746</v>
      </c>
      <c r="H241" s="2" t="s">
        <v>747</v>
      </c>
      <c r="I241" s="2" t="str">
        <f>IFERROR(__xludf.DUMMYFUNCTION("GOOGLETRANSLATE(C241,""fr"",""en"")"),"I had Gwendal on the phone for various questions about the care. A pleasant person, who knew how to answer my questions and he even reminded me after inquiring.")</f>
        <v>I had Gwendal on the phone for various questions about the care. A pleasant person, who knew how to answer my questions and he even reminded me after inquiring.</v>
      </c>
    </row>
    <row r="242" ht="15.75" customHeight="1">
      <c r="B242" s="2" t="s">
        <v>748</v>
      </c>
      <c r="C242" s="2" t="s">
        <v>749</v>
      </c>
      <c r="D242" s="2" t="s">
        <v>359</v>
      </c>
      <c r="E242" s="2" t="s">
        <v>360</v>
      </c>
      <c r="F242" s="2" t="s">
        <v>15</v>
      </c>
      <c r="G242" s="2" t="s">
        <v>750</v>
      </c>
      <c r="H242" s="2" t="s">
        <v>747</v>
      </c>
      <c r="I242" s="2" t="str">
        <f>IFERROR(__xludf.DUMMYFUNCTION("GOOGLETRANSLATE(C242,""fr"",""en"")"),"I had Caroline on the phone who took the time to explain all the reimbursements to me and I saw more clearly. Thank you! it was nice")</f>
        <v>I had Caroline on the phone who took the time to explain all the reimbursements to me and I saw more clearly. Thank you! it was nice</v>
      </c>
    </row>
    <row r="243" ht="15.75" customHeight="1">
      <c r="B243" s="2" t="s">
        <v>751</v>
      </c>
      <c r="C243" s="2" t="s">
        <v>752</v>
      </c>
      <c r="D243" s="2" t="s">
        <v>359</v>
      </c>
      <c r="E243" s="2" t="s">
        <v>360</v>
      </c>
      <c r="F243" s="2" t="s">
        <v>15</v>
      </c>
      <c r="G243" s="2" t="s">
        <v>753</v>
      </c>
      <c r="H243" s="2" t="s">
        <v>747</v>
      </c>
      <c r="I243" s="2" t="str">
        <f>IFERROR(__xludf.DUMMYFUNCTION("GOOGLETRANSLATE(C243,""fr"",""en"")"),"Rali was very efficient to answer all my questions.")</f>
        <v>Rali was very efficient to answer all my questions.</v>
      </c>
    </row>
    <row r="244" ht="15.75" customHeight="1">
      <c r="B244" s="2" t="s">
        <v>754</v>
      </c>
      <c r="C244" s="2" t="s">
        <v>755</v>
      </c>
      <c r="D244" s="2" t="s">
        <v>359</v>
      </c>
      <c r="E244" s="2" t="s">
        <v>360</v>
      </c>
      <c r="F244" s="2" t="s">
        <v>15</v>
      </c>
      <c r="G244" s="2" t="s">
        <v>756</v>
      </c>
      <c r="H244" s="2" t="s">
        <v>747</v>
      </c>
      <c r="I244" s="2" t="str">
        <f>IFERROR(__xludf.DUMMYFUNCTION("GOOGLETRANSLATE(C244,""fr"",""en"")"),"Thank you Lamia. Clear and precise answers despite sometimes complicated questions. Listening and sending documents in the minute.")</f>
        <v>Thank you Lamia. Clear and precise answers despite sometimes complicated questions. Listening and sending documents in the minute.</v>
      </c>
    </row>
    <row r="245" ht="15.75" customHeight="1">
      <c r="B245" s="2" t="s">
        <v>757</v>
      </c>
      <c r="C245" s="2" t="s">
        <v>758</v>
      </c>
      <c r="D245" s="2" t="s">
        <v>359</v>
      </c>
      <c r="E245" s="2" t="s">
        <v>360</v>
      </c>
      <c r="F245" s="2" t="s">
        <v>15</v>
      </c>
      <c r="G245" s="2" t="s">
        <v>759</v>
      </c>
      <c r="H245" s="2" t="s">
        <v>165</v>
      </c>
      <c r="I245" s="2" t="str">
        <f>IFERROR(__xludf.DUMMYFUNCTION("GOOGLETRANSLATE(C245,""fr"",""en"")"),"I was particularly well informed by Caroline concerning my future contract in Santiane. This person knows all the data of contracts and very good technician very well.")</f>
        <v>I was particularly well informed by Caroline concerning my future contract in Santiane. This person knows all the data of contracts and very good technician very well.</v>
      </c>
    </row>
    <row r="246" ht="15.75" customHeight="1">
      <c r="B246" s="2" t="s">
        <v>760</v>
      </c>
      <c r="C246" s="2" t="s">
        <v>761</v>
      </c>
      <c r="D246" s="2" t="s">
        <v>359</v>
      </c>
      <c r="E246" s="2" t="s">
        <v>360</v>
      </c>
      <c r="F246" s="2" t="s">
        <v>15</v>
      </c>
      <c r="G246" s="2" t="s">
        <v>762</v>
      </c>
      <c r="H246" s="2" t="s">
        <v>165</v>
      </c>
      <c r="I246" s="2" t="str">
        <f>IFERROR(__xludf.DUMMYFUNCTION("GOOGLETRANSLATE(C246,""fr"",""en"")"),"Interlocutor: Gwendal. Satisfied with this person, takes work seriously, receptive to all my questions. Cordially")</f>
        <v>Interlocutor: Gwendal. Satisfied with this person, takes work seriously, receptive to all my questions. Cordially</v>
      </c>
    </row>
    <row r="247" ht="15.75" customHeight="1">
      <c r="B247" s="2" t="s">
        <v>763</v>
      </c>
      <c r="C247" s="2" t="s">
        <v>764</v>
      </c>
      <c r="D247" s="2" t="s">
        <v>359</v>
      </c>
      <c r="E247" s="2" t="s">
        <v>360</v>
      </c>
      <c r="F247" s="2" t="s">
        <v>15</v>
      </c>
      <c r="G247" s="2" t="s">
        <v>765</v>
      </c>
      <c r="H247" s="2" t="s">
        <v>165</v>
      </c>
      <c r="I247" s="2" t="str">
        <f>IFERROR(__xludf.DUMMYFUNCTION("GOOGLETRANSLATE(C247,""fr"",""en"")"),"Being a new customer, Salima answered my questions very clearly with professionalism and very kindly.")</f>
        <v>Being a new customer, Salima answered my questions very clearly with professionalism and very kindly.</v>
      </c>
    </row>
    <row r="248" ht="15.75" customHeight="1">
      <c r="B248" s="2" t="s">
        <v>766</v>
      </c>
      <c r="C248" s="2" t="s">
        <v>767</v>
      </c>
      <c r="D248" s="2" t="s">
        <v>359</v>
      </c>
      <c r="E248" s="2" t="s">
        <v>360</v>
      </c>
      <c r="F248" s="2" t="s">
        <v>15</v>
      </c>
      <c r="G248" s="2" t="s">
        <v>765</v>
      </c>
      <c r="H248" s="2" t="s">
        <v>165</v>
      </c>
      <c r="I248" s="2" t="str">
        <f>IFERROR(__xludf.DUMMYFUNCTION("GOOGLETRANSLATE(C248,""fr"",""en"")"),"I am very satisfied with my exchange with Ms. Caroline she listened to and she explained my problem to me well she is professional in without work she deserves to be more than a advisor I thank you Caroline and Jesper as soon as I call next time for a con"&amp;"cern it is you who answered me good luck and thank you")</f>
        <v>I am very satisfied with my exchange with Ms. Caroline she listened to and she explained my problem to me well she is professional in without work she deserves to be more than a advisor I thank you Caroline and Jesper as soon as I call next time for a concern it is you who answered me good luck and thank you</v>
      </c>
    </row>
    <row r="249" ht="15.75" customHeight="1">
      <c r="B249" s="2" t="s">
        <v>768</v>
      </c>
      <c r="C249" s="2" t="s">
        <v>769</v>
      </c>
      <c r="D249" s="2" t="s">
        <v>359</v>
      </c>
      <c r="E249" s="2" t="s">
        <v>360</v>
      </c>
      <c r="F249" s="2" t="s">
        <v>15</v>
      </c>
      <c r="G249" s="2" t="s">
        <v>770</v>
      </c>
      <c r="H249" s="2" t="s">
        <v>165</v>
      </c>
      <c r="I249" s="2" t="str">
        <f>IFERROR(__xludf.DUMMYFUNCTION("GOOGLETRANSLATE(C249,""fr"",""en"")"),"I was received by Caroline who processed my request for a mutual card in a very effective way while being courteous and pleasant.")</f>
        <v>I was received by Caroline who processed my request for a mutual card in a very effective way while being courteous and pleasant.</v>
      </c>
    </row>
    <row r="250" ht="15.75" customHeight="1">
      <c r="B250" s="2" t="s">
        <v>771</v>
      </c>
      <c r="C250" s="2" t="s">
        <v>772</v>
      </c>
      <c r="D250" s="2" t="s">
        <v>359</v>
      </c>
      <c r="E250" s="2" t="s">
        <v>360</v>
      </c>
      <c r="F250" s="2" t="s">
        <v>15</v>
      </c>
      <c r="G250" s="2" t="s">
        <v>770</v>
      </c>
      <c r="H250" s="2" t="s">
        <v>165</v>
      </c>
      <c r="I250" s="2" t="str">
        <f>IFERROR(__xludf.DUMMYFUNCTION("GOOGLETRANSLATE(C250,""fr"",""en"")"),"The organization of customer services are somewhat confused, it is impossible to have a quote without sending documents. But customer service is very competent and Caroline, who informed me was very effective and kind.")</f>
        <v>The organization of customer services are somewhat confused, it is impossible to have a quote without sending documents. But customer service is very competent and Caroline, who informed me was very effective and kind.</v>
      </c>
    </row>
    <row r="251" ht="15.75" customHeight="1">
      <c r="B251" s="2" t="s">
        <v>773</v>
      </c>
      <c r="C251" s="2" t="s">
        <v>774</v>
      </c>
      <c r="D251" s="2" t="s">
        <v>359</v>
      </c>
      <c r="E251" s="2" t="s">
        <v>360</v>
      </c>
      <c r="F251" s="2" t="s">
        <v>15</v>
      </c>
      <c r="G251" s="2" t="s">
        <v>775</v>
      </c>
      <c r="H251" s="2" t="s">
        <v>165</v>
      </c>
      <c r="I251" s="2" t="str">
        <f>IFERROR(__xludf.DUMMYFUNCTION("GOOGLETRANSLATE(C251,""fr"",""en"")"),"I was well advisable by Khalid on the other hand on my membership that I signed on 05/12/19 The subscription 174.47 is not the same that he said to me (185.47)")</f>
        <v>I was well advisable by Khalid on the other hand on my membership that I signed on 05/12/19 The subscription 174.47 is not the same that he said to me (185.47)</v>
      </c>
    </row>
    <row r="252" ht="15.75" customHeight="1">
      <c r="B252" s="2" t="s">
        <v>776</v>
      </c>
      <c r="C252" s="2" t="s">
        <v>777</v>
      </c>
      <c r="D252" s="2" t="s">
        <v>359</v>
      </c>
      <c r="E252" s="2" t="s">
        <v>360</v>
      </c>
      <c r="F252" s="2" t="s">
        <v>15</v>
      </c>
      <c r="G252" s="2" t="s">
        <v>778</v>
      </c>
      <c r="H252" s="2" t="s">
        <v>165</v>
      </c>
      <c r="I252" s="2" t="str">
        <f>IFERROR(__xludf.DUMMYFUNCTION("GOOGLETRANSLATE(C252,""fr"",""en"")"),"Sabrina informed me very well on the subject addressed.")</f>
        <v>Sabrina informed me very well on the subject addressed.</v>
      </c>
    </row>
    <row r="253" ht="15.75" customHeight="1">
      <c r="B253" s="2" t="s">
        <v>779</v>
      </c>
      <c r="C253" s="2" t="s">
        <v>780</v>
      </c>
      <c r="D253" s="2" t="s">
        <v>359</v>
      </c>
      <c r="E253" s="2" t="s">
        <v>360</v>
      </c>
      <c r="F253" s="2" t="s">
        <v>15</v>
      </c>
      <c r="G253" s="2" t="s">
        <v>781</v>
      </c>
      <c r="H253" s="2" t="s">
        <v>165</v>
      </c>
      <c r="I253" s="2" t="str">
        <f>IFERROR(__xludf.DUMMYFUNCTION("GOOGLETRANSLATE(C253,""fr"",""en"")"),"For Alison
")</f>
        <v>For Alison
</v>
      </c>
    </row>
    <row r="254" ht="15.75" customHeight="1">
      <c r="B254" s="2" t="s">
        <v>782</v>
      </c>
      <c r="C254" s="2" t="s">
        <v>783</v>
      </c>
      <c r="D254" s="2" t="s">
        <v>359</v>
      </c>
      <c r="E254" s="2" t="s">
        <v>360</v>
      </c>
      <c r="F254" s="2" t="s">
        <v>15</v>
      </c>
      <c r="G254" s="2" t="s">
        <v>784</v>
      </c>
      <c r="H254" s="2" t="s">
        <v>165</v>
      </c>
      <c r="I254" s="2" t="str">
        <f>IFERROR(__xludf.DUMMYFUNCTION("GOOGLETRANSLATE(C254,""fr"",""en"")"),"The Rali advisor was very effective in solving my problem and bringing a solution to it quickly.
Delighted with customer service, thank you for your welcome and your professionalism.")</f>
        <v>The Rali advisor was very effective in solving my problem and bringing a solution to it quickly.
Delighted with customer service, thank you for your welcome and your professionalism.</v>
      </c>
    </row>
    <row r="255" ht="15.75" customHeight="1">
      <c r="B255" s="2" t="s">
        <v>785</v>
      </c>
      <c r="C255" s="2" t="s">
        <v>786</v>
      </c>
      <c r="D255" s="2" t="s">
        <v>359</v>
      </c>
      <c r="E255" s="2" t="s">
        <v>360</v>
      </c>
      <c r="F255" s="2" t="s">
        <v>15</v>
      </c>
      <c r="G255" s="2" t="s">
        <v>164</v>
      </c>
      <c r="H255" s="2" t="s">
        <v>165</v>
      </c>
      <c r="I255" s="2" t="str">
        <f>IFERROR(__xludf.DUMMYFUNCTION("GOOGLETRANSLATE(C255,""fr"",""en"")"),"Thank you to Khalid who was very well seen and was able to solve my quote problem with my optician.")</f>
        <v>Thank you to Khalid who was very well seen and was able to solve my quote problem with my optician.</v>
      </c>
    </row>
    <row r="256" ht="15.75" customHeight="1">
      <c r="B256" s="2" t="s">
        <v>787</v>
      </c>
      <c r="C256" s="2" t="s">
        <v>788</v>
      </c>
      <c r="D256" s="2" t="s">
        <v>359</v>
      </c>
      <c r="E256" s="2" t="s">
        <v>360</v>
      </c>
      <c r="F256" s="2" t="s">
        <v>15</v>
      </c>
      <c r="G256" s="2" t="s">
        <v>789</v>
      </c>
      <c r="H256" s="2" t="s">
        <v>165</v>
      </c>
      <c r="I256" s="2" t="str">
        <f>IFERROR(__xludf.DUMMYFUNCTION("GOOGLETRANSLATE(C256,""fr"",""en"")"),"
The Yasamine advisor was very kind and effective compared to my quote problem. Very compsetant, pleasant and responsive, I am very happy with my exchange with her and she is very smiling on the phone :)")</f>
        <v>
The Yasamine advisor was very kind and effective compared to my quote problem. Very compsetant, pleasant and responsive, I am very happy with my exchange with her and she is very smiling on the phone :)</v>
      </c>
    </row>
    <row r="257" ht="15.75" customHeight="1">
      <c r="B257" s="2" t="s">
        <v>790</v>
      </c>
      <c r="C257" s="2" t="s">
        <v>791</v>
      </c>
      <c r="D257" s="2" t="s">
        <v>359</v>
      </c>
      <c r="E257" s="2" t="s">
        <v>360</v>
      </c>
      <c r="F257" s="2" t="s">
        <v>15</v>
      </c>
      <c r="G257" s="2" t="s">
        <v>789</v>
      </c>
      <c r="H257" s="2" t="s">
        <v>165</v>
      </c>
      <c r="I257" s="2" t="str">
        <f>IFERROR(__xludf.DUMMYFUNCTION("GOOGLETRANSLATE(C257,""fr"",""en"")"),"Very professional and pleasant welcome from Nadège this day which answered all my questions in a minimum of time. Very well.")</f>
        <v>Very professional and pleasant welcome from Nadège this day which answered all my questions in a minimum of time. Very well.</v>
      </c>
    </row>
    <row r="258" ht="15.75" customHeight="1">
      <c r="B258" s="2" t="s">
        <v>792</v>
      </c>
      <c r="C258" s="2" t="s">
        <v>793</v>
      </c>
      <c r="D258" s="2" t="s">
        <v>359</v>
      </c>
      <c r="E258" s="2" t="s">
        <v>360</v>
      </c>
      <c r="F258" s="2" t="s">
        <v>15</v>
      </c>
      <c r="G258" s="2" t="s">
        <v>789</v>
      </c>
      <c r="H258" s="2" t="s">
        <v>165</v>
      </c>
      <c r="I258" s="2" t="str">
        <f>IFERROR(__xludf.DUMMYFUNCTION("GOOGLETRANSLATE(C258,""fr"",""en"")"),"Excellent welcome from Yasamine, who answered my questions very professionally")</f>
        <v>Excellent welcome from Yasamine, who answered my questions very professionally</v>
      </c>
    </row>
    <row r="259" ht="15.75" customHeight="1">
      <c r="B259" s="2" t="s">
        <v>794</v>
      </c>
      <c r="C259" s="2" t="s">
        <v>795</v>
      </c>
      <c r="D259" s="2" t="s">
        <v>359</v>
      </c>
      <c r="E259" s="2" t="s">
        <v>360</v>
      </c>
      <c r="F259" s="2" t="s">
        <v>15</v>
      </c>
      <c r="G259" s="2" t="s">
        <v>796</v>
      </c>
      <c r="H259" s="2" t="s">
        <v>165</v>
      </c>
      <c r="I259" s="2" t="str">
        <f>IFERROR(__xludf.DUMMYFUNCTION("GOOGLETRANSLATE(C259,""fr"",""en"")"),"New member, I cannot exactly qualify the service of this mutual.")</f>
        <v>New member, I cannot exactly qualify the service of this mutual.</v>
      </c>
    </row>
    <row r="260" ht="15.75" customHeight="1">
      <c r="B260" s="2" t="s">
        <v>797</v>
      </c>
      <c r="C260" s="2" t="s">
        <v>798</v>
      </c>
      <c r="D260" s="2" t="s">
        <v>359</v>
      </c>
      <c r="E260" s="2" t="s">
        <v>360</v>
      </c>
      <c r="F260" s="2" t="s">
        <v>15</v>
      </c>
      <c r="G260" s="2" t="s">
        <v>287</v>
      </c>
      <c r="H260" s="2" t="s">
        <v>165</v>
      </c>
      <c r="I260" s="2" t="str">
        <f>IFERROR(__xludf.DUMMYFUNCTION("GOOGLETRANSLATE(C260,""fr"",""en"")"),"Very good telephone contact with Youness. Very patient advisor, not hesitating to take time to run for information to the customer.")</f>
        <v>Very good telephone contact with Youness. Very patient advisor, not hesitating to take time to run for information to the customer.</v>
      </c>
    </row>
    <row r="261" ht="15.75" customHeight="1">
      <c r="B261" s="2" t="s">
        <v>799</v>
      </c>
      <c r="C261" s="2" t="s">
        <v>800</v>
      </c>
      <c r="D261" s="2" t="s">
        <v>359</v>
      </c>
      <c r="E261" s="2" t="s">
        <v>360</v>
      </c>
      <c r="F261" s="2" t="s">
        <v>15</v>
      </c>
      <c r="G261" s="2" t="s">
        <v>801</v>
      </c>
      <c r="H261" s="2" t="s">
        <v>165</v>
      </c>
      <c r="I261" s="2" t="str">
        <f>IFERROR(__xludf.DUMMYFUNCTION("GOOGLETRANSLATE(C261,""fr"",""en"")"),"Khalid answered my question, calm, smiling and friendly on the phone. He tried to solve my problem which I hope will only be a past")</f>
        <v>Khalid answered my question, calm, smiling and friendly on the phone. He tried to solve my problem which I hope will only be a past</v>
      </c>
    </row>
    <row r="262" ht="15.75" customHeight="1">
      <c r="B262" s="2" t="s">
        <v>802</v>
      </c>
      <c r="C262" s="2" t="s">
        <v>803</v>
      </c>
      <c r="D262" s="2" t="s">
        <v>359</v>
      </c>
      <c r="E262" s="2" t="s">
        <v>360</v>
      </c>
      <c r="F262" s="2" t="s">
        <v>15</v>
      </c>
      <c r="G262" s="2" t="s">
        <v>801</v>
      </c>
      <c r="H262" s="2" t="s">
        <v>165</v>
      </c>
      <c r="I262" s="2" t="str">
        <f>IFERROR(__xludf.DUMMYFUNCTION("GOOGLETRANSLATE(C262,""fr"",""en"")"),"time to have a somewhat long advisor but it goes
Very well informed and pleasant has taken time to go to the website")</f>
        <v>time to have a somewhat long advisor but it goes
Very well informed and pleasant has taken time to go to the website</v>
      </c>
    </row>
    <row r="263" ht="15.75" customHeight="1">
      <c r="B263" s="2" t="s">
        <v>804</v>
      </c>
      <c r="C263" s="2" t="s">
        <v>805</v>
      </c>
      <c r="D263" s="2" t="s">
        <v>359</v>
      </c>
      <c r="E263" s="2" t="s">
        <v>360</v>
      </c>
      <c r="F263" s="2" t="s">
        <v>15</v>
      </c>
      <c r="G263" s="2" t="s">
        <v>801</v>
      </c>
      <c r="H263" s="2" t="s">
        <v>165</v>
      </c>
      <c r="I263" s="2" t="str">
        <f>IFERROR(__xludf.DUMMYFUNCTION("GOOGLETRANSLATE(C263,""fr"",""en"")"),"My Mutual will be effective on 01/01/2020")</f>
        <v>My Mutual will be effective on 01/01/2020</v>
      </c>
    </row>
    <row r="264" ht="15.75" customHeight="1">
      <c r="B264" s="2" t="s">
        <v>806</v>
      </c>
      <c r="C264" s="2" t="s">
        <v>807</v>
      </c>
      <c r="D264" s="2" t="s">
        <v>359</v>
      </c>
      <c r="E264" s="2" t="s">
        <v>360</v>
      </c>
      <c r="F264" s="2" t="s">
        <v>15</v>
      </c>
      <c r="G264" s="2" t="s">
        <v>801</v>
      </c>
      <c r="H264" s="2" t="s">
        <v>165</v>
      </c>
      <c r="I264" s="2" t="str">
        <f>IFERROR(__xludf.DUMMYFUNCTION("GOOGLETRANSLATE(C264,""fr"",""en"")"),"Thank you very much to Nadege for her kindness and skill. She reassured me perfectly for the smooth running of my file. In all administrations, there should be kind people like Nadege, and the world would be better. Charly Mamo")</f>
        <v>Thank you very much to Nadege for her kindness and skill. She reassured me perfectly for the smooth running of my file. In all administrations, there should be kind people like Nadege, and the world would be better. Charly Mamo</v>
      </c>
    </row>
    <row r="265" ht="15.75" customHeight="1">
      <c r="B265" s="2" t="s">
        <v>808</v>
      </c>
      <c r="C265" s="2" t="s">
        <v>809</v>
      </c>
      <c r="D265" s="2" t="s">
        <v>359</v>
      </c>
      <c r="E265" s="2" t="s">
        <v>360</v>
      </c>
      <c r="F265" s="2" t="s">
        <v>15</v>
      </c>
      <c r="G265" s="2" t="s">
        <v>810</v>
      </c>
      <c r="H265" s="2" t="s">
        <v>165</v>
      </c>
      <c r="I265" s="2" t="str">
        <f>IFERROR(__xludf.DUMMYFUNCTION("GOOGLETRANSLATE(C265,""fr"",""en"")"),"Hello, very good contact with Gwendal who communicated precise information to me that allow you to be reassured")</f>
        <v>Hello, very good contact with Gwendal who communicated precise information to me that allow you to be reassured</v>
      </c>
    </row>
    <row r="266" ht="15.75" customHeight="1">
      <c r="B266" s="2" t="s">
        <v>811</v>
      </c>
      <c r="C266" s="2" t="s">
        <v>812</v>
      </c>
      <c r="D266" s="2" t="s">
        <v>359</v>
      </c>
      <c r="E266" s="2" t="s">
        <v>360</v>
      </c>
      <c r="F266" s="2" t="s">
        <v>15</v>
      </c>
      <c r="G266" s="2" t="s">
        <v>810</v>
      </c>
      <c r="H266" s="2" t="s">
        <v>165</v>
      </c>
      <c r="I266" s="2" t="str">
        <f>IFERROR(__xludf.DUMMYFUNCTION("GOOGLETRANSLATE(C266,""fr"",""en"")"),"Very good telephone interview with Youness. He knew how to answer my questions.
Insurance offers an interesting price for full coverage according to your desires.")</f>
        <v>Very good telephone interview with Youness. He knew how to answer my questions.
Insurance offers an interesting price for full coverage according to your desires.</v>
      </c>
    </row>
    <row r="267" ht="15.75" customHeight="1">
      <c r="B267" s="2" t="s">
        <v>813</v>
      </c>
      <c r="C267" s="2" t="s">
        <v>814</v>
      </c>
      <c r="D267" s="2" t="s">
        <v>359</v>
      </c>
      <c r="E267" s="2" t="s">
        <v>360</v>
      </c>
      <c r="F267" s="2" t="s">
        <v>15</v>
      </c>
      <c r="G267" s="2" t="s">
        <v>815</v>
      </c>
      <c r="H267" s="2" t="s">
        <v>165</v>
      </c>
      <c r="I267" s="2" t="str">
        <f>IFERROR(__xludf.DUMMYFUNCTION("GOOGLETRANSLATE(C267,""fr"",""en"")"),"I am a new member of Santiane (Linea) I had a very satisfactory exchange with Nadège on the phone")</f>
        <v>I am a new member of Santiane (Linea) I had a very satisfactory exchange with Nadège on the phone</v>
      </c>
    </row>
    <row r="268" ht="15.75" customHeight="1">
      <c r="B268" s="2" t="s">
        <v>816</v>
      </c>
      <c r="C268" s="2" t="s">
        <v>817</v>
      </c>
      <c r="D268" s="2" t="s">
        <v>359</v>
      </c>
      <c r="E268" s="2" t="s">
        <v>360</v>
      </c>
      <c r="F268" s="2" t="s">
        <v>15</v>
      </c>
      <c r="G268" s="2" t="s">
        <v>818</v>
      </c>
      <c r="H268" s="2" t="s">
        <v>165</v>
      </c>
      <c r="I268" s="2" t="str">
        <f>IFERROR(__xludf.DUMMYFUNCTION("GOOGLETRANSLATE(C268,""fr"",""en"")"),"I have subscribed recently and I am not disappointed with all.
I did not know all this mutual, the prices are reasonable
Sympathetic customer services, for my part Caroline, Amandine ...")</f>
        <v>I have subscribed recently and I am not disappointed with all.
I did not know all this mutual, the prices are reasonable
Sympathetic customer services, for my part Caroline, Amandine ...</v>
      </c>
    </row>
    <row r="269" ht="15.75" customHeight="1">
      <c r="B269" s="2" t="s">
        <v>819</v>
      </c>
      <c r="C269" s="2" t="s">
        <v>820</v>
      </c>
      <c r="D269" s="2" t="s">
        <v>359</v>
      </c>
      <c r="E269" s="2" t="s">
        <v>360</v>
      </c>
      <c r="F269" s="2" t="s">
        <v>15</v>
      </c>
      <c r="G269" s="2" t="s">
        <v>821</v>
      </c>
      <c r="H269" s="2" t="s">
        <v>165</v>
      </c>
      <c r="I269" s="2" t="str">
        <f>IFERROR(__xludf.DUMMYFUNCTION("GOOGLETRANSLATE(C269,""fr"",""en"")"),"I would like to thank Caroline for her patience and her advice that allowed me to save time and be reassured. thanks again")</f>
        <v>I would like to thank Caroline for her patience and her advice that allowed me to save time and be reassured. thanks again</v>
      </c>
    </row>
    <row r="270" ht="15.75" customHeight="1">
      <c r="B270" s="2" t="s">
        <v>822</v>
      </c>
      <c r="C270" s="2" t="s">
        <v>823</v>
      </c>
      <c r="D270" s="2" t="s">
        <v>359</v>
      </c>
      <c r="E270" s="2" t="s">
        <v>360</v>
      </c>
      <c r="F270" s="2" t="s">
        <v>15</v>
      </c>
      <c r="G270" s="2" t="s">
        <v>824</v>
      </c>
      <c r="H270" s="2" t="s">
        <v>165</v>
      </c>
      <c r="I270" s="2" t="str">
        <f>IFERROR(__xludf.DUMMYFUNCTION("GOOGLETRANSLATE(C270,""fr"",""en"")"),"Hello,
Quickly established contact as well as the management of demand. Clear and precise explanations with frankness of the Gwendal advisor.
Everything has been resolved in two laps three movements.
")</f>
        <v>Hello,
Quickly established contact as well as the management of demand. Clear and precise explanations with frankness of the Gwendal advisor.
Everything has been resolved in two laps three movements.
</v>
      </c>
    </row>
    <row r="271" ht="15.75" customHeight="1">
      <c r="B271" s="2" t="s">
        <v>825</v>
      </c>
      <c r="C271" s="2" t="s">
        <v>826</v>
      </c>
      <c r="D271" s="2" t="s">
        <v>359</v>
      </c>
      <c r="E271" s="2" t="s">
        <v>360</v>
      </c>
      <c r="F271" s="2" t="s">
        <v>15</v>
      </c>
      <c r="G271" s="2" t="s">
        <v>827</v>
      </c>
      <c r="H271" s="2" t="s">
        <v>165</v>
      </c>
      <c r="I271" s="2" t="str">
        <f>IFERROR(__xludf.DUMMYFUNCTION("GOOGLETRANSLATE(C271,""fr"",""en"")"),"Bravo to Mr Emery David- Thank you for his net and precise advice")</f>
        <v>Bravo to Mr Emery David- Thank you for his net and precise advice</v>
      </c>
    </row>
    <row r="272" ht="15.75" customHeight="1">
      <c r="B272" s="2" t="s">
        <v>828</v>
      </c>
      <c r="C272" s="2" t="s">
        <v>829</v>
      </c>
      <c r="D272" s="2" t="s">
        <v>359</v>
      </c>
      <c r="E272" s="2" t="s">
        <v>360</v>
      </c>
      <c r="F272" s="2" t="s">
        <v>15</v>
      </c>
      <c r="G272" s="2" t="s">
        <v>827</v>
      </c>
      <c r="H272" s="2" t="s">
        <v>165</v>
      </c>
      <c r="I272" s="2" t="str">
        <f>IFERROR(__xludf.DUMMYFUNCTION("GOOGLETRANSLATE(C272,""fr"",""en"")"),"The advice at the start of the sales cycle is rather competent, but apart from the sale which is a process experienced for them, the rest is clearly desired. Customer service is rather slow, and their management is very contractual and complex when it com"&amp;"es to leaving them. On the contrary, the arrival home.")</f>
        <v>The advice at the start of the sales cycle is rather competent, but apart from the sale which is a process experienced for them, the rest is clearly desired. Customer service is rather slow, and their management is very contractual and complex when it comes to leaving them. On the contrary, the arrival home.</v>
      </c>
    </row>
    <row r="273" ht="15.75" customHeight="1">
      <c r="B273" s="2" t="s">
        <v>830</v>
      </c>
      <c r="C273" s="2" t="s">
        <v>831</v>
      </c>
      <c r="D273" s="2" t="s">
        <v>359</v>
      </c>
      <c r="E273" s="2" t="s">
        <v>360</v>
      </c>
      <c r="F273" s="2" t="s">
        <v>15</v>
      </c>
      <c r="G273" s="2" t="s">
        <v>827</v>
      </c>
      <c r="H273" s="2" t="s">
        <v>165</v>
      </c>
      <c r="I273" s="2" t="str">
        <f>IFERROR(__xludf.DUMMYFUNCTION("GOOGLETRANSLATE(C273,""fr"",""en"")"),"Very good relationship with Gwendal on the other hand, important communication concerns impossible to reach the salesperson who contacted you and which after no longer follows the follow -up")</f>
        <v>Very good relationship with Gwendal on the other hand, important communication concerns impossible to reach the salesperson who contacted you and which after no longer follows the follow -up</v>
      </c>
    </row>
    <row r="274" ht="15.75" customHeight="1">
      <c r="B274" s="2" t="s">
        <v>832</v>
      </c>
      <c r="C274" s="2" t="s">
        <v>833</v>
      </c>
      <c r="D274" s="2" t="s">
        <v>359</v>
      </c>
      <c r="E274" s="2" t="s">
        <v>360</v>
      </c>
      <c r="F274" s="2" t="s">
        <v>15</v>
      </c>
      <c r="G274" s="2" t="s">
        <v>834</v>
      </c>
      <c r="H274" s="2" t="s">
        <v>835</v>
      </c>
      <c r="I274" s="2" t="str">
        <f>IFERROR(__xludf.DUMMYFUNCTION("GOOGLETRANSLATE(C274,""fr"",""en"")"),"Very fast, perfect and friendly welcome; very great clarity in the explanations. Follow for future services ...")</f>
        <v>Very fast, perfect and friendly welcome; very great clarity in the explanations. Follow for future services ...</v>
      </c>
    </row>
    <row r="275" ht="15.75" customHeight="1">
      <c r="B275" s="2" t="s">
        <v>836</v>
      </c>
      <c r="C275" s="2" t="s">
        <v>837</v>
      </c>
      <c r="D275" s="2" t="s">
        <v>359</v>
      </c>
      <c r="E275" s="2" t="s">
        <v>360</v>
      </c>
      <c r="F275" s="2" t="s">
        <v>15</v>
      </c>
      <c r="G275" s="2" t="s">
        <v>838</v>
      </c>
      <c r="H275" s="2" t="s">
        <v>835</v>
      </c>
      <c r="I275" s="2" t="str">
        <f>IFERROR(__xludf.DUMMYFUNCTION("GOOGLETRANSLATE(C275,""fr"",""en"")"),"I refused to subscribe immediately by phone to be able to compare with another health mutual which turned out to be more interesting for me and I then dealt with ""bad"" by the unhappy salesperson from my non -subscription. He then hung up on me, which gi"&amp;"ves an overview of what the quality of customer service can be. Run away...")</f>
        <v>I refused to subscribe immediately by phone to be able to compare with another health mutual which turned out to be more interesting for me and I then dealt with "bad" by the unhappy salesperson from my non -subscription. He then hung up on me, which gives an overview of what the quality of customer service can be. Run away...</v>
      </c>
    </row>
    <row r="276" ht="15.75" customHeight="1">
      <c r="B276" s="2" t="s">
        <v>839</v>
      </c>
      <c r="C276" s="2" t="s">
        <v>840</v>
      </c>
      <c r="D276" s="2" t="s">
        <v>359</v>
      </c>
      <c r="E276" s="2" t="s">
        <v>360</v>
      </c>
      <c r="F276" s="2" t="s">
        <v>15</v>
      </c>
      <c r="G276" s="2" t="s">
        <v>838</v>
      </c>
      <c r="H276" s="2" t="s">
        <v>835</v>
      </c>
      <c r="I276" s="2" t="str">
        <f>IFERROR(__xludf.DUMMYFUNCTION("GOOGLETRANSLATE(C276,""fr"",""en"")"),"New customer at home, very satisfied with the customer service on the phone I had as a super friendly, friendly Caroline advisor, listening to the problem nothing to complain about. My problem being solved in the same way to recommend as mutual.")</f>
        <v>New customer at home, very satisfied with the customer service on the phone I had as a super friendly, friendly Caroline advisor, listening to the problem nothing to complain about. My problem being solved in the same way to recommend as mutual.</v>
      </c>
    </row>
    <row r="277" ht="15.75" customHeight="1">
      <c r="B277" s="2" t="s">
        <v>841</v>
      </c>
      <c r="C277" s="2" t="s">
        <v>842</v>
      </c>
      <c r="D277" s="2" t="s">
        <v>359</v>
      </c>
      <c r="E277" s="2" t="s">
        <v>360</v>
      </c>
      <c r="F277" s="2" t="s">
        <v>15</v>
      </c>
      <c r="G277" s="2" t="s">
        <v>838</v>
      </c>
      <c r="H277" s="2" t="s">
        <v>835</v>
      </c>
      <c r="I277" s="2" t="str">
        <f>IFERROR(__xludf.DUMMYFUNCTION("GOOGLETRANSLATE(C277,""fr"",""en"")"),"Excellent contact, real professionals listening to you - do not try to sell anything and advise you at best ..!")</f>
        <v>Excellent contact, real professionals listening to you - do not try to sell anything and advise you at best ..!</v>
      </c>
    </row>
    <row r="278" ht="15.75" customHeight="1">
      <c r="B278" s="2" t="s">
        <v>843</v>
      </c>
      <c r="C278" s="2" t="s">
        <v>844</v>
      </c>
      <c r="D278" s="2" t="s">
        <v>359</v>
      </c>
      <c r="E278" s="2" t="s">
        <v>360</v>
      </c>
      <c r="F278" s="2" t="s">
        <v>15</v>
      </c>
      <c r="G278" s="2" t="s">
        <v>845</v>
      </c>
      <c r="H278" s="2" t="s">
        <v>835</v>
      </c>
      <c r="I278" s="2" t="str">
        <f>IFERROR(__xludf.DUMMYFUNCTION("GOOGLETRANSLATE(C278,""fr"",""en"")"),"Your customer service contacted me today through Gwendal Person Sympathetic Claire in his comments and patient. The customer service for the moment is very good the rest I can not say because I will only be at home in the month of December")</f>
        <v>Your customer service contacted me today through Gwendal Person Sympathetic Claire in his comments and patient. The customer service for the moment is very good the rest I can not say because I will only be at home in the month of December</v>
      </c>
    </row>
    <row r="279" ht="15.75" customHeight="1">
      <c r="B279" s="2" t="s">
        <v>846</v>
      </c>
      <c r="C279" s="2" t="s">
        <v>847</v>
      </c>
      <c r="D279" s="2" t="s">
        <v>359</v>
      </c>
      <c r="E279" s="2" t="s">
        <v>360</v>
      </c>
      <c r="F279" s="2" t="s">
        <v>15</v>
      </c>
      <c r="G279" s="2" t="s">
        <v>848</v>
      </c>
      <c r="H279" s="2" t="s">
        <v>835</v>
      </c>
      <c r="I279" s="2" t="str">
        <f>IFERROR(__xludf.DUMMYFUNCTION("GOOGLETRANSLATE(C279,""fr"",""en"")"),"I contacted your customer service today, I had Mrs. Caroline on the phone, it is a very motivated person who takes things seriously, very friendly person. She welcomed me and my good, a question, a solution, well done.")</f>
        <v>I contacted your customer service today, I had Mrs. Caroline on the phone, it is a very motivated person who takes things seriously, very friendly person. She welcomed me and my good, a question, a solution, well done.</v>
      </c>
    </row>
    <row r="280" ht="15.75" customHeight="1">
      <c r="B280" s="2" t="s">
        <v>849</v>
      </c>
      <c r="C280" s="2" t="s">
        <v>850</v>
      </c>
      <c r="D280" s="2" t="s">
        <v>359</v>
      </c>
      <c r="E280" s="2" t="s">
        <v>360</v>
      </c>
      <c r="F280" s="2" t="s">
        <v>15</v>
      </c>
      <c r="G280" s="2" t="s">
        <v>851</v>
      </c>
      <c r="H280" s="2" t="s">
        <v>835</v>
      </c>
      <c r="I280" s="2" t="str">
        <f>IFERROR(__xludf.DUMMYFUNCTION("GOOGLETRANSLATE(C280,""fr"",""en"")"),"Very pleasantly informed by a kind and competent assistant")</f>
        <v>Very pleasantly informed by a kind and competent assistant</v>
      </c>
    </row>
    <row r="281" ht="15.75" customHeight="1">
      <c r="B281" s="2" t="s">
        <v>852</v>
      </c>
      <c r="C281" s="2" t="s">
        <v>853</v>
      </c>
      <c r="D281" s="2" t="s">
        <v>359</v>
      </c>
      <c r="E281" s="2" t="s">
        <v>360</v>
      </c>
      <c r="F281" s="2" t="s">
        <v>15</v>
      </c>
      <c r="G281" s="2" t="s">
        <v>854</v>
      </c>
      <c r="H281" s="2" t="s">
        <v>835</v>
      </c>
      <c r="I281" s="2" t="str">
        <f>IFERROR(__xludf.DUMMYFUNCTION("GOOGLETRANSLATE(C281,""fr"",""en"")"),"It really makes me pleasant to send you my most sincere thanks, Caroline, by your generosity of understanding and attention to me. It is quite rare to have such a kind interlocutor in her words and impeccable skills despite my insistence to have an answer"&amp;" to my request. thanks again")</f>
        <v>It really makes me pleasant to send you my most sincere thanks, Caroline, by your generosity of understanding and attention to me. It is quite rare to have such a kind interlocutor in her words and impeccable skills despite my insistence to have an answer to my request. thanks again</v>
      </c>
    </row>
    <row r="282" ht="15.75" customHeight="1">
      <c r="B282" s="2" t="s">
        <v>855</v>
      </c>
      <c r="C282" s="2" t="s">
        <v>856</v>
      </c>
      <c r="D282" s="2" t="s">
        <v>359</v>
      </c>
      <c r="E282" s="2" t="s">
        <v>360</v>
      </c>
      <c r="F282" s="2" t="s">
        <v>15</v>
      </c>
      <c r="G282" s="2" t="s">
        <v>854</v>
      </c>
      <c r="H282" s="2" t="s">
        <v>835</v>
      </c>
      <c r="I282" s="2" t="str">
        <f>IFERROR(__xludf.DUMMYFUNCTION("GOOGLETRANSLATE(C282,""fr"",""en"")"),"Very satisfied at the moment of contact with Gwendal, I hope to be satisfied")</f>
        <v>Very satisfied at the moment of contact with Gwendal, I hope to be satisfied</v>
      </c>
    </row>
    <row r="283" ht="15.75" customHeight="1">
      <c r="B283" s="2" t="s">
        <v>857</v>
      </c>
      <c r="C283" s="2" t="s">
        <v>858</v>
      </c>
      <c r="D283" s="2" t="s">
        <v>359</v>
      </c>
      <c r="E283" s="2" t="s">
        <v>360</v>
      </c>
      <c r="F283" s="2" t="s">
        <v>15</v>
      </c>
      <c r="G283" s="2" t="s">
        <v>859</v>
      </c>
      <c r="H283" s="2" t="s">
        <v>835</v>
      </c>
      <c r="I283" s="2" t="str">
        <f>IFERROR(__xludf.DUMMYFUNCTION("GOOGLETRANSLATE(C283,""fr"",""en"")"),"Reactive customer services thank you to Caroline for its speed and responsiveness. Thank you")</f>
        <v>Reactive customer services thank you to Caroline for its speed and responsiveness. Thank you</v>
      </c>
    </row>
    <row r="284" ht="15.75" customHeight="1">
      <c r="B284" s="2" t="s">
        <v>860</v>
      </c>
      <c r="C284" s="2" t="s">
        <v>861</v>
      </c>
      <c r="D284" s="2" t="s">
        <v>359</v>
      </c>
      <c r="E284" s="2" t="s">
        <v>360</v>
      </c>
      <c r="F284" s="2" t="s">
        <v>15</v>
      </c>
      <c r="G284" s="2" t="s">
        <v>862</v>
      </c>
      <c r="H284" s="2" t="s">
        <v>835</v>
      </c>
      <c r="I284" s="2" t="str">
        <f>IFERROR(__xludf.DUMMYFUNCTION("GOOGLETRANSLATE(C284,""fr"",""en"")"),"Very good advice, clear explanations, perfect listening patience and good product, the prices are affordable, speed of execution")</f>
        <v>Very good advice, clear explanations, perfect listening patience and good product, the prices are affordable, speed of execution</v>
      </c>
    </row>
    <row r="285" ht="15.75" customHeight="1">
      <c r="B285" s="2" t="s">
        <v>863</v>
      </c>
      <c r="C285" s="2" t="s">
        <v>864</v>
      </c>
      <c r="D285" s="2" t="s">
        <v>359</v>
      </c>
      <c r="E285" s="2" t="s">
        <v>360</v>
      </c>
      <c r="F285" s="2" t="s">
        <v>15</v>
      </c>
      <c r="G285" s="2" t="s">
        <v>865</v>
      </c>
      <c r="H285" s="2" t="s">
        <v>835</v>
      </c>
      <c r="I285" s="2" t="str">
        <f>IFERROR(__xludf.DUMMYFUNCTION("GOOGLETRANSLATE(C285,""fr"",""en"")"),"Hello I want to leave a message for Santiane for its efficiency and diligence in reimbursements. Particularly I thank Sébastien for this warm team to listen to his clarity in his explanations his patience to guide you all along the care Bravo and good con"&amp;"tinuation")</f>
        <v>Hello I want to leave a message for Santiane for its efficiency and diligence in reimbursements. Particularly I thank Sébastien for this warm team to listen to his clarity in his explanations his patience to guide you all along the care Bravo and good continuation</v>
      </c>
    </row>
    <row r="286" ht="15.75" customHeight="1">
      <c r="B286" s="2" t="s">
        <v>866</v>
      </c>
      <c r="C286" s="2" t="s">
        <v>867</v>
      </c>
      <c r="D286" s="2" t="s">
        <v>359</v>
      </c>
      <c r="E286" s="2" t="s">
        <v>360</v>
      </c>
      <c r="F286" s="2" t="s">
        <v>15</v>
      </c>
      <c r="G286" s="2" t="s">
        <v>868</v>
      </c>
      <c r="H286" s="2" t="s">
        <v>17</v>
      </c>
      <c r="I286" s="2" t="str">
        <f>IFERROR(__xludf.DUMMYFUNCTION("GOOGLETRANSLATE(C286,""fr"",""en"")"),"Contract subscribed to 01/01/2019 and to date the Teletransmission is still not to the point.
Since January 27 calls, 14 mail, 18 emails and recently registered mail to be sure but still nothing !!!
Termination letter send for 12/31/2019 cross the finge"&amp;"rs so as not to be hospitalized by the
")</f>
        <v>Contract subscribed to 01/01/2019 and to date the Teletransmission is still not to the point.
Since January 27 calls, 14 mail, 18 emails and recently registered mail to be sure but still nothing !!!
Termination letter send for 12/31/2019 cross the fingers so as not to be hospitalized by the
</v>
      </c>
    </row>
    <row r="287" ht="15.75" customHeight="1">
      <c r="B287" s="2" t="s">
        <v>869</v>
      </c>
      <c r="C287" s="2" t="s">
        <v>870</v>
      </c>
      <c r="D287" s="2" t="s">
        <v>359</v>
      </c>
      <c r="E287" s="2" t="s">
        <v>360</v>
      </c>
      <c r="F287" s="2" t="s">
        <v>15</v>
      </c>
      <c r="G287" s="2" t="s">
        <v>871</v>
      </c>
      <c r="H287" s="2" t="s">
        <v>872</v>
      </c>
      <c r="I287" s="2" t="str">
        <f>IFERROR(__xludf.DUMMYFUNCTION("GOOGLETRANSLATE(C287,""fr"",""en"")"),"Thank you very much for the progress of the file! I hope the problem will be solved quickly. Thank you also for taking steps that other colleagues had not taken.")</f>
        <v>Thank you very much for the progress of the file! I hope the problem will be solved quickly. Thank you also for taking steps that other colleagues had not taken.</v>
      </c>
    </row>
    <row r="288" ht="15.75" customHeight="1">
      <c r="B288" s="2" t="s">
        <v>873</v>
      </c>
      <c r="C288" s="2" t="s">
        <v>874</v>
      </c>
      <c r="D288" s="2" t="s">
        <v>359</v>
      </c>
      <c r="E288" s="2" t="s">
        <v>360</v>
      </c>
      <c r="F288" s="2" t="s">
        <v>15</v>
      </c>
      <c r="G288" s="2" t="s">
        <v>875</v>
      </c>
      <c r="H288" s="2" t="s">
        <v>872</v>
      </c>
      <c r="I288" s="2" t="str">
        <f>IFERROR(__xludf.DUMMYFUNCTION("GOOGLETRANSLATE(C288,""fr"",""en"")"),"Thanks to Erika for the clarity of her explanations and her kindness at the top! She managed my request very quickly.")</f>
        <v>Thanks to Erika for the clarity of her explanations and her kindness at the top! She managed my request very quickly.</v>
      </c>
    </row>
    <row r="289" ht="15.75" customHeight="1">
      <c r="B289" s="2" t="s">
        <v>876</v>
      </c>
      <c r="C289" s="2" t="s">
        <v>877</v>
      </c>
      <c r="D289" s="2" t="s">
        <v>359</v>
      </c>
      <c r="E289" s="2" t="s">
        <v>360</v>
      </c>
      <c r="F289" s="2" t="s">
        <v>15</v>
      </c>
      <c r="G289" s="2" t="s">
        <v>878</v>
      </c>
      <c r="H289" s="2" t="s">
        <v>872</v>
      </c>
      <c r="I289" s="2" t="str">
        <f>IFERROR(__xludf.DUMMYFUNCTION("GOOGLETRANSLATE(C289,""fr"",""en"")"),"To flee as soon as possible
January 2019 I contract a linea pack sold by Santiane after 1:30 am of communication with the saleswoman she managed to include a planning at 40th per month without waring the price by just specifying that it is a pack I find "&amp;"myself with monthly payments 175th The person makes me sign the contract by internet while they continue to speak to me. In July we move from the region and there increase of the price which passes to 197th as the law I request the termination which is re"&amp;"fused for the reason for non -increase in prices following the change of situation I have a letter and 2 championships which prove the opposite.
In short, I think I don't stop there and carry a complaint against their abusive way")</f>
        <v>To flee as soon as possible
January 2019 I contract a linea pack sold by Santiane after 1:30 am of communication with the saleswoman she managed to include a planning at 40th per month without waring the price by just specifying that it is a pack I find myself with monthly payments 175th The person makes me sign the contract by internet while they continue to speak to me. In July we move from the region and there increase of the price which passes to 197th as the law I request the termination which is refused for the reason for non -increase in prices following the change of situation I have a letter and 2 championships which prove the opposite.
In short, I think I don't stop there and carry a complaint against their abusive way</v>
      </c>
    </row>
    <row r="290" ht="15.75" customHeight="1">
      <c r="B290" s="2" t="s">
        <v>879</v>
      </c>
      <c r="C290" s="2" t="s">
        <v>880</v>
      </c>
      <c r="D290" s="2" t="s">
        <v>359</v>
      </c>
      <c r="E290" s="2" t="s">
        <v>360</v>
      </c>
      <c r="F290" s="2" t="s">
        <v>15</v>
      </c>
      <c r="G290" s="2" t="s">
        <v>881</v>
      </c>
      <c r="H290" s="2" t="s">
        <v>872</v>
      </c>
      <c r="I290" s="2" t="str">
        <f>IFERROR(__xludf.DUMMYFUNCTION("GOOGLETRANSLATE(C290,""fr"",""en"")"),"A big thank you to Erika. She was really charming, professional and proactive. It is this kind of performance that I expect from a counselor. I hope to fall back on her if I have to remember if I have other questions.")</f>
        <v>A big thank you to Erika. She was really charming, professional and proactive. It is this kind of performance that I expect from a counselor. I hope to fall back on her if I have to remember if I have other questions.</v>
      </c>
    </row>
    <row r="291" ht="15.75" customHeight="1">
      <c r="B291" s="2" t="s">
        <v>882</v>
      </c>
      <c r="C291" s="2" t="s">
        <v>883</v>
      </c>
      <c r="D291" s="2" t="s">
        <v>359</v>
      </c>
      <c r="E291" s="2" t="s">
        <v>360</v>
      </c>
      <c r="F291" s="2" t="s">
        <v>15</v>
      </c>
      <c r="G291" s="2" t="s">
        <v>884</v>
      </c>
      <c r="H291" s="2" t="s">
        <v>872</v>
      </c>
      <c r="I291" s="2" t="str">
        <f>IFERROR(__xludf.DUMMYFUNCTION("GOOGLETRANSLATE(C291,""fr"",""en"")"),"Thanks to Erika who was able to respond quickly to my various requests concerning a complex file. I am very satisfied with his availability and his listening, as well as his involvement to find an outcome favorable to my problems.")</f>
        <v>Thanks to Erika who was able to respond quickly to my various requests concerning a complex file. I am very satisfied with his availability and his listening, as well as his involvement to find an outcome favorable to my problems.</v>
      </c>
    </row>
    <row r="292" ht="15.75" customHeight="1">
      <c r="B292" s="2" t="s">
        <v>885</v>
      </c>
      <c r="C292" s="2" t="s">
        <v>886</v>
      </c>
      <c r="D292" s="2" t="s">
        <v>359</v>
      </c>
      <c r="E292" s="2" t="s">
        <v>360</v>
      </c>
      <c r="F292" s="2" t="s">
        <v>15</v>
      </c>
      <c r="G292" s="2" t="s">
        <v>884</v>
      </c>
      <c r="H292" s="2" t="s">
        <v>872</v>
      </c>
      <c r="I292" s="2" t="str">
        <f>IFERROR(__xludf.DUMMYFUNCTION("GOOGLETRANSLATE(C292,""fr"",""en"")"),"Thank you to Caroline for her kindness, her patience, her listening and for the particular attention paid to me a lot should take example from her !!! But alas welcome and kindness are not innate !!")</f>
        <v>Thank you to Caroline for her kindness, her patience, her listening and for the particular attention paid to me a lot should take example from her !!! But alas welcome and kindness are not innate !!</v>
      </c>
    </row>
    <row r="293" ht="15.75" customHeight="1">
      <c r="B293" s="2" t="s">
        <v>887</v>
      </c>
      <c r="C293" s="2" t="s">
        <v>888</v>
      </c>
      <c r="D293" s="2" t="s">
        <v>359</v>
      </c>
      <c r="E293" s="2" t="s">
        <v>360</v>
      </c>
      <c r="F293" s="2" t="s">
        <v>15</v>
      </c>
      <c r="G293" s="2" t="s">
        <v>889</v>
      </c>
      <c r="H293" s="2" t="s">
        <v>872</v>
      </c>
      <c r="I293" s="2" t="str">
        <f>IFERROR(__xludf.DUMMYFUNCTION("GOOGLETRANSLATE(C293,""fr"",""en"")"),"Listening advisor, responds well to each request. No worries until today Erika is extremely kind what changes some advisor !! I recommend without hesitation!")</f>
        <v>Listening advisor, responds well to each request. No worries until today Erika is extremely kind what changes some advisor !! I recommend without hesitation!</v>
      </c>
    </row>
    <row r="294" ht="15.75" customHeight="1">
      <c r="B294" s="2" t="s">
        <v>890</v>
      </c>
      <c r="C294" s="2" t="s">
        <v>891</v>
      </c>
      <c r="D294" s="2" t="s">
        <v>359</v>
      </c>
      <c r="E294" s="2" t="s">
        <v>360</v>
      </c>
      <c r="F294" s="2" t="s">
        <v>15</v>
      </c>
      <c r="G294" s="2" t="s">
        <v>892</v>
      </c>
      <c r="H294" s="2" t="s">
        <v>872</v>
      </c>
      <c r="I294" s="2" t="str">
        <f>IFERROR(__xludf.DUMMYFUNCTION("GOOGLETRANSLATE(C294,""fr"",""en"")"),"Contact this day with Caroline. Listening person who takes the time to guide to carry out the online process on the site. Understanding before questions.")</f>
        <v>Contact this day with Caroline. Listening person who takes the time to guide to carry out the online process on the site. Understanding before questions.</v>
      </c>
    </row>
    <row r="295" ht="15.75" customHeight="1">
      <c r="B295" s="2" t="s">
        <v>893</v>
      </c>
      <c r="C295" s="2" t="s">
        <v>894</v>
      </c>
      <c r="D295" s="2" t="s">
        <v>359</v>
      </c>
      <c r="E295" s="2" t="s">
        <v>360</v>
      </c>
      <c r="F295" s="2" t="s">
        <v>15</v>
      </c>
      <c r="G295" s="2" t="s">
        <v>895</v>
      </c>
      <c r="H295" s="2" t="s">
        <v>872</v>
      </c>
      <c r="I295" s="2" t="str">
        <f>IFERROR(__xludf.DUMMYFUNCTION("GOOGLETRANSLATE(C295,""fr"",""en"")"),"Reactive and attentive advisor. All the details of the contract have been carefully detailed.")</f>
        <v>Reactive and attentive advisor. All the details of the contract have been carefully detailed.</v>
      </c>
    </row>
    <row r="296" ht="15.75" customHeight="1">
      <c r="B296" s="2" t="s">
        <v>896</v>
      </c>
      <c r="C296" s="2" t="s">
        <v>897</v>
      </c>
      <c r="D296" s="2" t="s">
        <v>359</v>
      </c>
      <c r="E296" s="2" t="s">
        <v>360</v>
      </c>
      <c r="F296" s="2" t="s">
        <v>15</v>
      </c>
      <c r="G296" s="2" t="s">
        <v>898</v>
      </c>
      <c r="H296" s="2" t="s">
        <v>872</v>
      </c>
      <c r="I296" s="2" t="str">
        <f>IFERROR(__xludf.DUMMYFUNCTION("GOOGLETRANSLATE(C296,""fr"",""en"")"),"The advisor was very clear in his explanations")</f>
        <v>The advisor was very clear in his explanations</v>
      </c>
    </row>
    <row r="297" ht="15.75" customHeight="1">
      <c r="B297" s="2" t="s">
        <v>899</v>
      </c>
      <c r="C297" s="2" t="s">
        <v>900</v>
      </c>
      <c r="D297" s="2" t="s">
        <v>359</v>
      </c>
      <c r="E297" s="2" t="s">
        <v>360</v>
      </c>
      <c r="F297" s="2" t="s">
        <v>15</v>
      </c>
      <c r="G297" s="2" t="s">
        <v>901</v>
      </c>
      <c r="H297" s="2" t="s">
        <v>872</v>
      </c>
      <c r="I297" s="2" t="str">
        <f>IFERROR(__xludf.DUMMYFUNCTION("GOOGLETRANSLATE(C297,""fr"",""en"")"),"A very good choice in a saturated market !!!
But I hate this new rating system in all areas !!!")</f>
        <v>A very good choice in a saturated market !!!
But I hate this new rating system in all areas !!!</v>
      </c>
    </row>
    <row r="298" ht="15.75" customHeight="1">
      <c r="B298" s="2" t="s">
        <v>902</v>
      </c>
      <c r="C298" s="2" t="s">
        <v>903</v>
      </c>
      <c r="D298" s="2" t="s">
        <v>359</v>
      </c>
      <c r="E298" s="2" t="s">
        <v>360</v>
      </c>
      <c r="F298" s="2" t="s">
        <v>15</v>
      </c>
      <c r="G298" s="2" t="s">
        <v>904</v>
      </c>
      <c r="H298" s="2" t="s">
        <v>872</v>
      </c>
      <c r="I298" s="2" t="str">
        <f>IFERROR(__xludf.DUMMYFUNCTION("GOOGLETRANSLATE(C298,""fr"",""en"")"),"Very professional, I highly recommend Erika who knew how to be patient and especially who knew how to answer all my questions. It’s always great to feel listened to.")</f>
        <v>Very professional, I highly recommend Erika who knew how to be patient and especially who knew how to answer all my questions. It’s always great to feel listened to.</v>
      </c>
    </row>
    <row r="299" ht="15.75" customHeight="1">
      <c r="B299" s="2" t="s">
        <v>905</v>
      </c>
      <c r="C299" s="2" t="s">
        <v>906</v>
      </c>
      <c r="D299" s="2" t="s">
        <v>359</v>
      </c>
      <c r="E299" s="2" t="s">
        <v>360</v>
      </c>
      <c r="F299" s="2" t="s">
        <v>15</v>
      </c>
      <c r="G299" s="2" t="s">
        <v>872</v>
      </c>
      <c r="H299" s="2" t="s">
        <v>872</v>
      </c>
      <c r="I299" s="2" t="str">
        <f>IFERROR(__xludf.DUMMYFUNCTION("GOOGLETRANSLATE(C299,""fr"",""en"")"),"Santiane is an insurance broker offers a wide choice.")</f>
        <v>Santiane is an insurance broker offers a wide choice.</v>
      </c>
    </row>
    <row r="300" ht="15.75" customHeight="1">
      <c r="B300" s="2" t="s">
        <v>907</v>
      </c>
      <c r="C300" s="2" t="s">
        <v>908</v>
      </c>
      <c r="D300" s="2" t="s">
        <v>359</v>
      </c>
      <c r="E300" s="2" t="s">
        <v>360</v>
      </c>
      <c r="F300" s="2" t="s">
        <v>15</v>
      </c>
      <c r="G300" s="2" t="s">
        <v>909</v>
      </c>
      <c r="H300" s="2" t="s">
        <v>21</v>
      </c>
      <c r="I300" s="2" t="str">
        <f>IFERROR(__xludf.DUMMYFUNCTION("GOOGLETRANSLATE(C300,""fr"",""en"")"),"Very good listening to the return on customer experience.
I was followed and then well troubled by offering me another mutual because the first had not completed its contractual commitments.")</f>
        <v>Very good listening to the return on customer experience.
I was followed and then well troubled by offering me another mutual because the first had not completed its contractual commitments.</v>
      </c>
    </row>
    <row r="301" ht="15.75" customHeight="1">
      <c r="B301" s="2" t="s">
        <v>910</v>
      </c>
      <c r="C301" s="2" t="s">
        <v>911</v>
      </c>
      <c r="D301" s="2" t="s">
        <v>359</v>
      </c>
      <c r="E301" s="2" t="s">
        <v>360</v>
      </c>
      <c r="F301" s="2" t="s">
        <v>15</v>
      </c>
      <c r="G301" s="2" t="s">
        <v>912</v>
      </c>
      <c r="H301" s="2" t="s">
        <v>21</v>
      </c>
      <c r="I301" s="2" t="str">
        <f>IFERROR(__xludf.DUMMYFUNCTION("GOOGLETRANSLATE(C301,""fr"",""en"")"),"I wanted to look at another mutual in order to compare the services prices guarantees")</f>
        <v>I wanted to look at another mutual in order to compare the services prices guarantees</v>
      </c>
    </row>
    <row r="302" ht="15.75" customHeight="1">
      <c r="B302" s="2" t="s">
        <v>913</v>
      </c>
      <c r="C302" s="2" t="s">
        <v>914</v>
      </c>
      <c r="D302" s="2" t="s">
        <v>359</v>
      </c>
      <c r="E302" s="2" t="s">
        <v>360</v>
      </c>
      <c r="F302" s="2" t="s">
        <v>15</v>
      </c>
      <c r="G302" s="2" t="s">
        <v>915</v>
      </c>
      <c r="H302" s="2" t="s">
        <v>21</v>
      </c>
      <c r="I302" s="2" t="str">
        <f>IFERROR(__xludf.DUMMYFUNCTION("GOOGLETRANSLATE(C302,""fr"",""en"")"),"Effective welcome good quality product interesting prices good pleasant care attentive reassuring")</f>
        <v>Effective welcome good quality product interesting prices good pleasant care attentive reassuring</v>
      </c>
    </row>
    <row r="303" ht="15.75" customHeight="1">
      <c r="B303" s="2" t="s">
        <v>916</v>
      </c>
      <c r="C303" s="2" t="s">
        <v>917</v>
      </c>
      <c r="D303" s="2" t="s">
        <v>359</v>
      </c>
      <c r="E303" s="2" t="s">
        <v>360</v>
      </c>
      <c r="F303" s="2" t="s">
        <v>15</v>
      </c>
      <c r="G303" s="2" t="s">
        <v>918</v>
      </c>
      <c r="H303" s="2" t="s">
        <v>21</v>
      </c>
      <c r="I303" s="2" t="str">
        <f>IFERROR(__xludf.DUMMYFUNCTION("GOOGLETRANSLATE(C303,""fr"",""en"")"),"Big price difference with better coverage, it's more attractive. More, simple to make.")</f>
        <v>Big price difference with better coverage, it's more attractive. More, simple to make.</v>
      </c>
    </row>
    <row r="304" ht="15.75" customHeight="1">
      <c r="B304" s="2" t="s">
        <v>919</v>
      </c>
      <c r="C304" s="2" t="s">
        <v>920</v>
      </c>
      <c r="D304" s="2" t="s">
        <v>359</v>
      </c>
      <c r="E304" s="2" t="s">
        <v>360</v>
      </c>
      <c r="F304" s="2" t="s">
        <v>15</v>
      </c>
      <c r="G304" s="2" t="s">
        <v>921</v>
      </c>
      <c r="H304" s="2" t="s">
        <v>21</v>
      </c>
      <c r="I304" s="2" t="str">
        <f>IFERROR(__xludf.DUMMYFUNCTION("GOOGLETRANSLATE(C304,""fr"",""en"")"),"Very good personal welcome very conscientious and professional knowing how to manage our expectations very well to find the best solution to save money I would surely call for other comparison")</f>
        <v>Very good personal welcome very conscientious and professional knowing how to manage our expectations very well to find the best solution to save money I would surely call for other comparison</v>
      </c>
    </row>
    <row r="305" ht="15.75" customHeight="1">
      <c r="B305" s="2" t="s">
        <v>922</v>
      </c>
      <c r="C305" s="2" t="s">
        <v>923</v>
      </c>
      <c r="D305" s="2" t="s">
        <v>359</v>
      </c>
      <c r="E305" s="2" t="s">
        <v>360</v>
      </c>
      <c r="F305" s="2" t="s">
        <v>15</v>
      </c>
      <c r="G305" s="2" t="s">
        <v>924</v>
      </c>
      <c r="H305" s="2" t="s">
        <v>21</v>
      </c>
      <c r="I305" s="2" t="str">
        <f>IFERROR(__xludf.DUMMYFUNCTION("GOOGLETRANSLATE(C305,""fr"",""en"")"),"Perfect at all levels, beautiful responsiveness,")</f>
        <v>Perfect at all levels, beautiful responsiveness,</v>
      </c>
    </row>
    <row r="306" ht="15.75" customHeight="1">
      <c r="B306" s="2" t="s">
        <v>925</v>
      </c>
      <c r="C306" s="2" t="s">
        <v>926</v>
      </c>
      <c r="D306" s="2" t="s">
        <v>359</v>
      </c>
      <c r="E306" s="2" t="s">
        <v>360</v>
      </c>
      <c r="F306" s="2" t="s">
        <v>15</v>
      </c>
      <c r="G306" s="2" t="s">
        <v>927</v>
      </c>
      <c r="H306" s="2" t="s">
        <v>21</v>
      </c>
      <c r="I306" s="2" t="str">
        <f>IFERROR(__xludf.DUMMYFUNCTION("GOOGLETRANSLATE(C306,""fr"",""en"")"),"Mutuelle very responsive easy to access and Yassine answers you and helps very easily in your arranging sections for the samples employed very in the top of the top at the top")</f>
        <v>Mutuelle very responsive easy to access and Yassine answers you and helps very easily in your arranging sections for the samples employed very in the top of the top at the top</v>
      </c>
    </row>
    <row r="307" ht="15.75" customHeight="1">
      <c r="B307" s="2" t="s">
        <v>928</v>
      </c>
      <c r="C307" s="2" t="s">
        <v>929</v>
      </c>
      <c r="D307" s="2" t="s">
        <v>359</v>
      </c>
      <c r="E307" s="2" t="s">
        <v>360</v>
      </c>
      <c r="F307" s="2" t="s">
        <v>15</v>
      </c>
      <c r="G307" s="2" t="s">
        <v>930</v>
      </c>
      <c r="H307" s="2" t="s">
        <v>21</v>
      </c>
      <c r="I307" s="2" t="str">
        <f>IFERROR(__xludf.DUMMYFUNCTION("GOOGLETRANSLATE(C307,""fr"",""en"")"),"Very good advice finally an interlocutor choice who knows his job, to recommend! ""......."" .......................... .............. ""........"" .........................")</f>
        <v>Very good advice finally an interlocutor choice who knows his job, to recommend! "......." .......................... .............. "........" .........................</v>
      </c>
    </row>
    <row r="308" ht="15.75" customHeight="1">
      <c r="B308" s="2" t="s">
        <v>931</v>
      </c>
      <c r="C308" s="2" t="s">
        <v>932</v>
      </c>
      <c r="D308" s="2" t="s">
        <v>359</v>
      </c>
      <c r="E308" s="2" t="s">
        <v>360</v>
      </c>
      <c r="F308" s="2" t="s">
        <v>15</v>
      </c>
      <c r="G308" s="2" t="s">
        <v>933</v>
      </c>
      <c r="H308" s="2" t="s">
        <v>21</v>
      </c>
      <c r="I308" s="2" t="str">
        <f>IFERROR(__xludf.DUMMYFUNCTION("GOOGLETRANSLATE(C308,""fr"",""en"")"),"Very satisfied with the interview with Lamia by her welcome, her listening to my requests as well as her responsiveness clarified my expectations with good professionalism, she does not forget to reformulate the demand for a better understanding between t"&amp;"he two parties and Do not hesitate to offer new contract within the framework of loyalty")</f>
        <v>Very satisfied with the interview with Lamia by her welcome, her listening to my requests as well as her responsiveness clarified my expectations with good professionalism, she does not forget to reformulate the demand for a better understanding between the two parties and Do not hesitate to offer new contract within the framework of loyalty</v>
      </c>
    </row>
    <row r="309" ht="15.75" customHeight="1">
      <c r="B309" s="2" t="s">
        <v>934</v>
      </c>
      <c r="C309" s="2" t="s">
        <v>935</v>
      </c>
      <c r="D309" s="2" t="s">
        <v>359</v>
      </c>
      <c r="E309" s="2" t="s">
        <v>360</v>
      </c>
      <c r="F309" s="2" t="s">
        <v>15</v>
      </c>
      <c r="G309" s="2" t="s">
        <v>933</v>
      </c>
      <c r="H309" s="2" t="s">
        <v>21</v>
      </c>
      <c r="I309" s="2" t="str">
        <f>IFERROR(__xludf.DUMMYFUNCTION("GOOGLETRANSLATE(C309,""fr"",""en"")"),"An appointment and an organized and well-made assistance.")</f>
        <v>An appointment and an organized and well-made assistance.</v>
      </c>
    </row>
    <row r="310" ht="15.75" customHeight="1">
      <c r="B310" s="2" t="s">
        <v>936</v>
      </c>
      <c r="C310" s="2" t="s">
        <v>937</v>
      </c>
      <c r="D310" s="2" t="s">
        <v>359</v>
      </c>
      <c r="E310" s="2" t="s">
        <v>360</v>
      </c>
      <c r="F310" s="2" t="s">
        <v>15</v>
      </c>
      <c r="G310" s="2" t="s">
        <v>938</v>
      </c>
      <c r="H310" s="2" t="s">
        <v>21</v>
      </c>
      <c r="I310" s="2" t="str">
        <f>IFERROR(__xludf.DUMMYFUNCTION("GOOGLETRANSLATE(C310,""fr"",""en"")"),"Thank you to Lamia for her welcome, her availability and her very clear information. She knew how to understand my requests and respond to it. She had a very professional attitude, while being very friendly.")</f>
        <v>Thank you to Lamia for her welcome, her availability and her very clear information. She knew how to understand my requests and respond to it. She had a very professional attitude, while being very friendly.</v>
      </c>
    </row>
    <row r="311" ht="15.75" customHeight="1">
      <c r="B311" s="2" t="s">
        <v>939</v>
      </c>
      <c r="C311" s="2" t="s">
        <v>940</v>
      </c>
      <c r="D311" s="2" t="s">
        <v>359</v>
      </c>
      <c r="E311" s="2" t="s">
        <v>360</v>
      </c>
      <c r="F311" s="2" t="s">
        <v>15</v>
      </c>
      <c r="G311" s="2" t="s">
        <v>941</v>
      </c>
      <c r="H311" s="2" t="s">
        <v>25</v>
      </c>
      <c r="I311" s="2" t="str">
        <f>IFERROR(__xludf.DUMMYFUNCTION("GOOGLETRANSLATE(C311,""fr"",""en"")"),"Excellent Aceuil de Lamia. Listening and explains perfect. We are very satisfied with her services. Well to speak nice smiling.")</f>
        <v>Excellent Aceuil de Lamia. Listening and explains perfect. We are very satisfied with her services. Well to speak nice smiling.</v>
      </c>
    </row>
    <row r="312" ht="15.75" customHeight="1">
      <c r="B312" s="2" t="s">
        <v>942</v>
      </c>
      <c r="C312" s="2" t="s">
        <v>943</v>
      </c>
      <c r="D312" s="2" t="s">
        <v>359</v>
      </c>
      <c r="E312" s="2" t="s">
        <v>360</v>
      </c>
      <c r="F312" s="2" t="s">
        <v>15</v>
      </c>
      <c r="G312" s="2" t="s">
        <v>944</v>
      </c>
      <c r="H312" s="2" t="s">
        <v>25</v>
      </c>
      <c r="I312" s="2" t="str">
        <f>IFERROR(__xludf.DUMMYFUNCTION("GOOGLETRANSLATE(C312,""fr"",""en"")"),"Very convincing salesperson to make you subscribe very quickly by indicating that the offers are valid only on D -Day .... Then, the day you ask for your termination and you put more than 2 years for your termination to be effective (after dixaines recove"&amp;"ry from my part) and more than 2.5 years to receive the reimbursement of the contributions withdrawn. A shame. I had to oppose automatic subscription samples on my account. Disconneiller")</f>
        <v>Very convincing salesperson to make you subscribe very quickly by indicating that the offers are valid only on D -Day .... Then, the day you ask for your termination and you put more than 2 years for your termination to be effective (after dixaines recovery from my part) and more than 2.5 years to receive the reimbursement of the contributions withdrawn. A shame. I had to oppose automatic subscription samples on my account. Disconneiller</v>
      </c>
    </row>
    <row r="313" ht="15.75" customHeight="1">
      <c r="B313" s="2" t="s">
        <v>945</v>
      </c>
      <c r="C313" s="2" t="s">
        <v>946</v>
      </c>
      <c r="D313" s="2" t="s">
        <v>359</v>
      </c>
      <c r="E313" s="2" t="s">
        <v>360</v>
      </c>
      <c r="F313" s="2" t="s">
        <v>15</v>
      </c>
      <c r="G313" s="2" t="s">
        <v>947</v>
      </c>
      <c r="H313" s="2" t="s">
        <v>25</v>
      </c>
      <c r="I313" s="2" t="str">
        <f>IFERROR(__xludf.DUMMYFUNCTION("GOOGLETRANSLATE(C313,""fr"",""en"")"),"Very warm welcome from Nadège who was very effective. Yet my request was complicated but she managed to solve my problem. If it could be everywhere like that! Thank you so much.")</f>
        <v>Very warm welcome from Nadège who was very effective. Yet my request was complicated but she managed to solve my problem. If it could be everywhere like that! Thank you so much.</v>
      </c>
    </row>
    <row r="314" ht="15.75" customHeight="1">
      <c r="B314" s="2" t="s">
        <v>948</v>
      </c>
      <c r="C314" s="2" t="s">
        <v>949</v>
      </c>
      <c r="D314" s="2" t="s">
        <v>359</v>
      </c>
      <c r="E314" s="2" t="s">
        <v>360</v>
      </c>
      <c r="F314" s="2" t="s">
        <v>15</v>
      </c>
      <c r="G314" s="2" t="s">
        <v>947</v>
      </c>
      <c r="H314" s="2" t="s">
        <v>25</v>
      </c>
      <c r="I314" s="2" t="str">
        <f>IFERROR(__xludf.DUMMYFUNCTION("GOOGLETRANSLATE(C314,""fr"",""en"")"),"Very welcome, and ask very well informed by Nelly")</f>
        <v>Very welcome, and ask very well informed by Nelly</v>
      </c>
    </row>
    <row r="315" ht="15.75" customHeight="1">
      <c r="B315" s="2" t="s">
        <v>950</v>
      </c>
      <c r="C315" s="2" t="s">
        <v>951</v>
      </c>
      <c r="D315" s="2" t="s">
        <v>359</v>
      </c>
      <c r="E315" s="2" t="s">
        <v>360</v>
      </c>
      <c r="F315" s="2" t="s">
        <v>15</v>
      </c>
      <c r="G315" s="2" t="s">
        <v>952</v>
      </c>
      <c r="H315" s="2" t="s">
        <v>25</v>
      </c>
      <c r="I315" s="2" t="str">
        <f>IFERROR(__xludf.DUMMYFUNCTION("GOOGLETRANSLATE(C315,""fr"",""en"")"),"I wanted to thank Erika for her kindness, listening and professionalism.
A big thank you for the regularization of my file.")</f>
        <v>I wanted to thank Erika for her kindness, listening and professionalism.
A big thank you for the regularization of my file.</v>
      </c>
    </row>
    <row r="316" ht="15.75" customHeight="1">
      <c r="B316" s="2" t="s">
        <v>953</v>
      </c>
      <c r="C316" s="2" t="s">
        <v>954</v>
      </c>
      <c r="D316" s="2" t="s">
        <v>359</v>
      </c>
      <c r="E316" s="2" t="s">
        <v>360</v>
      </c>
      <c r="F316" s="2" t="s">
        <v>15</v>
      </c>
      <c r="G316" s="2" t="s">
        <v>955</v>
      </c>
      <c r="H316" s="2" t="s">
        <v>25</v>
      </c>
      <c r="I316" s="2" t="str">
        <f>IFERROR(__xludf.DUMMYFUNCTION("GOOGLETRANSLATE(C316,""fr"",""en"")"),"Nothing at all costs attractive a lot of goodwill very understanding very understanding politeness and knowing well explains")</f>
        <v>Nothing at all costs attractive a lot of goodwill very understanding very understanding politeness and knowing well explains</v>
      </c>
    </row>
    <row r="317" ht="15.75" customHeight="1">
      <c r="B317" s="2" t="s">
        <v>956</v>
      </c>
      <c r="C317" s="2" t="s">
        <v>957</v>
      </c>
      <c r="D317" s="2" t="s">
        <v>359</v>
      </c>
      <c r="E317" s="2" t="s">
        <v>360</v>
      </c>
      <c r="F317" s="2" t="s">
        <v>15</v>
      </c>
      <c r="G317" s="2" t="s">
        <v>955</v>
      </c>
      <c r="H317" s="2" t="s">
        <v>25</v>
      </c>
      <c r="I317" s="2" t="str">
        <f>IFERROR(__xludf.DUMMYFUNCTION("GOOGLETRANSLATE(C317,""fr"",""en"")"),"pleasant person with a very French language, which is rarely the case for telephone procedures")</f>
        <v>pleasant person with a very French language, which is rarely the case for telephone procedures</v>
      </c>
    </row>
    <row r="318" ht="15.75" customHeight="1">
      <c r="B318" s="2" t="s">
        <v>958</v>
      </c>
      <c r="C318" s="2" t="s">
        <v>959</v>
      </c>
      <c r="D318" s="2" t="s">
        <v>359</v>
      </c>
      <c r="E318" s="2" t="s">
        <v>360</v>
      </c>
      <c r="F318" s="2" t="s">
        <v>15</v>
      </c>
      <c r="G318" s="2" t="s">
        <v>960</v>
      </c>
      <c r="H318" s="2" t="s">
        <v>25</v>
      </c>
      <c r="I318" s="2" t="str">
        <f>IFERROR(__xludf.DUMMYFUNCTION("GOOGLETRANSLATE(C318,""fr"",""en"")"),"Good clear telephone relationship to the customer's agreement and these needs")</f>
        <v>Good clear telephone relationship to the customer's agreement and these needs</v>
      </c>
    </row>
    <row r="319" ht="15.75" customHeight="1">
      <c r="B319" s="2" t="s">
        <v>961</v>
      </c>
      <c r="C319" s="2" t="s">
        <v>962</v>
      </c>
      <c r="D319" s="2" t="s">
        <v>359</v>
      </c>
      <c r="E319" s="2" t="s">
        <v>360</v>
      </c>
      <c r="F319" s="2" t="s">
        <v>15</v>
      </c>
      <c r="G319" s="2" t="s">
        <v>963</v>
      </c>
      <c r="H319" s="2" t="s">
        <v>25</v>
      </c>
      <c r="I319" s="2" t="str">
        <f>IFERROR(__xludf.DUMMYFUNCTION("GOOGLETRANSLATE(C319,""fr"",""en"")"),"I am satisfied with Neoliane's services. Simple, fast, messages, documents are sent by emails.
Very good telephone contact, customer service.
Thank you Sarah for listening.
Nice continuation.")</f>
        <v>I am satisfied with Neoliane's services. Simple, fast, messages, documents are sent by emails.
Very good telephone contact, customer service.
Thank you Sarah for listening.
Nice continuation.</v>
      </c>
    </row>
    <row r="320" ht="15.75" customHeight="1">
      <c r="B320" s="2" t="s">
        <v>964</v>
      </c>
      <c r="C320" s="2" t="s">
        <v>965</v>
      </c>
      <c r="D320" s="2" t="s">
        <v>359</v>
      </c>
      <c r="E320" s="2" t="s">
        <v>360</v>
      </c>
      <c r="F320" s="2" t="s">
        <v>15</v>
      </c>
      <c r="G320" s="2" t="s">
        <v>963</v>
      </c>
      <c r="H320" s="2" t="s">
        <v>25</v>
      </c>
      <c r="I320" s="2" t="str">
        <f>IFERROR(__xludf.DUMMYFUNCTION("GOOGLETRANSLATE(C320,""fr"",""en"")"),"thread this day with Nadège")</f>
        <v>thread this day with Nadège</v>
      </c>
    </row>
    <row r="321" ht="15.75" customHeight="1">
      <c r="B321" s="2" t="s">
        <v>966</v>
      </c>
      <c r="C321" s="2" t="s">
        <v>967</v>
      </c>
      <c r="D321" s="2" t="s">
        <v>359</v>
      </c>
      <c r="E321" s="2" t="s">
        <v>360</v>
      </c>
      <c r="F321" s="2" t="s">
        <v>15</v>
      </c>
      <c r="G321" s="2" t="s">
        <v>968</v>
      </c>
      <c r="H321" s="2" t="s">
        <v>25</v>
      </c>
      <c r="I321" s="2" t="str">
        <f>IFERROR(__xludf.DUMMYFUNCTION("GOOGLETRANSLATE(C321,""fr"",""en"")"),"Very welcome, flawless reminder for the telephone appointment")</f>
        <v>Very welcome, flawless reminder for the telephone appointment</v>
      </c>
    </row>
    <row r="322" ht="15.75" customHeight="1">
      <c r="B322" s="2" t="s">
        <v>969</v>
      </c>
      <c r="C322" s="2" t="s">
        <v>970</v>
      </c>
      <c r="D322" s="2" t="s">
        <v>359</v>
      </c>
      <c r="E322" s="2" t="s">
        <v>360</v>
      </c>
      <c r="F322" s="2" t="s">
        <v>15</v>
      </c>
      <c r="G322" s="2" t="s">
        <v>971</v>
      </c>
      <c r="H322" s="2" t="s">
        <v>25</v>
      </c>
      <c r="I322" s="2" t="str">
        <f>IFERROR(__xludf.DUMMYFUNCTION("GOOGLETRANSLATE(C322,""fr"",""en"")"),"I had attentive listening and an effective response to my request today. If all the exchanges look like this one I think this mutual will fill me.
Thank you very much Erika for your kindness.
 ")</f>
        <v>I had attentive listening and an effective response to my request today. If all the exchanges look like this one I think this mutual will fill me.
Thank you very much Erika for your kindness.
 </v>
      </c>
    </row>
    <row r="323" ht="15.75" customHeight="1">
      <c r="B323" s="2" t="s">
        <v>972</v>
      </c>
      <c r="C323" s="2" t="s">
        <v>973</v>
      </c>
      <c r="D323" s="2" t="s">
        <v>359</v>
      </c>
      <c r="E323" s="2" t="s">
        <v>360</v>
      </c>
      <c r="F323" s="2" t="s">
        <v>15</v>
      </c>
      <c r="G323" s="2" t="s">
        <v>974</v>
      </c>
      <c r="H323" s="2" t="s">
        <v>29</v>
      </c>
      <c r="I323" s="2" t="str">
        <f>IFERROR(__xludf.DUMMYFUNCTION("GOOGLETRANSLATE(C323,""fr"",""en"")"),"For my first telephone contact, I was pleasantly surprised by the speed of the information I had asked for as well as the responsiveness of Erika which immediately sent me by email the document requested")</f>
        <v>For my first telephone contact, I was pleasantly surprised by the speed of the information I had asked for as well as the responsiveness of Erika which immediately sent me by email the document requested</v>
      </c>
    </row>
    <row r="324" ht="15.75" customHeight="1">
      <c r="B324" s="2" t="s">
        <v>975</v>
      </c>
      <c r="C324" s="2" t="s">
        <v>976</v>
      </c>
      <c r="D324" s="2" t="s">
        <v>359</v>
      </c>
      <c r="E324" s="2" t="s">
        <v>360</v>
      </c>
      <c r="F324" s="2" t="s">
        <v>15</v>
      </c>
      <c r="G324" s="2" t="s">
        <v>974</v>
      </c>
      <c r="H324" s="2" t="s">
        <v>29</v>
      </c>
      <c r="I324" s="2" t="str">
        <f>IFERROR(__xludf.DUMMYFUNCTION("GOOGLETRANSLATE(C324,""fr"",""en"")"),"Santiane allowed me to find a mutual insurance company quickly and effectively without having to look for several organizations myself.")</f>
        <v>Santiane allowed me to find a mutual insurance company quickly and effectively without having to look for several organizations myself.</v>
      </c>
    </row>
    <row r="325" ht="15.75" customHeight="1">
      <c r="B325" s="2" t="s">
        <v>977</v>
      </c>
      <c r="C325" s="2" t="s">
        <v>978</v>
      </c>
      <c r="D325" s="2" t="s">
        <v>359</v>
      </c>
      <c r="E325" s="2" t="s">
        <v>360</v>
      </c>
      <c r="F325" s="2" t="s">
        <v>15</v>
      </c>
      <c r="G325" s="2" t="s">
        <v>28</v>
      </c>
      <c r="H325" s="2" t="s">
        <v>29</v>
      </c>
      <c r="I325" s="2" t="str">
        <f>IFERROR(__xludf.DUMMYFUNCTION("GOOGLETRANSLATE(C325,""fr"",""en"")"),"The damoiselle that takes care of my iris file she was very cordial and she did her best for the trattament of my file as soon as possible")</f>
        <v>The damoiselle that takes care of my iris file she was very cordial and she did her best for the trattament of my file as soon as possible</v>
      </c>
    </row>
    <row r="326" ht="15.75" customHeight="1">
      <c r="B326" s="2" t="s">
        <v>979</v>
      </c>
      <c r="C326" s="2" t="s">
        <v>980</v>
      </c>
      <c r="D326" s="2" t="s">
        <v>359</v>
      </c>
      <c r="E326" s="2" t="s">
        <v>360</v>
      </c>
      <c r="F326" s="2" t="s">
        <v>15</v>
      </c>
      <c r="G326" s="2" t="s">
        <v>981</v>
      </c>
      <c r="H326" s="2" t="s">
        <v>29</v>
      </c>
      <c r="I326" s="2" t="str">
        <f>IFERROR(__xludf.DUMMYFUNCTION("GOOGLETRANSLATE(C326,""fr"",""en"")"),"customer service
termination
Information, advice
thank you for everything
Well informed etc
customer service
termination
Information, advice
customer service
termination
Information, advice")</f>
        <v>customer service
termination
Information, advice
thank you for everything
Well informed etc
customer service
termination
Information, advice
customer service
termination
Information, advice</v>
      </c>
    </row>
    <row r="327" ht="15.75" customHeight="1">
      <c r="B327" s="2" t="s">
        <v>982</v>
      </c>
      <c r="C327" s="2" t="s">
        <v>983</v>
      </c>
      <c r="D327" s="2" t="s">
        <v>359</v>
      </c>
      <c r="E327" s="2" t="s">
        <v>360</v>
      </c>
      <c r="F327" s="2" t="s">
        <v>15</v>
      </c>
      <c r="G327" s="2" t="s">
        <v>174</v>
      </c>
      <c r="H327" s="2" t="s">
        <v>29</v>
      </c>
      <c r="I327" s="2" t="str">
        <f>IFERROR(__xludf.DUMMYFUNCTION("GOOGLETRANSLATE(C327,""fr"",""en"")"),"Top customer relationship. Very respectful, smiling and jovial agent, which makes you want to sign the contract.")</f>
        <v>Top customer relationship. Very respectful, smiling and jovial agent, which makes you want to sign the contract.</v>
      </c>
    </row>
    <row r="328" ht="15.75" customHeight="1">
      <c r="B328" s="2" t="s">
        <v>984</v>
      </c>
      <c r="C328" s="2" t="s">
        <v>985</v>
      </c>
      <c r="D328" s="2" t="s">
        <v>359</v>
      </c>
      <c r="E328" s="2" t="s">
        <v>360</v>
      </c>
      <c r="F328" s="2" t="s">
        <v>15</v>
      </c>
      <c r="G328" s="2" t="s">
        <v>986</v>
      </c>
      <c r="H328" s="2" t="s">
        <v>29</v>
      </c>
      <c r="I328" s="2" t="str">
        <f>IFERROR(__xludf.DUMMYFUNCTION("GOOGLETRANSLATE(C328,""fr"",""en"")"),"Non -representative opinion because this is the first time that I needed to call customer service. But very good contact with Nelly, the advisor. Listening advisor")</f>
        <v>Non -representative opinion because this is the first time that I needed to call customer service. But very good contact with Nelly, the advisor. Listening advisor</v>
      </c>
    </row>
    <row r="329" ht="15.75" customHeight="1">
      <c r="B329" s="2" t="s">
        <v>987</v>
      </c>
      <c r="C329" s="2" t="s">
        <v>988</v>
      </c>
      <c r="D329" s="2" t="s">
        <v>359</v>
      </c>
      <c r="E329" s="2" t="s">
        <v>360</v>
      </c>
      <c r="F329" s="2" t="s">
        <v>15</v>
      </c>
      <c r="G329" s="2" t="s">
        <v>986</v>
      </c>
      <c r="H329" s="2" t="s">
        <v>29</v>
      </c>
      <c r="I329" s="2" t="str">
        <f>IFERROR(__xludf.DUMMYFUNCTION("GOOGLETRANSLATE(C329,""fr"",""en"")"),"explains well and understanding gives good explanation and very well arranged very good mutual")</f>
        <v>explains well and understanding gives good explanation and very well arranged very good mutual</v>
      </c>
    </row>
    <row r="330" ht="15.75" customHeight="1">
      <c r="B330" s="2" t="s">
        <v>989</v>
      </c>
      <c r="C330" s="2" t="s">
        <v>990</v>
      </c>
      <c r="D330" s="2" t="s">
        <v>359</v>
      </c>
      <c r="E330" s="2" t="s">
        <v>360</v>
      </c>
      <c r="F330" s="2" t="s">
        <v>15</v>
      </c>
      <c r="G330" s="2" t="s">
        <v>991</v>
      </c>
      <c r="H330" s="2" t="s">
        <v>29</v>
      </c>
      <c r="I330" s="2" t="str">
        <f>IFERROR(__xludf.DUMMYFUNCTION("GOOGLETRANSLATE(C330,""fr"",""en"")"),"Very well received and informed telephone by Alison, for a concern for termination dates of my current mutual, I hope that my business will be followed. Currently I can't rule on Santiane, I haven't been there for enough time.")</f>
        <v>Very well received and informed telephone by Alison, for a concern for termination dates of my current mutual, I hope that my business will be followed. Currently I can't rule on Santiane, I haven't been there for enough time.</v>
      </c>
    </row>
    <row r="331" ht="15.75" customHeight="1">
      <c r="B331" s="2" t="s">
        <v>992</v>
      </c>
      <c r="C331" s="2" t="s">
        <v>993</v>
      </c>
      <c r="D331" s="2" t="s">
        <v>359</v>
      </c>
      <c r="E331" s="2" t="s">
        <v>360</v>
      </c>
      <c r="F331" s="2" t="s">
        <v>15</v>
      </c>
      <c r="G331" s="2" t="s">
        <v>994</v>
      </c>
      <c r="H331" s="2" t="s">
        <v>29</v>
      </c>
      <c r="I331" s="2" t="str">
        <f>IFERROR(__xludf.DUMMYFUNCTION("GOOGLETRANSLATE(C331,""fr"",""en"")"),"Very satisfied with customer service and the advisor (Nelly) who processed my requests.")</f>
        <v>Very satisfied with customer service and the advisor (Nelly) who processed my requests.</v>
      </c>
    </row>
    <row r="332" ht="15.75" customHeight="1">
      <c r="B332" s="2" t="s">
        <v>995</v>
      </c>
      <c r="C332" s="2" t="s">
        <v>996</v>
      </c>
      <c r="D332" s="2" t="s">
        <v>359</v>
      </c>
      <c r="E332" s="2" t="s">
        <v>360</v>
      </c>
      <c r="F332" s="2" t="s">
        <v>15</v>
      </c>
      <c r="G332" s="2" t="s">
        <v>997</v>
      </c>
      <c r="H332" s="2" t="s">
        <v>29</v>
      </c>
      <c r="I332" s="2" t="str">
        <f>IFERROR(__xludf.DUMMYFUNCTION("GOOGLETRANSLATE(C332,""fr"",""en"")"),"The Santiane delegates are very welcoming telephone and listening to the problems that the customer can encounter")</f>
        <v>The Santiane delegates are very welcoming telephone and listening to the problems that the customer can encounter</v>
      </c>
    </row>
    <row r="333" ht="15.75" customHeight="1">
      <c r="B333" s="2" t="s">
        <v>998</v>
      </c>
      <c r="C333" s="2" t="s">
        <v>999</v>
      </c>
      <c r="D333" s="2" t="s">
        <v>359</v>
      </c>
      <c r="E333" s="2" t="s">
        <v>360</v>
      </c>
      <c r="F333" s="2" t="s">
        <v>15</v>
      </c>
      <c r="G333" s="2" t="s">
        <v>1000</v>
      </c>
      <c r="H333" s="2" t="s">
        <v>1001</v>
      </c>
      <c r="I333" s="2" t="str">
        <f>IFERROR(__xludf.DUMMYFUNCTION("GOOGLETRANSLATE(C333,""fr"",""en"")"),"After having forced us, without warning, to pay for a completely useless death capital, they accepted the termination on the anniversary date (1 year of unnecessary payment) but they continued to take the subscription
Despite 5 emails and 3 telephone cal"&amp;"ls promising the reimbursement of the too much withdrawn, the reimbursement has still not been made
As for the medical insurance service, the contract they sent to me does not correspond to that of the insurance company which it guarantees hospitalizatio"&amp;"n costs up to 200 % of the SS rate and not 300 % as promised Santian")</f>
        <v>After having forced us, without warning, to pay for a completely useless death capital, they accepted the termination on the anniversary date (1 year of unnecessary payment) but they continued to take the subscription
Despite 5 emails and 3 telephone calls promising the reimbursement of the too much withdrawn, the reimbursement has still not been made
As for the medical insurance service, the contract they sent to me does not correspond to that of the insurance company which it guarantees hospitalization costs up to 200 % of the SS rate and not 300 % as promised Santian</v>
      </c>
    </row>
    <row r="334" ht="15.75" customHeight="1">
      <c r="B334" s="2" t="s">
        <v>1002</v>
      </c>
      <c r="C334" s="2" t="s">
        <v>1003</v>
      </c>
      <c r="D334" s="2" t="s">
        <v>359</v>
      </c>
      <c r="E334" s="2" t="s">
        <v>360</v>
      </c>
      <c r="F334" s="2" t="s">
        <v>15</v>
      </c>
      <c r="G334" s="2" t="s">
        <v>1004</v>
      </c>
      <c r="H334" s="2" t="s">
        <v>1001</v>
      </c>
      <c r="I334" s="2" t="str">
        <f>IFERROR(__xludf.DUMMYFUNCTION("GOOGLETRANSLATE(C334,""fr"",""en"")"),"To flee and as quickly as possible ... Customer for more than a year and it's been 2 months since I saw a ordeal to terminate the contract despite that I provided the necessary documents of the compulsory mutual contract of my wife.")</f>
        <v>To flee and as quickly as possible ... Customer for more than a year and it's been 2 months since I saw a ordeal to terminate the contract despite that I provided the necessary documents of the compulsory mutual contract of my wife.</v>
      </c>
    </row>
    <row r="335" ht="15.75" customHeight="1">
      <c r="B335" s="2" t="s">
        <v>1005</v>
      </c>
      <c r="C335" s="2" t="s">
        <v>1006</v>
      </c>
      <c r="D335" s="2" t="s">
        <v>359</v>
      </c>
      <c r="E335" s="2" t="s">
        <v>360</v>
      </c>
      <c r="F335" s="2" t="s">
        <v>15</v>
      </c>
      <c r="G335" s="2" t="s">
        <v>1007</v>
      </c>
      <c r="H335" s="2" t="s">
        <v>1001</v>
      </c>
      <c r="I335" s="2" t="str">
        <f>IFERROR(__xludf.DUMMYFUNCTION("GOOGLETRANSLATE(C335,""fr"",""en"")"),"To flee..Service Commercial unhappy with my non -suite has rotten me in such. Inadmissible. The more he had slipped me a death insurance in the quote. In Loucedé..Lametable ..")</f>
        <v>To flee..Service Commercial unhappy with my non -suite has rotten me in such. Inadmissible. The more he had slipped me a death insurance in the quote. In Loucedé..Lametable ..</v>
      </c>
    </row>
    <row r="336" ht="15.75" customHeight="1">
      <c r="B336" s="2" t="s">
        <v>1008</v>
      </c>
      <c r="C336" s="2" t="s">
        <v>1009</v>
      </c>
      <c r="D336" s="2" t="s">
        <v>359</v>
      </c>
      <c r="E336" s="2" t="s">
        <v>360</v>
      </c>
      <c r="F336" s="2" t="s">
        <v>15</v>
      </c>
      <c r="G336" s="2" t="s">
        <v>1001</v>
      </c>
      <c r="H336" s="2" t="s">
        <v>1001</v>
      </c>
      <c r="I336" s="2" t="str">
        <f>IFERROR(__xludf.DUMMYFUNCTION("GOOGLETRANSLATE(C336,""fr"",""en"")"),"To flee! they are not serious")</f>
        <v>To flee! they are not serious</v>
      </c>
    </row>
    <row r="337" ht="15.75" customHeight="1">
      <c r="B337" s="2" t="s">
        <v>1010</v>
      </c>
      <c r="C337" s="2" t="s">
        <v>1011</v>
      </c>
      <c r="D337" s="2" t="s">
        <v>359</v>
      </c>
      <c r="E337" s="2" t="s">
        <v>360</v>
      </c>
      <c r="F337" s="2" t="s">
        <v>15</v>
      </c>
      <c r="G337" s="2" t="s">
        <v>1012</v>
      </c>
      <c r="H337" s="2" t="s">
        <v>33</v>
      </c>
      <c r="I337" s="2" t="str">
        <f>IFERROR(__xludf.DUMMYFUNCTION("GOOGLETRANSLATE(C337,""fr"",""en"")"),"Hello I ""changed the mutual contract for a significant increase."" I had an advisor who praised me the Mutual Linéa which is with Santiane I wanted a contract that was important at the dental and optical level! And there surprise I sent a quote for a den"&amp;"tal prosthesis; and when I phoned to find out information on my care and there surprised on 1850. ""Was my contract the reason in my monthly payment of 210 euros j"" have a provident of 67 euros who comes to deduction:! I am scandalized in no case the adv"&amp;"isor ""informed that the thing that said that my contract was important For the reimbursements I wanted. ""was cheated! I signed on 12/20/2018 I would like to know if there is a law law which can make it possible to terminate this contract I especially ad"&amp;"vise this mutual they are champions to confuse people and they want to do at all costs of the figure it There is only what matters to them thank you for answering me cordially")</f>
        <v>Hello I "changed the mutual contract for a significant increase." I had an advisor who praised me the Mutual Linéa which is with Santiane I wanted a contract that was important at the dental and optical level! And there surprise I sent a quote for a dental prosthesis; and when I phoned to find out information on my care and there surprised on 1850. "Was my contract the reason in my monthly payment of 210 euros j" have a provident of 67 euros who comes to deduction:! I am scandalized in no case the advisor "informed that the thing that said that my contract was important For the reimbursements I wanted. "was cheated! I signed on 12/20/2018 I would like to know if there is a law law which can make it possible to terminate this contract I especially advise this mutual they are champions to confuse people and they want to do at all costs of the figure it There is only what matters to them thank you for answering me cordially</v>
      </c>
    </row>
    <row r="338" ht="15.75" customHeight="1">
      <c r="B338" s="2" t="s">
        <v>1013</v>
      </c>
      <c r="C338" s="2" t="s">
        <v>1014</v>
      </c>
      <c r="D338" s="2" t="s">
        <v>359</v>
      </c>
      <c r="E338" s="2" t="s">
        <v>360</v>
      </c>
      <c r="F338" s="2" t="s">
        <v>15</v>
      </c>
      <c r="G338" s="2" t="s">
        <v>1015</v>
      </c>
      <c r="H338" s="2" t="s">
        <v>253</v>
      </c>
      <c r="I338" s="2" t="str">
        <f>IFERROR(__xludf.DUMMYFUNCTION("GOOGLETRANSLATE(C338,""fr"",""en"")"),"It is necessary to flee this insurer, impossible to terminate my old mutual (excluding deadline) no possible refund.")</f>
        <v>It is necessary to flee this insurer, impossible to terminate my old mutual (excluding deadline) no possible refund.</v>
      </c>
    </row>
    <row r="339" ht="15.75" customHeight="1">
      <c r="B339" s="2" t="s">
        <v>1016</v>
      </c>
      <c r="C339" s="2" t="s">
        <v>1017</v>
      </c>
      <c r="D339" s="2" t="s">
        <v>359</v>
      </c>
      <c r="E339" s="2" t="s">
        <v>360</v>
      </c>
      <c r="F339" s="2" t="s">
        <v>15</v>
      </c>
      <c r="G339" s="2" t="s">
        <v>1018</v>
      </c>
      <c r="H339" s="2" t="s">
        <v>253</v>
      </c>
      <c r="I339" s="2" t="str">
        <f>IFERROR(__xludf.DUMMYFUNCTION("GOOGLETRANSLATE(C339,""fr"",""en"")"),"Hello,
I was fooled by this mutual, I had
The idea of ​​registering me in mid August and in early October my situation changed. I wanted to terminate the contract impossible to transmit a document on their page. I called I was told to send a document an"&amp;"d this contract will end automatically. Since I didn't even have two months yet at home. It was impossible for me to send the document neither by email nor to the customer area. And they refuse to terminate my contract. After any attempt I wrote a registe"&amp;"red letter to accompany a document, they told me for lack of proof my contract remains in force. Without forgetting that they took me two months from a blow while my termination approach was underway.
I advise you dear Internet users do not meet their ex"&amp;"pectations do not register for their mutual.
Normally it should not happen like this. But they abuse these people there.
")</f>
        <v>Hello,
I was fooled by this mutual, I had
The idea of ​​registering me in mid August and in early October my situation changed. I wanted to terminate the contract impossible to transmit a document on their page. I called I was told to send a document and this contract will end automatically. Since I didn't even have two months yet at home. It was impossible for me to send the document neither by email nor to the customer area. And they refuse to terminate my contract. After any attempt I wrote a registered letter to accompany a document, they told me for lack of proof my contract remains in force. Without forgetting that they took me two months from a blow while my termination approach was underway.
I advise you dear Internet users do not meet their expectations do not register for their mutual.
Normally it should not happen like this. But they abuse these people there.
</v>
      </c>
    </row>
    <row r="340" ht="15.75" customHeight="1">
      <c r="B340" s="2" t="s">
        <v>1019</v>
      </c>
      <c r="C340" s="2" t="s">
        <v>1020</v>
      </c>
      <c r="D340" s="2" t="s">
        <v>359</v>
      </c>
      <c r="E340" s="2" t="s">
        <v>360</v>
      </c>
      <c r="F340" s="2" t="s">
        <v>15</v>
      </c>
      <c r="G340" s="2" t="s">
        <v>36</v>
      </c>
      <c r="H340" s="2" t="s">
        <v>37</v>
      </c>
      <c r="I340" s="2" t="str">
        <f>IFERROR(__xludf.DUMMYFUNCTION("GOOGLETRANSLATE(C340,""fr"",""en"")"),"Quote on santinae.fr")</f>
        <v>Quote on santinae.fr</v>
      </c>
    </row>
    <row r="341" ht="15.75" customHeight="1">
      <c r="B341" s="2" t="s">
        <v>1021</v>
      </c>
      <c r="C341" s="2" t="s">
        <v>1022</v>
      </c>
      <c r="D341" s="2" t="s">
        <v>359</v>
      </c>
      <c r="E341" s="2" t="s">
        <v>360</v>
      </c>
      <c r="F341" s="2" t="s">
        <v>15</v>
      </c>
      <c r="G341" s="2" t="s">
        <v>1023</v>
      </c>
      <c r="H341" s="2" t="s">
        <v>37</v>
      </c>
      <c r="I341" s="2" t="str">
        <f>IFERROR(__xludf.DUMMYFUNCTION("GOOGLETRANSLATE(C341,""fr"",""en"")"),"They pride themselves on having experience and they were not screwed up well to terminate my previous mutual contract in the right form within the deadlines with the MGEN which is however a very well known mutual in France, result I find myself With two m"&amp;"utual contracts now. I strongly advise against!")</f>
        <v>They pride themselves on having experience and they were not screwed up well to terminate my previous mutual contract in the right form within the deadlines with the MGEN which is however a very well known mutual in France, result I find myself With two mutual contracts now. I strongly advise against!</v>
      </c>
    </row>
    <row r="342" ht="15.75" customHeight="1">
      <c r="B342" s="2" t="s">
        <v>1024</v>
      </c>
      <c r="C342" s="2" t="s">
        <v>1025</v>
      </c>
      <c r="D342" s="2" t="s">
        <v>359</v>
      </c>
      <c r="E342" s="2" t="s">
        <v>360</v>
      </c>
      <c r="F342" s="2" t="s">
        <v>15</v>
      </c>
      <c r="G342" s="2" t="s">
        <v>1026</v>
      </c>
      <c r="H342" s="2" t="s">
        <v>37</v>
      </c>
      <c r="I342" s="2" t="str">
        <f>IFERROR(__xludf.DUMMYFUNCTION("GOOGLETRANSLATE(C342,""fr"",""en"")"),"Great difficulties in removing my contract provides poor information from advisers
Only Ms. Erika Vallin was able to advise me.")</f>
        <v>Great difficulties in removing my contract provides poor information from advisers
Only Ms. Erika Vallin was able to advise me.</v>
      </c>
    </row>
    <row r="343" ht="15.75" customHeight="1">
      <c r="B343" s="2" t="s">
        <v>1027</v>
      </c>
      <c r="C343" s="2" t="s">
        <v>1028</v>
      </c>
      <c r="D343" s="2" t="s">
        <v>359</v>
      </c>
      <c r="E343" s="2" t="s">
        <v>360</v>
      </c>
      <c r="F343" s="2" t="s">
        <v>15</v>
      </c>
      <c r="G343" s="2" t="s">
        <v>1029</v>
      </c>
      <c r="H343" s="2" t="s">
        <v>188</v>
      </c>
      <c r="I343" s="2" t="str">
        <f>IFERROR(__xludf.DUMMYFUNCTION("GOOGLETRANSLATE(C343,""fr"",""en"")"),"I was hung up when I mentioned another mutual that seemed more favorable and which had not been offered to me ...")</f>
        <v>I was hung up when I mentioned another mutual that seemed more favorable and which had not been offered to me ...</v>
      </c>
    </row>
    <row r="344" ht="15.75" customHeight="1">
      <c r="B344" s="2" t="s">
        <v>1030</v>
      </c>
      <c r="C344" s="2" t="s">
        <v>1031</v>
      </c>
      <c r="D344" s="2" t="s">
        <v>359</v>
      </c>
      <c r="E344" s="2" t="s">
        <v>360</v>
      </c>
      <c r="F344" s="2" t="s">
        <v>15</v>
      </c>
      <c r="G344" s="2" t="s">
        <v>1032</v>
      </c>
      <c r="H344" s="2" t="s">
        <v>1033</v>
      </c>
      <c r="I344" s="2" t="str">
        <f>IFERROR(__xludf.DUMMYFUNCTION("GOOGLETRANSLATE(C344,""fr"",""en"")"),"I am satisfied with the Santian insurer with whom I had a first contact in 2013 for a mutual health insurance. Today I called this morning to find new more adequate health insurance with my needs and less expensive. The person reminded me this afternoon w"&amp;"ith a proposal that suits me perfectly and fully meets my needs.")</f>
        <v>I am satisfied with the Santian insurer with whom I had a first contact in 2013 for a mutual health insurance. Today I called this morning to find new more adequate health insurance with my needs and less expensive. The person reminded me this afternoon with a proposal that suits me perfectly and fully meets my needs.</v>
      </c>
    </row>
    <row r="345" ht="15.75" customHeight="1">
      <c r="B345" s="2" t="s">
        <v>1034</v>
      </c>
      <c r="C345" s="2" t="s">
        <v>1035</v>
      </c>
      <c r="D345" s="2" t="s">
        <v>359</v>
      </c>
      <c r="E345" s="2" t="s">
        <v>360</v>
      </c>
      <c r="F345" s="2" t="s">
        <v>15</v>
      </c>
      <c r="G345" s="2" t="s">
        <v>1036</v>
      </c>
      <c r="H345" s="2" t="s">
        <v>41</v>
      </c>
      <c r="I345" s="2" t="str">
        <f>IFERROR(__xludf.DUMMYFUNCTION("GOOGLETRANSLATE(C345,""fr"",""en"")"),"Santiane unlike his contractual commitments, dragging his feet for early termination when the spouse subscribes compulsory insurance from his employer who covers you. Fourth time that we return the employer's certificate, each time they want an additional"&amp;" mention: mention of the compulsory nature of the competing mutual, indications of a security number of insured persons, then the company's stamp .. . Each time a new need to play the watch until the next deadline.")</f>
        <v>Santiane unlike his contractual commitments, dragging his feet for early termination when the spouse subscribes compulsory insurance from his employer who covers you. Fourth time that we return the employer's certificate, each time they want an additional mention: mention of the compulsory nature of the competing mutual, indications of a security number of insured persons, then the company's stamp .. . Each time a new need to play the watch until the next deadline.</v>
      </c>
    </row>
    <row r="346" ht="15.75" customHeight="1">
      <c r="B346" s="2" t="s">
        <v>1037</v>
      </c>
      <c r="C346" s="2" t="s">
        <v>1038</v>
      </c>
      <c r="D346" s="2" t="s">
        <v>359</v>
      </c>
      <c r="E346" s="2" t="s">
        <v>360</v>
      </c>
      <c r="F346" s="2" t="s">
        <v>15</v>
      </c>
      <c r="G346" s="2" t="s">
        <v>1039</v>
      </c>
      <c r="H346" s="2" t="s">
        <v>1040</v>
      </c>
      <c r="I346" s="2" t="str">
        <f>IFERROR(__xludf.DUMMYFUNCTION("GOOGLETRANSLATE(C346,""fr"",""en"")"),"Very good operator. Good options.")</f>
        <v>Very good operator. Good options.</v>
      </c>
    </row>
    <row r="347" ht="15.75" customHeight="1">
      <c r="B347" s="2" t="s">
        <v>1041</v>
      </c>
      <c r="C347" s="2" t="s">
        <v>1042</v>
      </c>
      <c r="D347" s="2" t="s">
        <v>359</v>
      </c>
      <c r="E347" s="2" t="s">
        <v>360</v>
      </c>
      <c r="F347" s="2" t="s">
        <v>15</v>
      </c>
      <c r="G347" s="2" t="s">
        <v>1043</v>
      </c>
      <c r="H347" s="2" t="s">
        <v>1040</v>
      </c>
      <c r="I347" s="2" t="str">
        <f>IFERROR(__xludf.DUMMYFUNCTION("GOOGLETRANSLATE(C347,""fr"",""en"")"),"Client since 2010, undergoing the repetitive increases of my mutual without having time to linger, like many people: ""We will see that later"" and we arrive at exorbitant prices.
A phone call has not appointed a healthy advisor who persevered to have me"&amp;" online and fortunately for me because after 50 short minutes of exchanges, a new signed contract, € 33 in savings per month for the same guarantees ... THANK YOU")</f>
        <v>Client since 2010, undergoing the repetitive increases of my mutual without having time to linger, like many people: "We will see that later" and we arrive at exorbitant prices.
A phone call has not appointed a healthy advisor who persevered to have me online and fortunately for me because after 50 short minutes of exchanges, a new signed contract, € 33 in savings per month for the same guarantees ... THANK YOU</v>
      </c>
    </row>
    <row r="348" ht="15.75" customHeight="1">
      <c r="B348" s="2" t="s">
        <v>1044</v>
      </c>
      <c r="C348" s="2" t="s">
        <v>1045</v>
      </c>
      <c r="D348" s="2" t="s">
        <v>359</v>
      </c>
      <c r="E348" s="2" t="s">
        <v>360</v>
      </c>
      <c r="F348" s="2" t="s">
        <v>15</v>
      </c>
      <c r="G348" s="2" t="s">
        <v>1043</v>
      </c>
      <c r="H348" s="2" t="s">
        <v>1040</v>
      </c>
      <c r="I348" s="2" t="str">
        <f>IFERROR(__xludf.DUMMYFUNCTION("GOOGLETRANSLATE(C348,""fr"",""en"")"),"very clear words about pricing.")</f>
        <v>very clear words about pricing.</v>
      </c>
    </row>
    <row r="349" ht="15.75" customHeight="1">
      <c r="B349" s="2" t="s">
        <v>1046</v>
      </c>
      <c r="C349" s="2" t="s">
        <v>1047</v>
      </c>
      <c r="D349" s="2" t="s">
        <v>359</v>
      </c>
      <c r="E349" s="2" t="s">
        <v>360</v>
      </c>
      <c r="F349" s="2" t="s">
        <v>15</v>
      </c>
      <c r="G349" s="2" t="s">
        <v>1048</v>
      </c>
      <c r="H349" s="2" t="s">
        <v>1040</v>
      </c>
      <c r="I349" s="2" t="str">
        <f>IFERROR(__xludf.DUMMYFUNCTION("GOOGLETRANSLATE(C349,""fr"",""en"")"),"Health insurance broker")</f>
        <v>Health insurance broker</v>
      </c>
    </row>
    <row r="350" ht="15.75" customHeight="1">
      <c r="B350" s="2" t="s">
        <v>1049</v>
      </c>
      <c r="C350" s="2" t="s">
        <v>1050</v>
      </c>
      <c r="D350" s="2" t="s">
        <v>359</v>
      </c>
      <c r="E350" s="2" t="s">
        <v>360</v>
      </c>
      <c r="F350" s="2" t="s">
        <v>15</v>
      </c>
      <c r="G350" s="2" t="s">
        <v>1048</v>
      </c>
      <c r="H350" s="2" t="s">
        <v>1040</v>
      </c>
      <c r="I350" s="2" t="str">
        <f>IFERROR(__xludf.DUMMYFUNCTION("GOOGLETRANSLATE(C350,""fr"",""en"")"),"Very well inform more of the significant bonuses:
2nd opinion.fr for example")</f>
        <v>Very well inform more of the significant bonuses:
2nd opinion.fr for example</v>
      </c>
    </row>
    <row r="351" ht="15.75" customHeight="1">
      <c r="B351" s="2" t="s">
        <v>1051</v>
      </c>
      <c r="C351" s="2" t="s">
        <v>1052</v>
      </c>
      <c r="D351" s="2" t="s">
        <v>359</v>
      </c>
      <c r="E351" s="2" t="s">
        <v>360</v>
      </c>
      <c r="F351" s="2" t="s">
        <v>15</v>
      </c>
      <c r="G351" s="2" t="s">
        <v>1053</v>
      </c>
      <c r="H351" s="2" t="s">
        <v>1040</v>
      </c>
      <c r="I351" s="2" t="str">
        <f>IFERROR(__xludf.DUMMYFUNCTION("GOOGLETRANSLATE(C351,""fr"",""en"")"),"Good satisfaction in terms of telephone exchange and especially in terms of payment which are also very very fast we manage to reach them and are always very kind and pleasant Avtelephone")</f>
        <v>Good satisfaction in terms of telephone exchange and especially in terms of payment which are also very very fast we manage to reach them and are always very kind and pleasant Avtelephone</v>
      </c>
    </row>
    <row r="352" ht="15.75" customHeight="1">
      <c r="B352" s="2" t="s">
        <v>1054</v>
      </c>
      <c r="C352" s="2" t="s">
        <v>1055</v>
      </c>
      <c r="D352" s="2" t="s">
        <v>359</v>
      </c>
      <c r="E352" s="2" t="s">
        <v>360</v>
      </c>
      <c r="F352" s="2" t="s">
        <v>15</v>
      </c>
      <c r="G352" s="2" t="s">
        <v>1056</v>
      </c>
      <c r="H352" s="2" t="s">
        <v>45</v>
      </c>
      <c r="I352" s="2" t="str">
        <f>IFERROR(__xludf.DUMMYFUNCTION("GOOGLETRANSLATE(C352,""fr"",""en"")"),"The cata: an advisor who voluntarily ments the reimbursement amounts of your current mutual to refourgue a Ce Contracts! A refusal to terminate the foresight sold so -called in a pack. Mistrust !")</f>
        <v>The cata: an advisor who voluntarily ments the reimbursement amounts of your current mutual to refourgue a Ce Contracts! A refusal to terminate the foresight sold so -called in a pack. Mistrust !</v>
      </c>
    </row>
    <row r="353" ht="15.75" customHeight="1">
      <c r="B353" s="2" t="s">
        <v>1057</v>
      </c>
      <c r="C353" s="2" t="s">
        <v>1058</v>
      </c>
      <c r="D353" s="2" t="s">
        <v>359</v>
      </c>
      <c r="E353" s="2" t="s">
        <v>360</v>
      </c>
      <c r="F353" s="2" t="s">
        <v>15</v>
      </c>
      <c r="G353" s="2" t="s">
        <v>1059</v>
      </c>
      <c r="H353" s="2" t="s">
        <v>45</v>
      </c>
      <c r="I353" s="2" t="str">
        <f>IFERROR(__xludf.DUMMYFUNCTION("GOOGLETRANSLATE(C353,""fr"",""en"")"),"Very decided by this insurance broker. It is a very expensive service that is absolutely not worth its price. I absolutely do not recommend it to people who have strong health expenses. In addition, the brokers we have on the phone before choosing your co"&amp;"ntract are not rigorous: either they disguise the truth or they do not master the conventional social security prices. In both cases it is very serious. The person I had on the phone simulated reimbursements where there was almost nothing left and I did n"&amp;"ot bother to question it, what a mistake! This is one of the reasons why I contracted this insurance.
This mutual insurance company works like a low cost airline: the prices are not really lower, and in the event of a problem there is no recourse and n"&amp;"obody on the phone.")</f>
        <v>Very decided by this insurance broker. It is a very expensive service that is absolutely not worth its price. I absolutely do not recommend it to people who have strong health expenses. In addition, the brokers we have on the phone before choosing your contract are not rigorous: either they disguise the truth or they do not master the conventional social security prices. In both cases it is very serious. The person I had on the phone simulated reimbursements where there was almost nothing left and I did not bother to question it, what a mistake! This is one of the reasons why I contracted this insurance.
This mutual insurance company works like a low cost airline: the prices are not really lower, and in the event of a problem there is no recourse and nobody on the phone.</v>
      </c>
    </row>
    <row r="354" ht="15.75" customHeight="1">
      <c r="B354" s="2" t="s">
        <v>1060</v>
      </c>
      <c r="C354" s="2" t="s">
        <v>1061</v>
      </c>
      <c r="D354" s="2" t="s">
        <v>359</v>
      </c>
      <c r="E354" s="2" t="s">
        <v>360</v>
      </c>
      <c r="F354" s="2" t="s">
        <v>15</v>
      </c>
      <c r="G354" s="2" t="s">
        <v>1062</v>
      </c>
      <c r="H354" s="2" t="s">
        <v>45</v>
      </c>
      <c r="I354" s="2" t="str">
        <f>IFERROR(__xludf.DUMMYFUNCTION("GOOGLETRANSLATE(C354,""fr"",""en"")"),"I had to do this insurance comparator, I do not regret my choice (Malakoff Mederic) but the fact that I have signed, there was no one on the phone, email !! Just saw that this company was sentenced to a fine of 100,000 euros by the ACPR lol§")</f>
        <v>I had to do this insurance comparator, I do not regret my choice (Malakoff Mederic) but the fact that I have signed, there was no one on the phone, email !! Just saw that this company was sentenced to a fine of 100,000 euros by the ACPR lol§</v>
      </c>
    </row>
    <row r="355" ht="15.75" customHeight="1">
      <c r="B355" s="2" t="s">
        <v>1063</v>
      </c>
      <c r="C355" s="2" t="s">
        <v>1064</v>
      </c>
      <c r="D355" s="2" t="s">
        <v>359</v>
      </c>
      <c r="E355" s="2" t="s">
        <v>360</v>
      </c>
      <c r="F355" s="2" t="s">
        <v>15</v>
      </c>
      <c r="G355" s="2" t="s">
        <v>1065</v>
      </c>
      <c r="H355" s="2" t="s">
        <v>297</v>
      </c>
      <c r="I355" s="2" t="str">
        <f>IFERROR(__xludf.DUMMYFUNCTION("GOOGLETRANSLATE(C355,""fr"",""en"")"),"Former client of Neoliane Santé, I was contacted to change my contributions and services. It comes back to me in the end cheaper to be better reimbursed")</f>
        <v>Former client of Neoliane Santé, I was contacted to change my contributions and services. It comes back to me in the end cheaper to be better reimbursed</v>
      </c>
    </row>
    <row r="356" ht="15.75" customHeight="1">
      <c r="B356" s="2" t="s">
        <v>1066</v>
      </c>
      <c r="C356" s="2" t="s">
        <v>1067</v>
      </c>
      <c r="D356" s="2" t="s">
        <v>359</v>
      </c>
      <c r="E356" s="2" t="s">
        <v>360</v>
      </c>
      <c r="F356" s="2" t="s">
        <v>15</v>
      </c>
      <c r="G356" s="2" t="s">
        <v>1068</v>
      </c>
      <c r="H356" s="2" t="s">
        <v>297</v>
      </c>
      <c r="I356" s="2" t="str">
        <f>IFERROR(__xludf.DUMMYFUNCTION("GOOGLETRANSLATE(C356,""fr"",""en"")"),"Surprised by these rave praise that comes from society, right? When you go to the software of words often come back the same.")</f>
        <v>Surprised by these rave praise that comes from society, right? When you go to the software of words often come back the same.</v>
      </c>
    </row>
    <row r="357" ht="15.75" customHeight="1">
      <c r="B357" s="2" t="s">
        <v>1069</v>
      </c>
      <c r="C357" s="2" t="s">
        <v>1070</v>
      </c>
      <c r="D357" s="2" t="s">
        <v>359</v>
      </c>
      <c r="E357" s="2" t="s">
        <v>360</v>
      </c>
      <c r="F357" s="2" t="s">
        <v>15</v>
      </c>
      <c r="G357" s="2" t="s">
        <v>1068</v>
      </c>
      <c r="H357" s="2" t="s">
        <v>297</v>
      </c>
      <c r="I357" s="2" t="str">
        <f>IFERROR(__xludf.DUMMYFUNCTION("GOOGLETRANSLATE(C357,""fr"",""en"")"),"If you don't need a mutual, take it because otherwise, run away!")</f>
        <v>If you don't need a mutual, take it because otherwise, run away!</v>
      </c>
    </row>
    <row r="358" ht="15.75" customHeight="1">
      <c r="B358" s="2" t="s">
        <v>1071</v>
      </c>
      <c r="C358" s="2" t="s">
        <v>1072</v>
      </c>
      <c r="D358" s="2" t="s">
        <v>359</v>
      </c>
      <c r="E358" s="2" t="s">
        <v>360</v>
      </c>
      <c r="F358" s="2" t="s">
        <v>15</v>
      </c>
      <c r="G358" s="2" t="s">
        <v>1073</v>
      </c>
      <c r="H358" s="2" t="s">
        <v>297</v>
      </c>
      <c r="I358" s="2" t="str">
        <f>IFERROR(__xludf.DUMMYFUNCTION("GOOGLETRANSLATE(C358,""fr"",""en"")"),"I pay my mutual insurance which fully reimburses my subscription of services at the doctor.")</f>
        <v>I pay my mutual insurance which fully reimburses my subscription of services at the doctor.</v>
      </c>
    </row>
    <row r="359" ht="15.75" customHeight="1">
      <c r="B359" s="2" t="s">
        <v>1074</v>
      </c>
      <c r="C359" s="2" t="s">
        <v>1075</v>
      </c>
      <c r="D359" s="2" t="s">
        <v>359</v>
      </c>
      <c r="E359" s="2" t="s">
        <v>360</v>
      </c>
      <c r="F359" s="2" t="s">
        <v>15</v>
      </c>
      <c r="G359" s="2" t="s">
        <v>1076</v>
      </c>
      <c r="H359" s="2" t="s">
        <v>297</v>
      </c>
      <c r="I359" s="2" t="str">
        <f>IFERROR(__xludf.DUMMYFUNCTION("GOOGLETRANSLATE(C359,""fr"",""en"")"),"The insurer knew how to answer my questions and my needs, I now know that I must call on Santiane every year to redo a point on my contract")</f>
        <v>The insurer knew how to answer my questions and my needs, I now know that I must call on Santiane every year to redo a point on my contract</v>
      </c>
    </row>
    <row r="360" ht="15.75" customHeight="1">
      <c r="B360" s="2" t="s">
        <v>1077</v>
      </c>
      <c r="C360" s="2" t="s">
        <v>1078</v>
      </c>
      <c r="D360" s="2" t="s">
        <v>359</v>
      </c>
      <c r="E360" s="2" t="s">
        <v>360</v>
      </c>
      <c r="F360" s="2" t="s">
        <v>15</v>
      </c>
      <c r="G360" s="2" t="s">
        <v>1079</v>
      </c>
      <c r="H360" s="2" t="s">
        <v>297</v>
      </c>
      <c r="I360" s="2" t="str">
        <f>IFERROR(__xludf.DUMMYFUNCTION("GOOGLETRANSLATE(C360,""fr"",""en"")"),"Former member since 2013 I had a very nice welcome for a first membership, I was very well advised at the time today I was in contact with a charming person who was very professional in his approach to advise me on my needs")</f>
        <v>Former member since 2013 I had a very nice welcome for a first membership, I was very well advised at the time today I was in contact with a charming person who was very professional in his approach to advise me on my needs</v>
      </c>
    </row>
    <row r="361" ht="15.75" customHeight="1">
      <c r="B361" s="2" t="s">
        <v>1080</v>
      </c>
      <c r="C361" s="2" t="s">
        <v>1081</v>
      </c>
      <c r="D361" s="2" t="s">
        <v>359</v>
      </c>
      <c r="E361" s="2" t="s">
        <v>360</v>
      </c>
      <c r="F361" s="2" t="s">
        <v>15</v>
      </c>
      <c r="G361" s="2" t="s">
        <v>1082</v>
      </c>
      <c r="H361" s="2" t="s">
        <v>297</v>
      </c>
      <c r="I361" s="2" t="str">
        <f>IFERROR(__xludf.DUMMYFUNCTION("GOOGLETRANSLATE(C361,""fr"",""en"")"),"I am very satisfied with Neoliane / because they meet my needs. What shame with people who are dissatisfied with the mutuals is who they do not let the agents explain the quotes sent to them, they want to compare them even and know nothing about it, every"&amp;"thing that matters To pay cheaper and it is the error has not committed because the reimbursements are not necessarily obvious. months I followed the advice and advise them all explained.")</f>
        <v>I am very satisfied with Neoliane / because they meet my needs. What shame with people who are dissatisfied with the mutuals is who they do not let the agents explain the quotes sent to them, they want to compare them even and know nothing about it, everything that matters To pay cheaper and it is the error has not committed because the reimbursements are not necessarily obvious. months I followed the advice and advise them all explained.</v>
      </c>
    </row>
    <row r="362" ht="15.75" customHeight="1">
      <c r="B362" s="2" t="s">
        <v>1083</v>
      </c>
      <c r="C362" s="2" t="s">
        <v>1084</v>
      </c>
      <c r="D362" s="2" t="s">
        <v>359</v>
      </c>
      <c r="E362" s="2" t="s">
        <v>360</v>
      </c>
      <c r="F362" s="2" t="s">
        <v>15</v>
      </c>
      <c r="G362" s="2" t="s">
        <v>1085</v>
      </c>
      <c r="H362" s="2" t="s">
        <v>201</v>
      </c>
      <c r="I362" s="2" t="str">
        <f>IFERROR(__xludf.DUMMYFUNCTION("GOOGLETRANSLATE(C362,""fr"",""en"")"),"At Sentiane since 2013, I am satisfied with your services and in particular to be contacted regularly each year by your employees")</f>
        <v>At Sentiane since 2013, I am satisfied with your services and in particular to be contacted regularly each year by your employees</v>
      </c>
    </row>
    <row r="363" ht="15.75" customHeight="1">
      <c r="B363" s="2" t="s">
        <v>1086</v>
      </c>
      <c r="C363" s="2" t="s">
        <v>1087</v>
      </c>
      <c r="D363" s="2" t="s">
        <v>359</v>
      </c>
      <c r="E363" s="2" t="s">
        <v>360</v>
      </c>
      <c r="F363" s="2" t="s">
        <v>15</v>
      </c>
      <c r="G363" s="2" t="s">
        <v>1088</v>
      </c>
      <c r="H363" s="2" t="s">
        <v>201</v>
      </c>
      <c r="I363" s="2" t="str">
        <f>IFERROR(__xludf.DUMMYFUNCTION("GOOGLETRANSLATE(C363,""fr"",""en"")"),"I am not a client but they reminded me following a request for a quote, no one who became very aggressive as soon as I did not want to give her my ban de ban de Bank I just wanted a quote, she farted , to flee !!")</f>
        <v>I am not a client but they reminded me following a request for a quote, no one who became very aggressive as soon as I did not want to give her my ban de ban de Bank I just wanted a quote, she farted , to flee !!</v>
      </c>
    </row>
    <row r="364" ht="15.75" customHeight="1">
      <c r="B364" s="2" t="s">
        <v>1089</v>
      </c>
      <c r="C364" s="2" t="s">
        <v>1090</v>
      </c>
      <c r="D364" s="2" t="s">
        <v>359</v>
      </c>
      <c r="E364" s="2" t="s">
        <v>360</v>
      </c>
      <c r="F364" s="2" t="s">
        <v>15</v>
      </c>
      <c r="G364" s="2" t="s">
        <v>204</v>
      </c>
      <c r="H364" s="2" t="s">
        <v>201</v>
      </c>
      <c r="I364" s="2" t="str">
        <f>IFERROR(__xludf.DUMMYFUNCTION("GOOGLETRANSLATE(C364,""fr"",""en"")"),"Nice to have contacted me to revise the formulas")</f>
        <v>Nice to have contacted me to revise the formulas</v>
      </c>
    </row>
    <row r="365" ht="15.75" customHeight="1">
      <c r="B365" s="2" t="s">
        <v>1091</v>
      </c>
      <c r="C365" s="2" t="s">
        <v>1092</v>
      </c>
      <c r="D365" s="2" t="s">
        <v>359</v>
      </c>
      <c r="E365" s="2" t="s">
        <v>360</v>
      </c>
      <c r="F365" s="2" t="s">
        <v>15</v>
      </c>
      <c r="G365" s="2" t="s">
        <v>1093</v>
      </c>
      <c r="H365" s="2" t="s">
        <v>201</v>
      </c>
      <c r="I365" s="2" t="str">
        <f>IFERROR(__xludf.DUMMYFUNCTION("GOOGLETRANSLATE(C365,""fr"",""en"")"),"We were contacted for Santiane, by Angélique, thank you for her patience and her professionalism. The details she brought to us were clear, especially she helped us well for the problems encountered with the services of Néoliane")</f>
        <v>We were contacted for Santiane, by Angélique, thank you for her patience and her professionalism. The details she brought to us were clear, especially she helped us well for the problems encountered with the services of Néoliane</v>
      </c>
    </row>
    <row r="366" ht="15.75" customHeight="1">
      <c r="B366" s="2" t="s">
        <v>1094</v>
      </c>
      <c r="C366" s="2" t="s">
        <v>1095</v>
      </c>
      <c r="D366" s="2" t="s">
        <v>359</v>
      </c>
      <c r="E366" s="2" t="s">
        <v>360</v>
      </c>
      <c r="F366" s="2" t="s">
        <v>15</v>
      </c>
      <c r="G366" s="2" t="s">
        <v>1093</v>
      </c>
      <c r="H366" s="2" t="s">
        <v>201</v>
      </c>
      <c r="I366" s="2" t="str">
        <f>IFERROR(__xludf.DUMMYFUNCTION("GOOGLETRANSLATE(C366,""fr"",""en"")"),"very good welcome and quality price")</f>
        <v>very good welcome and quality price</v>
      </c>
    </row>
    <row r="367" ht="15.75" customHeight="1">
      <c r="B367" s="2" t="s">
        <v>1096</v>
      </c>
      <c r="C367" s="2" t="s">
        <v>1097</v>
      </c>
      <c r="D367" s="2" t="s">
        <v>359</v>
      </c>
      <c r="E367" s="2" t="s">
        <v>360</v>
      </c>
      <c r="F367" s="2" t="s">
        <v>15</v>
      </c>
      <c r="G367" s="2" t="s">
        <v>1098</v>
      </c>
      <c r="H367" s="2" t="s">
        <v>201</v>
      </c>
      <c r="I367" s="2" t="str">
        <f>IFERROR(__xludf.DUMMYFUNCTION("GOOGLETRANSLATE(C367,""fr"",""en"")"),"Customer at home since 2014 satisfied with your services. Today contact to review your services and prices for the year 2019")</f>
        <v>Customer at home since 2014 satisfied with your services. Today contact to review your services and prices for the year 2019</v>
      </c>
    </row>
    <row r="368" ht="15.75" customHeight="1">
      <c r="B368" s="2" t="s">
        <v>1099</v>
      </c>
      <c r="C368" s="2" t="s">
        <v>1100</v>
      </c>
      <c r="D368" s="2" t="s">
        <v>359</v>
      </c>
      <c r="E368" s="2" t="s">
        <v>360</v>
      </c>
      <c r="F368" s="2" t="s">
        <v>15</v>
      </c>
      <c r="G368" s="2" t="s">
        <v>1101</v>
      </c>
      <c r="H368" s="2" t="s">
        <v>201</v>
      </c>
      <c r="I368" s="2" t="str">
        <f>IFERROR(__xludf.DUMMYFUNCTION("GOOGLETRANSLATE(C368,""fr"",""en"")"),"Comment explanation very detail .........................
Comment explanation very detail .........................")</f>
        <v>Comment explanation very detail .........................
Comment explanation very detail .........................</v>
      </c>
    </row>
    <row r="369" ht="15.75" customHeight="1">
      <c r="B369" s="2" t="s">
        <v>1102</v>
      </c>
      <c r="C369" s="2" t="s">
        <v>1103</v>
      </c>
      <c r="D369" s="2" t="s">
        <v>359</v>
      </c>
      <c r="E369" s="2" t="s">
        <v>360</v>
      </c>
      <c r="F369" s="2" t="s">
        <v>15</v>
      </c>
      <c r="G369" s="2" t="s">
        <v>1104</v>
      </c>
      <c r="H369" s="2" t="s">
        <v>201</v>
      </c>
      <c r="I369" s="2" t="str">
        <f>IFERROR(__xludf.DUMMYFUNCTION("GOOGLETRANSLATE(C369,""fr"",""en"")"),"The advisor guided me in my choices of formulas
The advisor guided me in my choices of formulas
The advisor guided me in my choices of formulas
The advisor guided me in my choices of formulas
The advisor guided me in my choices of formulas")</f>
        <v>The advisor guided me in my choices of formulas
The advisor guided me in my choices of formulas
The advisor guided me in my choices of formulas
The advisor guided me in my choices of formulas
The advisor guided me in my choices of formulas</v>
      </c>
    </row>
    <row r="370" ht="15.75" customHeight="1">
      <c r="B370" s="2" t="s">
        <v>1105</v>
      </c>
      <c r="C370" s="2" t="s">
        <v>1106</v>
      </c>
      <c r="D370" s="2" t="s">
        <v>359</v>
      </c>
      <c r="E370" s="2" t="s">
        <v>360</v>
      </c>
      <c r="F370" s="2" t="s">
        <v>15</v>
      </c>
      <c r="G370" s="2" t="s">
        <v>1104</v>
      </c>
      <c r="H370" s="2" t="s">
        <v>201</v>
      </c>
      <c r="I370" s="2" t="str">
        <f>IFERROR(__xludf.DUMMYFUNCTION("GOOGLETRANSLATE(C370,""fr"",""en"")"),"Very good research, good formula calculated as accurately as possible for different personal needs. Lots of time saved, savings made. The listening qualities are present! But good...")</f>
        <v>Very good research, good formula calculated as accurately as possible for different personal needs. Lots of time saved, savings made. The listening qualities are present! But good...</v>
      </c>
    </row>
    <row r="371" ht="15.75" customHeight="1">
      <c r="B371" s="2" t="s">
        <v>1107</v>
      </c>
      <c r="C371" s="2" t="s">
        <v>1108</v>
      </c>
      <c r="D371" s="2" t="s">
        <v>359</v>
      </c>
      <c r="E371" s="2" t="s">
        <v>360</v>
      </c>
      <c r="F371" s="2" t="s">
        <v>15</v>
      </c>
      <c r="G371" s="2" t="s">
        <v>1109</v>
      </c>
      <c r="H371" s="2" t="s">
        <v>201</v>
      </c>
      <c r="I371" s="2" t="str">
        <f>IFERROR(__xludf.DUMMYFUNCTION("GOOGLETRANSLATE(C371,""fr"",""en"")"),"Regarding the Santiane mutual since 2014 we are very satisfied with this mutual. Both in reimbursements and even that we often have people on the phone to take stock of our mutual")</f>
        <v>Regarding the Santiane mutual since 2014 we are very satisfied with this mutual. Both in reimbursements and even that we often have people on the phone to take stock of our mutual</v>
      </c>
    </row>
    <row r="372" ht="15.75" customHeight="1">
      <c r="B372" s="2" t="s">
        <v>1110</v>
      </c>
      <c r="C372" s="2" t="s">
        <v>1111</v>
      </c>
      <c r="D372" s="2" t="s">
        <v>359</v>
      </c>
      <c r="E372" s="2" t="s">
        <v>360</v>
      </c>
      <c r="F372" s="2" t="s">
        <v>15</v>
      </c>
      <c r="G372" s="2" t="s">
        <v>1112</v>
      </c>
      <c r="H372" s="2" t="s">
        <v>1113</v>
      </c>
      <c r="I372" s="2" t="str">
        <f>IFERROR(__xludf.DUMMYFUNCTION("GOOGLETRANSLATE(C372,""fr"",""en"")"),"Very good advice, precise and relevant information, I appreciate the follow -up of the files and the desire displayed to satisfy the customer. I think I am continuing our collaboration, hoping for even more precise help to resolve my administrative questi"&amp;"ons.")</f>
        <v>Very good advice, precise and relevant information, I appreciate the follow -up of the files and the desire displayed to satisfy the customer. I think I am continuing our collaboration, hoping for even more precise help to resolve my administrative questions.</v>
      </c>
    </row>
    <row r="373" ht="15.75" customHeight="1">
      <c r="B373" s="2" t="s">
        <v>1114</v>
      </c>
      <c r="C373" s="2" t="s">
        <v>1115</v>
      </c>
      <c r="D373" s="2" t="s">
        <v>359</v>
      </c>
      <c r="E373" s="2" t="s">
        <v>360</v>
      </c>
      <c r="F373" s="2" t="s">
        <v>15</v>
      </c>
      <c r="G373" s="2" t="s">
        <v>1116</v>
      </c>
      <c r="H373" s="2" t="s">
        <v>1113</v>
      </c>
      <c r="I373" s="2" t="str">
        <f>IFERROR(__xludf.DUMMYFUNCTION("GOOGLETRANSLATE(C373,""fr"",""en"")"),"They really have attractive rates for good guarantees and a choice of formulas adapted to each")</f>
        <v>They really have attractive rates for good guarantees and a choice of formulas adapted to each</v>
      </c>
    </row>
    <row r="374" ht="15.75" customHeight="1">
      <c r="B374" s="2" t="s">
        <v>1117</v>
      </c>
      <c r="C374" s="2" t="s">
        <v>1118</v>
      </c>
      <c r="D374" s="2" t="s">
        <v>359</v>
      </c>
      <c r="E374" s="2" t="s">
        <v>360</v>
      </c>
      <c r="F374" s="2" t="s">
        <v>15</v>
      </c>
      <c r="G374" s="2" t="s">
        <v>1116</v>
      </c>
      <c r="H374" s="2" t="s">
        <v>1113</v>
      </c>
      <c r="I374" s="2" t="str">
        <f>IFERROR(__xludf.DUMMYFUNCTION("GOOGLETRANSLATE(C374,""fr"",""en"")"),"I found a good mutual price, for correct coverage on the hospital and the doctor what I was looking for. Top customer service the latest on the phone")</f>
        <v>I found a good mutual price, for correct coverage on the hospital and the doctor what I was looking for. Top customer service the latest on the phone</v>
      </c>
    </row>
    <row r="375" ht="15.75" customHeight="1">
      <c r="B375" s="2" t="s">
        <v>1119</v>
      </c>
      <c r="C375" s="2" t="s">
        <v>1120</v>
      </c>
      <c r="D375" s="2" t="s">
        <v>359</v>
      </c>
      <c r="E375" s="2" t="s">
        <v>360</v>
      </c>
      <c r="F375" s="2" t="s">
        <v>15</v>
      </c>
      <c r="G375" s="2" t="s">
        <v>207</v>
      </c>
      <c r="H375" s="2" t="s">
        <v>208</v>
      </c>
      <c r="I375" s="2" t="str">
        <f>IFERROR(__xludf.DUMMYFUNCTION("GOOGLETRANSLATE(C375,""fr"",""en"")"),"Like you, I came to this site to compare and choose a mutual insurance company. Like you I have asked myself the question many times, and tried to make a choice. I was guided, I was advised and I took it in the end ... Everything seemed beautiful ... unti"&amp;"l my first hospitalization, early December ... Request for reimbursement, two reminders , a telephone call ... and still nothing.
On the other hand, they are on time for the subscription, that no problem!
It's simple, if they do not react faster, I "&amp;"change to go elsewhere")</f>
        <v>Like you, I came to this site to compare and choose a mutual insurance company. Like you I have asked myself the question many times, and tried to make a choice. I was guided, I was advised and I took it in the end ... Everything seemed beautiful ... until my first hospitalization, early December ... Request for reimbursement, two reminders , a telephone call ... and still nothing.
On the other hand, they are on time for the subscription, that no problem!
It's simple, if they do not react faster, I change to go elsewhere</v>
      </c>
    </row>
    <row r="376" ht="15.75" customHeight="1">
      <c r="B376" s="2" t="s">
        <v>1121</v>
      </c>
      <c r="C376" s="2" t="s">
        <v>1122</v>
      </c>
      <c r="D376" s="2" t="s">
        <v>359</v>
      </c>
      <c r="E376" s="2" t="s">
        <v>360</v>
      </c>
      <c r="F376" s="2" t="s">
        <v>15</v>
      </c>
      <c r="G376" s="2" t="s">
        <v>1123</v>
      </c>
      <c r="H376" s="2" t="s">
        <v>49</v>
      </c>
      <c r="I376" s="2" t="str">
        <f>IFERROR(__xludf.DUMMYFUNCTION("GOOGLETRANSLATE(C376,""fr"",""en"")"),"Hello,
On November 22, 2017 I signed online a complementary health contract Malakoff Médéric Peps2 Tonique 2 with family option.
The advisor sent me a quote that suited me. She reminded me several times for me to sign, which I have done online. But when"&amp;" she signs she send me the quote with an extra provident pack! I didn't notice this difference. So I find myself with a pension contract that I did not want !!")</f>
        <v>Hello,
On November 22, 2017 I signed online a complementary health contract Malakoff Médéric Peps2 Tonique 2 with family option.
The advisor sent me a quote that suited me. She reminded me several times for me to sign, which I have done online. But when she signs she send me the quote with an extra provident pack! I didn't notice this difference. So I find myself with a pension contract that I did not want !!</v>
      </c>
    </row>
    <row r="377" ht="15.75" customHeight="1">
      <c r="B377" s="2" t="s">
        <v>1124</v>
      </c>
      <c r="C377" s="2" t="s">
        <v>1125</v>
      </c>
      <c r="D377" s="2" t="s">
        <v>359</v>
      </c>
      <c r="E377" s="2" t="s">
        <v>360</v>
      </c>
      <c r="F377" s="2" t="s">
        <v>15</v>
      </c>
      <c r="G377" s="2" t="s">
        <v>1126</v>
      </c>
      <c r="H377" s="2" t="s">
        <v>212</v>
      </c>
      <c r="I377" s="2" t="str">
        <f>IFERROR(__xludf.DUMMYFUNCTION("GOOGLETRANSLATE(C377,""fr"",""en"")"),"A forced sale or a gentleman ... made me believe that it was the security which mandated you from the law of Marisol Touraine of 2016 I received an SMS to make the digital signature but never it was questions of direct debits.
When he asked me for conf"&amp;"irmation of my RIB for the Idem reimbursement ....
Following this I receive an SMS for digital signature but when I see that I have to pay € 22.15/month I tell him not wanting the contract. This MR replied that it does not matter that he had also had t"&amp;"he SMS and that the digital signature was doing.
I end up with a forced contract from your home. Following this call I contacted my bank to blocked any operation, my bank card, I contacted my insurer who advises me to file a complaint.
Go help me af"&amp;"ter this forced sale, especially since the requested number is false 09 80 09 17 12.
Thank you for acting before a complaint is filed against you as a forced sale, abuse of a disabled person as advised by my insurer and the legal service and my bank wh"&amp;"ich would be in support behind me.
Regards and waiting for your quick response.
In Willems.
")</f>
        <v>A forced sale or a gentleman ... made me believe that it was the security which mandated you from the law of Marisol Touraine of 2016 I received an SMS to make the digital signature but never it was questions of direct debits.
When he asked me for confirmation of my RIB for the Idem reimbursement ....
Following this I receive an SMS for digital signature but when I see that I have to pay € 22.15/month I tell him not wanting the contract. This MR replied that it does not matter that he had also had the SMS and that the digital signature was doing.
I end up with a forced contract from your home. Following this call I contacted my bank to blocked any operation, my bank card, I contacted my insurer who advises me to file a complaint.
Go help me after this forced sale, especially since the requested number is false 09 80 09 17 12.
Thank you for acting before a complaint is filed against you as a forced sale, abuse of a disabled person as advised by my insurer and the legal service and my bank which would be in support behind me.
Regards and waiting for your quick response.
In Willems.
</v>
      </c>
    </row>
    <row r="378" ht="15.75" customHeight="1">
      <c r="B378" s="2" t="s">
        <v>1127</v>
      </c>
      <c r="C378" s="2" t="s">
        <v>1128</v>
      </c>
      <c r="D378" s="2" t="s">
        <v>359</v>
      </c>
      <c r="E378" s="2" t="s">
        <v>360</v>
      </c>
      <c r="F378" s="2" t="s">
        <v>15</v>
      </c>
      <c r="G378" s="2" t="s">
        <v>1129</v>
      </c>
      <c r="H378" s="2" t="s">
        <v>53</v>
      </c>
      <c r="I378" s="2" t="str">
        <f>IFERROR(__xludf.DUMMYFUNCTION("GOOGLETRANSLATE(C378,""fr"",""en"")"),"No zero I wanted a mutual insurance company to have a good health guarantee but never worked my mutual to always ask for money I blocked the bank and basta levy and basta")</f>
        <v>No zero I wanted a mutual insurance company to have a good health guarantee but never worked my mutual to always ask for money I blocked the bank and basta levy and basta</v>
      </c>
    </row>
    <row r="379" ht="15.75" customHeight="1">
      <c r="B379" s="2" t="s">
        <v>1130</v>
      </c>
      <c r="C379" s="2" t="s">
        <v>1131</v>
      </c>
      <c r="D379" s="2" t="s">
        <v>359</v>
      </c>
      <c r="E379" s="2" t="s">
        <v>360</v>
      </c>
      <c r="F379" s="2" t="s">
        <v>15</v>
      </c>
      <c r="G379" s="2" t="s">
        <v>1132</v>
      </c>
      <c r="H379" s="2" t="s">
        <v>1133</v>
      </c>
      <c r="I379" s="2" t="str">
        <f>IFERROR(__xludf.DUMMYFUNCTION("GOOGLETRANSLATE(C379,""fr"",""en"")"),"A canvassing just at the top level, as they know how to do so well, promises and even commitments on the fly, all to realize the first request, that of all this, wind, pipo, and a beautiful Supercherry!
In addition, strangely the contract sold by this su"&amp;"pposedly online comparator, is not provided by any other company, otherwise theirs (check the addresses) orys health ... it is beautiful, manipulation. In any case, it is over online subscriptions as far as I am concerned!
Especially for insurance!")</f>
        <v>A canvassing just at the top level, as they know how to do so well, promises and even commitments on the fly, all to realize the first request, that of all this, wind, pipo, and a beautiful Supercherry!
In addition, strangely the contract sold by this supposedly online comparator, is not provided by any other company, otherwise theirs (check the addresses) orys health ... it is beautiful, manipulation. In any case, it is over online subscriptions as far as I am concerned!
Especially for insurance!</v>
      </c>
    </row>
    <row r="380" ht="15.75" customHeight="1">
      <c r="B380" s="2" t="s">
        <v>1134</v>
      </c>
      <c r="C380" s="2" t="s">
        <v>1135</v>
      </c>
      <c r="D380" s="2" t="s">
        <v>359</v>
      </c>
      <c r="E380" s="2" t="s">
        <v>360</v>
      </c>
      <c r="F380" s="2" t="s">
        <v>15</v>
      </c>
      <c r="G380" s="2" t="s">
        <v>1136</v>
      </c>
      <c r="H380" s="2" t="s">
        <v>1136</v>
      </c>
      <c r="I380" s="2" t="str">
        <f>IFERROR(__xludf.DUMMYFUNCTION("GOOGLETRANSLATE(C380,""fr"",""en"")"),"Not to be advised!")</f>
        <v>Not to be advised!</v>
      </c>
    </row>
    <row r="381" ht="15.75" customHeight="1">
      <c r="B381" s="2" t="s">
        <v>1137</v>
      </c>
      <c r="C381" s="2" t="s">
        <v>1138</v>
      </c>
      <c r="D381" s="2" t="s">
        <v>359</v>
      </c>
      <c r="E381" s="2" t="s">
        <v>360</v>
      </c>
      <c r="F381" s="2" t="s">
        <v>15</v>
      </c>
      <c r="G381" s="2" t="s">
        <v>1139</v>
      </c>
      <c r="H381" s="2" t="s">
        <v>223</v>
      </c>
      <c r="I381" s="2" t="str">
        <f>IFERROR(__xludf.DUMMYFUNCTION("GOOGLETRANSLATE(C381,""fr"",""en"")"),"Telephone harassment following internet research from Santiane that I had not directly asked. Their telephone advisers are aggressive and remind you when you explain to them (always with respect on my part) that you are not interested in their service. Th"&amp;"eir frustration of not ""transforming the sale"" or not ""controlling"" the telephone exchange produces very quickly of the animosity on their part. On this day of 05/23/2017, a certain Nicolas hangs up with me when I tell him having already chosen a mutu"&amp;"al and reminds me of not containing them ... while I had already asked (always with Respect and calm) to one of their teleconsillers to stop calling me one day before ... already 7 calls this day and it is only 1 p.m. ...")</f>
        <v>Telephone harassment following internet research from Santiane that I had not directly asked. Their telephone advisers are aggressive and remind you when you explain to them (always with respect on my part) that you are not interested in their service. Their frustration of not "transforming the sale" or not "controlling" the telephone exchange produces very quickly of the animosity on their part. On this day of 05/23/2017, a certain Nicolas hangs up with me when I tell him having already chosen a mutual and reminds me of not containing them ... while I had already asked (always with Respect and calm) to one of their teleconsillers to stop calling me one day before ... already 7 calls this day and it is only 1 p.m. ...</v>
      </c>
    </row>
    <row r="382" ht="15.75" customHeight="1">
      <c r="B382" s="2" t="s">
        <v>1140</v>
      </c>
      <c r="C382" s="2" t="s">
        <v>1141</v>
      </c>
      <c r="D382" s="2" t="s">
        <v>359</v>
      </c>
      <c r="E382" s="2" t="s">
        <v>360</v>
      </c>
      <c r="F382" s="2" t="s">
        <v>15</v>
      </c>
      <c r="G382" s="2" t="s">
        <v>226</v>
      </c>
      <c r="H382" s="2" t="s">
        <v>61</v>
      </c>
      <c r="I382" s="2" t="str">
        <f>IFERROR(__xludf.DUMMYFUNCTION("GOOGLETRANSLATE(C382,""fr"",""en"")"),"Good experience, I have been advised this broker by my sister who has passed through them for three years and I therefore have joined for my part in January 2016. The prices are attractive and allow to find mutuals which reimburse rather well.")</f>
        <v>Good experience, I have been advised this broker by my sister who has passed through them for three years and I therefore have joined for my part in January 2016. The prices are attractive and allow to find mutuals which reimburse rather well.</v>
      </c>
    </row>
    <row r="383" ht="15.75" customHeight="1">
      <c r="B383" s="2" t="s">
        <v>1142</v>
      </c>
      <c r="C383" s="2" t="s">
        <v>1143</v>
      </c>
      <c r="D383" s="2" t="s">
        <v>359</v>
      </c>
      <c r="E383" s="2" t="s">
        <v>360</v>
      </c>
      <c r="F383" s="2" t="s">
        <v>15</v>
      </c>
      <c r="G383" s="2" t="s">
        <v>1144</v>
      </c>
      <c r="H383" s="2" t="s">
        <v>61</v>
      </c>
      <c r="I383" s="2" t="str">
        <f>IFERROR(__xludf.DUMMYFUNCTION("GOOGLETRANSLATE(C383,""fr"",""en"")"),"Rather satisfied with Snatiane's service because I have nothing to get it back for the moment, I have fairly quick answers to my letters, emails in general within 48 hours and calls without waiting so if I should note them I would say that 'They have a sc"&amp;"ore of 8.5 out of 10 on the barometer of insurance brokers.")</f>
        <v>Rather satisfied with Snatiane's service because I have nothing to get it back for the moment, I have fairly quick answers to my letters, emails in general within 48 hours and calls without waiting so if I should note them I would say that 'They have a score of 8.5 out of 10 on the barometer of insurance brokers.</v>
      </c>
    </row>
    <row r="384" ht="15.75" customHeight="1">
      <c r="B384" s="2" t="s">
        <v>1145</v>
      </c>
      <c r="C384" s="2" t="s">
        <v>1146</v>
      </c>
      <c r="D384" s="2" t="s">
        <v>359</v>
      </c>
      <c r="E384" s="2" t="s">
        <v>360</v>
      </c>
      <c r="F384" s="2" t="s">
        <v>15</v>
      </c>
      <c r="G384" s="2" t="s">
        <v>1147</v>
      </c>
      <c r="H384" s="2" t="s">
        <v>61</v>
      </c>
      <c r="I384" s="2" t="str">
        <f>IFERROR(__xludf.DUMMYFUNCTION("GOOGLETRANSLATE(C384,""fr"",""en"")"),"Disappointed a lot of parlotte subsidized in December 2017 that troubles not recognized unlikely card, no refund on the other hand payment made 196 breeders in January plus 20 euros of expenses and icing on the cake a levy last January of 131E54 instead o"&amp;"f 125E22 more broker m. Adam not the concern of Mutua Management they refer the ball and still no card")</f>
        <v>Disappointed a lot of parlotte subsidized in December 2017 that troubles not recognized unlikely card, no refund on the other hand payment made 196 breeders in January plus 20 euros of expenses and icing on the cake a levy last January of 131E54 instead of 125E22 more broker m. Adam not the concern of Mutua Management they refer the ball and still no card</v>
      </c>
    </row>
    <row r="385" ht="15.75" customHeight="1">
      <c r="B385" s="2" t="s">
        <v>1148</v>
      </c>
      <c r="C385" s="2" t="s">
        <v>1149</v>
      </c>
      <c r="D385" s="2" t="s">
        <v>359</v>
      </c>
      <c r="E385" s="2" t="s">
        <v>360</v>
      </c>
      <c r="F385" s="2" t="s">
        <v>15</v>
      </c>
      <c r="G385" s="2" t="s">
        <v>1150</v>
      </c>
      <c r="H385" s="2" t="s">
        <v>61</v>
      </c>
      <c r="I385" s="2" t="str">
        <f>IFERROR(__xludf.DUMMYFUNCTION("GOOGLETRANSLATE(C385,""fr"",""en"")"),"Insurance to avoid my parents souched at home for 2017 when their current mutuals did not accept the chatel law when we were contacting them to cancel we have been told that you are not worried we are going to resil your mutual insurance not the right to "&amp;"refuse and Sil there is a refusal we cancel ours, the my parents have 2 mutelles and Neoliane no longer want to cancel ... I appeal to a lawyer but do not answer my lawyer I appeal to the rights of the consomators do not answer them. ... I don't know what"&amp;" to do ... really flee this insurance he would make it very up to him to close a shame")</f>
        <v>Insurance to avoid my parents souched at home for 2017 when their current mutuals did not accept the chatel law when we were contacting them to cancel we have been told that you are not worried we are going to resil your mutual insurance not the right to refuse and Sil there is a refusal we cancel ours, the my parents have 2 mutelles and Neoliane no longer want to cancel ... I appeal to a lawyer but do not answer my lawyer I appeal to the rights of the consomators do not answer them. ... I don't know what to do ... really flee this insurance he would make it very up to him to close a shame</v>
      </c>
    </row>
    <row r="386" ht="15.75" customHeight="1">
      <c r="B386" s="2" t="s">
        <v>1151</v>
      </c>
      <c r="C386" s="2" t="s">
        <v>1152</v>
      </c>
      <c r="D386" s="2" t="s">
        <v>359</v>
      </c>
      <c r="E386" s="2" t="s">
        <v>360</v>
      </c>
      <c r="F386" s="2" t="s">
        <v>15</v>
      </c>
      <c r="G386" s="2" t="s">
        <v>229</v>
      </c>
      <c r="H386" s="2" t="s">
        <v>230</v>
      </c>
      <c r="I386" s="2" t="str">
        <f>IFERROR(__xludf.DUMMYFUNCTION("GOOGLETRANSLATE(C386,""fr"",""en"")"),"BE CAREFULL !! It is a brokerage company that will do everything to extract money, it makes you subscribe contracts that cannot be terminated thanks to the Chatel law. To avoid absolutely !!! It does not send you a deadline for maturity, their advisers li"&amp;"e or ignore your requests, and that just to make you pay for 1 year of additional contribution in an unfair manner. Even if you have no more money, they will come and claim at your door, in short ... I let you imagine the mentality of this society! To avo"&amp;"id if you do not have an extraordinary memory to remember all your contracts and your due date, because they will not tell you anything, but will rub their hands well!")</f>
        <v>BE CAREFULL !! It is a brokerage company that will do everything to extract money, it makes you subscribe contracts that cannot be terminated thanks to the Chatel law. To avoid absolutely !!! It does not send you a deadline for maturity, their advisers lie or ignore your requests, and that just to make you pay for 1 year of additional contribution in an unfair manner. Even if you have no more money, they will come and claim at your door, in short ... I let you imagine the mentality of this society! To avoid if you do not have an extraordinary memory to remember all your contracts and your due date, because they will not tell you anything, but will rub their hands well!</v>
      </c>
    </row>
    <row r="387" ht="15.75" customHeight="1">
      <c r="B387" s="2" t="s">
        <v>1153</v>
      </c>
      <c r="C387" s="2" t="s">
        <v>1154</v>
      </c>
      <c r="D387" s="2" t="s">
        <v>359</v>
      </c>
      <c r="E387" s="2" t="s">
        <v>360</v>
      </c>
      <c r="F387" s="2" t="s">
        <v>15</v>
      </c>
      <c r="G387" s="2" t="s">
        <v>1155</v>
      </c>
      <c r="H387" s="2" t="s">
        <v>230</v>
      </c>
      <c r="I387" s="2" t="str">
        <f>IFERROR(__xludf.DUMMYFUNCTION("GOOGLETRANSLATE(C387,""fr"",""en"")"),"It is a very good intermediary, because at the delas of the work of comparisons on the prices offered by insurers, this broker knows how to sometimes make the junction between the customer and the insurer and that helped me ... I recommend")</f>
        <v>It is a very good intermediary, because at the delas of the work of comparisons on the prices offered by insurers, this broker knows how to sometimes make the junction between the customer and the insurer and that helped me ... I recommend</v>
      </c>
    </row>
    <row r="388" ht="15.75" customHeight="1">
      <c r="B388" s="2" t="s">
        <v>1156</v>
      </c>
      <c r="C388" s="2" t="s">
        <v>1157</v>
      </c>
      <c r="D388" s="2" t="s">
        <v>359</v>
      </c>
      <c r="E388" s="2" t="s">
        <v>360</v>
      </c>
      <c r="F388" s="2" t="s">
        <v>15</v>
      </c>
      <c r="G388" s="2" t="s">
        <v>1155</v>
      </c>
      <c r="H388" s="2" t="s">
        <v>230</v>
      </c>
      <c r="I388" s="2" t="str">
        <f>IFERROR(__xludf.DUMMYFUNCTION("GOOGLETRANSLATE(C388,""fr"",""en"")"),"Quality loads for a more than correct price is what I ask my broker every year and he does the job so I would prologue as long as Santian meets my expectations.")</f>
        <v>Quality loads for a more than correct price is what I ask my broker every year and he does the job so I would prologue as long as Santian meets my expectations.</v>
      </c>
    </row>
    <row r="389" ht="15.75" customHeight="1">
      <c r="B389" s="2" t="s">
        <v>1158</v>
      </c>
      <c r="C389" s="2" t="s">
        <v>1159</v>
      </c>
      <c r="D389" s="2" t="s">
        <v>359</v>
      </c>
      <c r="E389" s="2" t="s">
        <v>360</v>
      </c>
      <c r="F389" s="2" t="s">
        <v>15</v>
      </c>
      <c r="G389" s="2" t="s">
        <v>1160</v>
      </c>
      <c r="H389" s="2" t="s">
        <v>230</v>
      </c>
      <c r="I389" s="2" t="str">
        <f>IFERROR(__xludf.DUMMYFUNCTION("GOOGLETRANSLATE(C389,""fr"",""en"")"),"I start my second year with this broker and in 2017 I was able to change insurer to benefit from a product much more suited to what I was looking for. I saved my eneergie because they take charge of termination as the first year of Device. It's great.")</f>
        <v>I start my second year with this broker and in 2017 I was able to change insurer to benefit from a product much more suited to what I was looking for. I saved my eneergie because they take charge of termination as the first year of Device. It's great.</v>
      </c>
    </row>
    <row r="390" ht="15.75" customHeight="1">
      <c r="B390" s="2" t="s">
        <v>1161</v>
      </c>
      <c r="C390" s="2" t="s">
        <v>1162</v>
      </c>
      <c r="D390" s="2" t="s">
        <v>359</v>
      </c>
      <c r="E390" s="2" t="s">
        <v>360</v>
      </c>
      <c r="F390" s="2" t="s">
        <v>15</v>
      </c>
      <c r="G390" s="2" t="s">
        <v>1163</v>
      </c>
      <c r="H390" s="2" t="s">
        <v>234</v>
      </c>
      <c r="I390" s="2" t="str">
        <f>IFERROR(__xludf.DUMMYFUNCTION("GOOGLETRANSLATE(C390,""fr"",""en"")"),"Attention danger!!! Above all, not to deal with Santiane. I have the same problems: unable to terminate however as soon as possible etc ...... It's been 3 years since my friend is harassed by the same group and I fell in The panel (very beautiful speaker)"&amp;" I therefore opposed any levy from my bank account. Mment my country can give up similar organizations. of overlaps and all the bailiffs that Santian will want to send me.")</f>
        <v>Attention danger!!! Above all, not to deal with Santiane. I have the same problems: unable to terminate however as soon as possible etc ...... It's been 3 years since my friend is harassed by the same group and I fell in The panel (very beautiful speaker) I therefore opposed any levy from my bank account. Mment my country can give up similar organizations. of overlaps and all the bailiffs that Santian will want to send me.</v>
      </c>
    </row>
    <row r="391" ht="15.75" customHeight="1">
      <c r="B391" s="2" t="s">
        <v>1164</v>
      </c>
      <c r="C391" s="2" t="s">
        <v>1165</v>
      </c>
      <c r="D391" s="2" t="s">
        <v>359</v>
      </c>
      <c r="E391" s="2" t="s">
        <v>360</v>
      </c>
      <c r="F391" s="2" t="s">
        <v>15</v>
      </c>
      <c r="G391" s="2" t="s">
        <v>1166</v>
      </c>
      <c r="H391" s="2" t="s">
        <v>234</v>
      </c>
      <c r="I391" s="2" t="str">
        <f>IFERROR(__xludf.DUMMYFUNCTION("GOOGLETRANSLATE(C391,""fr"",""en"")"),"The promises made by the counselor are not held: the so -called increase in reimbursements in the optical field, compared to my previous mutual, comes down to 3 euros for an increase in contribution of around 10th per month. As for customer service, untou"&amp;"chable in tel., And the promise to be able to modify your contract after a year ??? total absence of follow -up.")</f>
        <v>The promises made by the counselor are not held: the so -called increase in reimbursements in the optical field, compared to my previous mutual, comes down to 3 euros for an increase in contribution of around 10th per month. As for customer service, untouchable in tel., And the promise to be able to modify your contract after a year ??? total absence of follow -up.</v>
      </c>
    </row>
    <row r="392" ht="15.75" customHeight="1">
      <c r="B392" s="2" t="s">
        <v>1167</v>
      </c>
      <c r="C392" s="2" t="s">
        <v>1168</v>
      </c>
      <c r="D392" s="2" t="s">
        <v>359</v>
      </c>
      <c r="E392" s="2" t="s">
        <v>360</v>
      </c>
      <c r="F392" s="2" t="s">
        <v>15</v>
      </c>
      <c r="G392" s="2" t="s">
        <v>1169</v>
      </c>
      <c r="H392" s="2" t="s">
        <v>234</v>
      </c>
      <c r="I392" s="2" t="str">
        <f>IFERROR(__xludf.DUMMYFUNCTION("GOOGLETRANSLATE(C392,""fr"",""en"")"),"I decided to enjoy my 14 legal days of the right of withdrawal with Santiane.
From one, I call and volume on a very aggressive hostess who does not want to inform me.
Very well I send emails, no answer, I have a recommended no answer.
And this since 20"&amp;"13, Santiane has been asking me for the subscription every month, a sum which of course becomes higher and higher.
I did not review the sum of the 1st contribution, mutual to flee like the plague")</f>
        <v>I decided to enjoy my 14 legal days of the right of withdrawal with Santiane.
From one, I call and volume on a very aggressive hostess who does not want to inform me.
Very well I send emails, no answer, I have a recommended no answer.
And this since 2013, Santiane has been asking me for the subscription every month, a sum which of course becomes higher and higher.
I did not review the sum of the 1st contribution, mutual to flee like the plague</v>
      </c>
    </row>
    <row r="393" ht="15.75" customHeight="1">
      <c r="B393" s="2" t="s">
        <v>1170</v>
      </c>
      <c r="C393" s="2" t="s">
        <v>1171</v>
      </c>
      <c r="D393" s="2" t="s">
        <v>359</v>
      </c>
      <c r="E393" s="2" t="s">
        <v>360</v>
      </c>
      <c r="F393" s="2" t="s">
        <v>15</v>
      </c>
      <c r="G393" s="2" t="s">
        <v>1172</v>
      </c>
      <c r="H393" s="2" t="s">
        <v>234</v>
      </c>
      <c r="I393" s="2" t="str">
        <f>IFERROR(__xludf.DUMMYFUNCTION("GOOGLETRANSLATE(C393,""fr"",""en"")"),"A simple and effective execution, the most is undoubtedly to have an advisor to detail the sproposions! I advise finished giving insurers without silt!")</f>
        <v>A simple and effective execution, the most is undoubtedly to have an advisor to detail the sproposions! I advise finished giving insurers without silt!</v>
      </c>
    </row>
    <row r="394" ht="15.75" customHeight="1">
      <c r="B394" s="2" t="s">
        <v>1173</v>
      </c>
      <c r="C394" s="2" t="s">
        <v>1174</v>
      </c>
      <c r="D394" s="2" t="s">
        <v>359</v>
      </c>
      <c r="E394" s="2" t="s">
        <v>360</v>
      </c>
      <c r="F394" s="2" t="s">
        <v>15</v>
      </c>
      <c r="G394" s="2" t="s">
        <v>1175</v>
      </c>
      <c r="H394" s="2" t="s">
        <v>234</v>
      </c>
      <c r="I394" s="2" t="str">
        <f>IFERROR(__xludf.DUMMYFUNCTION("GOOGLETRANSLATE(C394,""fr"",""en"")"),"To avoid urgently, Santiane promises you a nice thing but if you have to terminate with their their reasons (including a compulsory group mutual for example), it is not ""subject"" to the Hamon law and will pay you as much that it can until the end of the"&amp;" year of the contract. I highly regret my choice, I lost more than 90 euros, thanks to them!")</f>
        <v>To avoid urgently, Santiane promises you a nice thing but if you have to terminate with their their reasons (including a compulsory group mutual for example), it is not "subject" to the Hamon law and will pay you as much that it can until the end of the year of the contract. I highly regret my choice, I lost more than 90 euros, thanks to them!</v>
      </c>
    </row>
    <row r="395" ht="15.75" customHeight="1">
      <c r="B395" s="2" t="s">
        <v>1176</v>
      </c>
      <c r="C395" s="2" t="s">
        <v>1177</v>
      </c>
      <c r="D395" s="2" t="s">
        <v>359</v>
      </c>
      <c r="E395" s="2" t="s">
        <v>360</v>
      </c>
      <c r="F395" s="2" t="s">
        <v>15</v>
      </c>
      <c r="G395" s="2" t="s">
        <v>269</v>
      </c>
      <c r="H395" s="2" t="s">
        <v>238</v>
      </c>
      <c r="I395" s="2" t="str">
        <f>IFERROR(__xludf.DUMMYFUNCTION("GOOGLETRANSLATE(C395,""fr"",""en"")"),"I compared on the Santiane site the year last year and they took care of my manner termination being able to free myself from my former insurer. I had a delay on one of my reimbursement a few weeks ago and they were able to help me by transmitting the ele"&amp;"ments to my mutual therefore so I am happy with their service.")</f>
        <v>I compared on the Santiane site the year last year and they took care of my manner termination being able to free myself from my former insurer. I had a delay on one of my reimbursement a few weeks ago and they were able to help me by transmitting the elements to my mutual therefore so I am happy with their service.</v>
      </c>
    </row>
    <row r="396" ht="15.75" customHeight="1">
      <c r="B396" s="2" t="s">
        <v>1178</v>
      </c>
      <c r="C396" s="2" t="s">
        <v>1179</v>
      </c>
      <c r="D396" s="2" t="s">
        <v>359</v>
      </c>
      <c r="E396" s="2" t="s">
        <v>360</v>
      </c>
      <c r="F396" s="2" t="s">
        <v>15</v>
      </c>
      <c r="G396" s="2" t="s">
        <v>1180</v>
      </c>
      <c r="H396" s="2" t="s">
        <v>238</v>
      </c>
      <c r="I396" s="2" t="str">
        <f>IFERROR(__xludf.DUMMYFUNCTION("GOOGLETRANSLATE(C396,""fr"",""en"")"),"Simple and fast use I went directly via the comparator they have on the website and the details of the formulas presents the light information important information so it allowed me to compare easily")</f>
        <v>Simple and fast use I went directly via the comparator they have on the website and the details of the formulas presents the light information important information so it allowed me to compare easily</v>
      </c>
    </row>
    <row r="397" ht="15.75" customHeight="1">
      <c r="B397" s="2" t="s">
        <v>1181</v>
      </c>
      <c r="C397" s="2" t="s">
        <v>1182</v>
      </c>
      <c r="D397" s="2" t="s">
        <v>359</v>
      </c>
      <c r="E397" s="2" t="s">
        <v>360</v>
      </c>
      <c r="F397" s="2" t="s">
        <v>15</v>
      </c>
      <c r="G397" s="2" t="s">
        <v>306</v>
      </c>
      <c r="H397" s="2" t="s">
        <v>238</v>
      </c>
      <c r="I397" s="2" t="str">
        <f>IFERROR(__xludf.DUMMYFUNCTION("GOOGLETRANSLATE(C397,""fr"",""en"")"),"I have been doing my research for this comparator for two years now because the prices are correct and the method is fast. I changed each year of complementary because I needed superior guarantees and they were able to intervene by giving me the necessary"&amp;" instructions for Defeat terminations in time. I no longer have the same advice as at the start but finally it does not bother me because I prefer the news.")</f>
        <v>I have been doing my research for this comparator for two years now because the prices are correct and the method is fast. I changed each year of complementary because I needed superior guarantees and they were able to intervene by giving me the necessary instructions for Defeat terminations in time. I no longer have the same advice as at the start but finally it does not bother me because I prefer the news.</v>
      </c>
    </row>
    <row r="398" ht="15.75" customHeight="1">
      <c r="B398" s="2" t="s">
        <v>1183</v>
      </c>
      <c r="C398" s="2" t="s">
        <v>1184</v>
      </c>
      <c r="D398" s="2" t="s">
        <v>1185</v>
      </c>
      <c r="E398" s="2" t="s">
        <v>360</v>
      </c>
      <c r="F398" s="2" t="s">
        <v>15</v>
      </c>
      <c r="G398" s="2" t="s">
        <v>1186</v>
      </c>
      <c r="H398" s="2" t="s">
        <v>1187</v>
      </c>
      <c r="I398" s="2" t="str">
        <f>IFERROR(__xludf.DUMMYFUNCTION("GOOGLETRANSLATE(C398,""fr"",""en"")"),"In 36 years, I have always been satisfied with the MGP services, obtaining an adviser on the phone always fast and competent corresponding. Best regards.")</f>
        <v>In 36 years, I have always been satisfied with the MGP services, obtaining an adviser on the phone always fast and competent corresponding. Best regards.</v>
      </c>
    </row>
    <row r="399" ht="15.75" customHeight="1">
      <c r="B399" s="2" t="s">
        <v>1188</v>
      </c>
      <c r="C399" s="2" t="s">
        <v>1189</v>
      </c>
      <c r="D399" s="2" t="s">
        <v>1185</v>
      </c>
      <c r="E399" s="2" t="s">
        <v>360</v>
      </c>
      <c r="F399" s="2" t="s">
        <v>15</v>
      </c>
      <c r="G399" s="2" t="s">
        <v>1190</v>
      </c>
      <c r="H399" s="2" t="s">
        <v>1187</v>
      </c>
      <c r="I399" s="2" t="str">
        <f>IFERROR(__xludf.DUMMYFUNCTION("GOOGLETRANSLATE(C399,""fr"",""en"")"),"I have always been satisfied with the MGP interlocutors, whether by phone or physically.
I am completely satisfied with the offers and covers that the mutual provides in terms of quality and financial.
I recommend the MGP with your eyes closed.
Thank"&amp;" you
")</f>
        <v>I have always been satisfied with the MGP interlocutors, whether by phone or physically.
I am completely satisfied with the offers and covers that the mutual provides in terms of quality and financial.
I recommend the MGP with your eyes closed.
Thank you
</v>
      </c>
    </row>
    <row r="400" ht="15.75" customHeight="1">
      <c r="B400" s="2" t="s">
        <v>1191</v>
      </c>
      <c r="C400" s="2" t="s">
        <v>1192</v>
      </c>
      <c r="D400" s="2" t="s">
        <v>1185</v>
      </c>
      <c r="E400" s="2" t="s">
        <v>360</v>
      </c>
      <c r="F400" s="2" t="s">
        <v>15</v>
      </c>
      <c r="G400" s="2" t="s">
        <v>1190</v>
      </c>
      <c r="H400" s="2" t="s">
        <v>1187</v>
      </c>
      <c r="I400" s="2" t="str">
        <f>IFERROR(__xludf.DUMMYFUNCTION("GOOGLETRANSLATE(C400,""fr"",""en"")"),"Satisfied with the kindness and responsiveness of my advisor. I am now waiting for a call from another advice for more information on the 3 Lyria covers. Thank you.")</f>
        <v>Satisfied with the kindness and responsiveness of my advisor. I am now waiting for a call from another advice for more information on the 3 Lyria covers. Thank you.</v>
      </c>
    </row>
    <row r="401" ht="15.75" customHeight="1">
      <c r="B401" s="2" t="s">
        <v>1193</v>
      </c>
      <c r="C401" s="2" t="s">
        <v>1194</v>
      </c>
      <c r="D401" s="2" t="s">
        <v>1185</v>
      </c>
      <c r="E401" s="2" t="s">
        <v>360</v>
      </c>
      <c r="F401" s="2" t="s">
        <v>15</v>
      </c>
      <c r="G401" s="2" t="s">
        <v>1190</v>
      </c>
      <c r="H401" s="2" t="s">
        <v>1187</v>
      </c>
      <c r="I401" s="2" t="str">
        <f>IFERROR(__xludf.DUMMYFUNCTION("GOOGLETRANSLATE(C401,""fr"",""en"")"),"The speed of processing my file is very very favorable thank you very much ...
And the prices are very advantageous, good day by thanking you for your telephone reception ...")</f>
        <v>The speed of processing my file is very very favorable thank you very much ...
And the prices are very advantageous, good day by thanking you for your telephone reception ...</v>
      </c>
    </row>
    <row r="402" ht="15.75" customHeight="1">
      <c r="B402" s="2" t="s">
        <v>1195</v>
      </c>
      <c r="C402" s="2" t="s">
        <v>1196</v>
      </c>
      <c r="D402" s="2" t="s">
        <v>1185</v>
      </c>
      <c r="E402" s="2" t="s">
        <v>360</v>
      </c>
      <c r="F402" s="2" t="s">
        <v>15</v>
      </c>
      <c r="G402" s="2" t="s">
        <v>1197</v>
      </c>
      <c r="H402" s="2" t="s">
        <v>1187</v>
      </c>
      <c r="I402" s="2" t="str">
        <f>IFERROR(__xludf.DUMMYFUNCTION("GOOGLETRANSLATE(C402,""fr"",""en"")"),"Available and attentive customer service. Good quality of care compared to other insurance company even if the prices remain high")</f>
        <v>Available and attentive customer service. Good quality of care compared to other insurance company even if the prices remain high</v>
      </c>
    </row>
    <row r="403" ht="15.75" customHeight="1">
      <c r="B403" s="2" t="s">
        <v>1198</v>
      </c>
      <c r="C403" s="2" t="s">
        <v>1199</v>
      </c>
      <c r="D403" s="2" t="s">
        <v>1185</v>
      </c>
      <c r="E403" s="2" t="s">
        <v>360</v>
      </c>
      <c r="F403" s="2" t="s">
        <v>15</v>
      </c>
      <c r="G403" s="2" t="s">
        <v>1200</v>
      </c>
      <c r="H403" s="2" t="s">
        <v>1187</v>
      </c>
      <c r="I403" s="2" t="str">
        <f>IFERROR(__xludf.DUMMYFUNCTION("GOOGLETRANSLATE(C403,""fr"",""en"")"),"Whenever we sought to reach an advisor, by phone and not by internet to have a quick response we have always come across competent people and we were well informed.")</f>
        <v>Whenever we sought to reach an advisor, by phone and not by internet to have a quick response we have always come across competent people and we were well informed.</v>
      </c>
    </row>
    <row r="404" ht="15.75" customHeight="1">
      <c r="B404" s="2" t="s">
        <v>1201</v>
      </c>
      <c r="C404" s="2" t="s">
        <v>1202</v>
      </c>
      <c r="D404" s="2" t="s">
        <v>1185</v>
      </c>
      <c r="E404" s="2" t="s">
        <v>360</v>
      </c>
      <c r="F404" s="2" t="s">
        <v>15</v>
      </c>
      <c r="G404" s="2" t="s">
        <v>402</v>
      </c>
      <c r="H404" s="2" t="s">
        <v>362</v>
      </c>
      <c r="I404" s="2" t="str">
        <f>IFERROR(__xludf.DUMMYFUNCTION("GOOGLETRANSLATE(C404,""fr"",""en"")"),"Small reimbursement service error but very good responsiveness on the phone. It would seem to be said to be quickly caught up. Thank you to the person I had on the phone for their real skill combined with very good responsiveness.")</f>
        <v>Small reimbursement service error but very good responsiveness on the phone. It would seem to be said to be quickly caught up. Thank you to the person I had on the phone for their real skill combined with very good responsiveness.</v>
      </c>
    </row>
    <row r="405" ht="15.75" customHeight="1">
      <c r="B405" s="2" t="s">
        <v>1203</v>
      </c>
      <c r="C405" s="2" t="s">
        <v>1204</v>
      </c>
      <c r="D405" s="2" t="s">
        <v>1185</v>
      </c>
      <c r="E405" s="2" t="s">
        <v>360</v>
      </c>
      <c r="F405" s="2" t="s">
        <v>15</v>
      </c>
      <c r="G405" s="2" t="s">
        <v>362</v>
      </c>
      <c r="H405" s="2" t="s">
        <v>362</v>
      </c>
      <c r="I405" s="2" t="str">
        <f>IFERROR(__xludf.DUMMYFUNCTION("GOOGLETRANSLATE(C405,""fr"",""en"")"),"I am very satisfied with the services of the MGP towards us the members, however I regret that the price of contributions paid by the latter are too high. In addition I congratulate the staff of the MGP who welcomes us at the Tel 0971101112, for its compe"&amp;"tence and its kindness ....")</f>
        <v>I am very satisfied with the services of the MGP towards us the members, however I regret that the price of contributions paid by the latter are too high. In addition I congratulate the staff of the MGP who welcomes us at the Tel 0971101112, for its competence and its kindness ....</v>
      </c>
    </row>
    <row r="406" ht="15.75" customHeight="1">
      <c r="B406" s="2" t="s">
        <v>1205</v>
      </c>
      <c r="C406" s="2" t="s">
        <v>1206</v>
      </c>
      <c r="D406" s="2" t="s">
        <v>1185</v>
      </c>
      <c r="E406" s="2" t="s">
        <v>360</v>
      </c>
      <c r="F406" s="2" t="s">
        <v>15</v>
      </c>
      <c r="G406" s="2" t="s">
        <v>362</v>
      </c>
      <c r="H406" s="2" t="s">
        <v>362</v>
      </c>
      <c r="I406" s="2" t="str">
        <f>IFERROR(__xludf.DUMMYFUNCTION("GOOGLETRANSLATE(C406,""fr"",""en"")"),"Hello,
I have been members of the GMF since 1997, I think I have made the right choice
I am very satisfied with my interlocutors
People are very pleasant
And very responsive
I am very well informed
Ras
Cdt")</f>
        <v>Hello,
I have been members of the GMF since 1997, I think I have made the right choice
I am very satisfied with my interlocutors
People are very pleasant
And very responsive
I am very well informed
Ras
Cdt</v>
      </c>
    </row>
    <row r="407" ht="15.75" customHeight="1">
      <c r="B407" s="2" t="s">
        <v>1207</v>
      </c>
      <c r="C407" s="2" t="s">
        <v>1208</v>
      </c>
      <c r="D407" s="2" t="s">
        <v>1185</v>
      </c>
      <c r="E407" s="2" t="s">
        <v>360</v>
      </c>
      <c r="F407" s="2" t="s">
        <v>15</v>
      </c>
      <c r="G407" s="2" t="s">
        <v>1209</v>
      </c>
      <c r="H407" s="2" t="s">
        <v>397</v>
      </c>
      <c r="I407" s="2" t="str">
        <f>IFERROR(__xludf.DUMMYFUNCTION("GOOGLETRANSLATE(C407,""fr"",""en"")"),"To date, I am relatively satisfied with the services of the mutual. However, an increase in the amount of reimbursements could be envisaged.")</f>
        <v>To date, I am relatively satisfied with the services of the mutual. However, an increase in the amount of reimbursements could be envisaged.</v>
      </c>
    </row>
    <row r="408" ht="15.75" customHeight="1">
      <c r="B408" s="2" t="s">
        <v>1210</v>
      </c>
      <c r="C408" s="2" t="s">
        <v>1211</v>
      </c>
      <c r="D408" s="2" t="s">
        <v>1185</v>
      </c>
      <c r="E408" s="2" t="s">
        <v>360</v>
      </c>
      <c r="F408" s="2" t="s">
        <v>15</v>
      </c>
      <c r="G408" s="2" t="s">
        <v>1212</v>
      </c>
      <c r="H408" s="2" t="s">
        <v>397</v>
      </c>
      <c r="I408" s="2" t="str">
        <f>IFERROR(__xludf.DUMMYFUNCTION("GOOGLETRANSLATE(C408,""fr"",""en"")"),"Being a member of the MGP with my family since 1976 I am still Sastisfit today, despite the sometimes high increases in contributions
On the other hand I find it abnormal that the MGP sponsors a rugby club and hopes a response from you")</f>
        <v>Being a member of the MGP with my family since 1976 I am still Sastisfit today, despite the sometimes high increases in contributions
On the other hand I find it abnormal that the MGP sponsors a rugby club and hopes a response from you</v>
      </c>
    </row>
    <row r="409" ht="15.75" customHeight="1">
      <c r="B409" s="2" t="s">
        <v>1213</v>
      </c>
      <c r="C409" s="2" t="s">
        <v>1214</v>
      </c>
      <c r="D409" s="2" t="s">
        <v>1185</v>
      </c>
      <c r="E409" s="2" t="s">
        <v>360</v>
      </c>
      <c r="F409" s="2" t="s">
        <v>15</v>
      </c>
      <c r="G409" s="2" t="s">
        <v>429</v>
      </c>
      <c r="H409" s="2" t="s">
        <v>397</v>
      </c>
      <c r="I409" s="2" t="str">
        <f>IFERROR(__xludf.DUMMYFUNCTION("GOOGLETRANSLATE(C409,""fr"",""en"")"),"Mutual General Police. With very good excessive price contract. Very good reimbursement. Pas of waiting during a call. Very good reception.")</f>
        <v>Mutual General Police. With very good excessive price contract. Very good reimbursement. Pas of waiting during a call. Very good reception.</v>
      </c>
    </row>
    <row r="410" ht="15.75" customHeight="1">
      <c r="B410" s="2" t="s">
        <v>1215</v>
      </c>
      <c r="C410" s="2" t="s">
        <v>1216</v>
      </c>
      <c r="D410" s="2" t="s">
        <v>1185</v>
      </c>
      <c r="E410" s="2" t="s">
        <v>360</v>
      </c>
      <c r="F410" s="2" t="s">
        <v>15</v>
      </c>
      <c r="G410" s="2" t="s">
        <v>445</v>
      </c>
      <c r="H410" s="2" t="s">
        <v>397</v>
      </c>
      <c r="I410" s="2" t="str">
        <f>IFERROR(__xludf.DUMMYFUNCTION("GOOGLETRANSLATE(C410,""fr"",""en"")"),"Rigorous and attentive advisor, regulated a dysfunction in a few clicks very effectively.
Few expectations and care very professionally.")</f>
        <v>Rigorous and attentive advisor, regulated a dysfunction in a few clicks very effectively.
Few expectations and care very professionally.</v>
      </c>
    </row>
    <row r="411" ht="15.75" customHeight="1">
      <c r="B411" s="2" t="s">
        <v>1217</v>
      </c>
      <c r="C411" s="2" t="s">
        <v>1218</v>
      </c>
      <c r="D411" s="2" t="s">
        <v>1185</v>
      </c>
      <c r="E411" s="2" t="s">
        <v>360</v>
      </c>
      <c r="F411" s="2" t="s">
        <v>15</v>
      </c>
      <c r="G411" s="2" t="s">
        <v>445</v>
      </c>
      <c r="H411" s="2" t="s">
        <v>397</v>
      </c>
      <c r="I411" s="2" t="str">
        <f>IFERROR(__xludf.DUMMYFUNCTION("GOOGLETRANSLATE(C411,""fr"",""en"")"),"Very satisfied to this day of all my requests by very pleasant and competent personal phone. The services of my contract are always honored in time. Hoping to have met your expectations. Cordially")</f>
        <v>Very satisfied to this day of all my requests by very pleasant and competent personal phone. The services of my contract are always honored in time. Hoping to have met your expectations. Cordially</v>
      </c>
    </row>
    <row r="412" ht="15.75" customHeight="1">
      <c r="B412" s="2" t="s">
        <v>1219</v>
      </c>
      <c r="C412" s="2" t="s">
        <v>1220</v>
      </c>
      <c r="D412" s="2" t="s">
        <v>1185</v>
      </c>
      <c r="E412" s="2" t="s">
        <v>360</v>
      </c>
      <c r="F412" s="2" t="s">
        <v>15</v>
      </c>
      <c r="G412" s="2" t="s">
        <v>475</v>
      </c>
      <c r="H412" s="2" t="s">
        <v>66</v>
      </c>
      <c r="I412" s="2" t="str">
        <f>IFERROR(__xludf.DUMMYFUNCTION("GOOGLETRANSLATE(C412,""fr"",""en"")"),"It is quite difficult to have an advisor in one go, however it still recalls.
Regarding reimbursement, the deadline could be shortened, but overall I am satisfied with my insurance.")</f>
        <v>It is quite difficult to have an advisor in one go, however it still recalls.
Regarding reimbursement, the deadline could be shortened, but overall I am satisfied with my insurance.</v>
      </c>
    </row>
    <row r="413" ht="15.75" customHeight="1">
      <c r="B413" s="2" t="s">
        <v>1221</v>
      </c>
      <c r="C413" s="2" t="s">
        <v>1222</v>
      </c>
      <c r="D413" s="2" t="s">
        <v>1185</v>
      </c>
      <c r="E413" s="2" t="s">
        <v>360</v>
      </c>
      <c r="F413" s="2" t="s">
        <v>15</v>
      </c>
      <c r="G413" s="2" t="s">
        <v>1223</v>
      </c>
      <c r="H413" s="2" t="s">
        <v>66</v>
      </c>
      <c r="I413" s="2" t="str">
        <f>IFERROR(__xludf.DUMMYFUNCTION("GOOGLETRANSLATE(C413,""fr"",""en"")"),"Hello I am quite surprised at the opinions I read, I am a prison supervisor and my wife is a civilian to cover us 2 as well as the loss of wages 3 years guaranteed for her civil and me 5 years because I have never had any Reimbursement concerns to myself "&amp;"alone I pay 15th per month for us 2 I am 19.90E I specify more that I do not have a school rate and that what is more they are always listening to platform no platform At the other end of the line there is a human being a professional human being listenin"&amp;"g and adorable they are very good advice and in addition if you are not yet assured at GMF there is an agreement between The MGP and the GMF which will allow you to lower your 20% Auto Insurance bill for what to compensate for the small concerns of Peix w"&amp;"hich do not suit you before I was at the MMJ and they invoiced me 58th per month and they have on billed because several months after they reimbursed me almost 400th frankly at the MGP there is no To say, I am currently in work stopping in the 3rd month w"&amp;"hen I go to half a treatment there I could judge them on their salary compensation capacity at the moment RAS")</f>
        <v>Hello I am quite surprised at the opinions I read, I am a prison supervisor and my wife is a civilian to cover us 2 as well as the loss of wages 3 years guaranteed for her civil and me 5 years because I have never had any Reimbursement concerns to myself alone I pay 15th per month for us 2 I am 19.90E I specify more that I do not have a school rate and that what is more they are always listening to platform no platform At the other end of the line there is a human being a professional human being listening and adorable they are very good advice and in addition if you are not yet assured at GMF there is an agreement between The MGP and the GMF which will allow you to lower your 20% Auto Insurance bill for what to compensate for the small concerns of Peix which do not suit you before I was at the MMJ and they invoiced me 58th per month and they have on billed because several months after they reimbursed me almost 400th frankly at the MGP there is no To say, I am currently in work stopping in the 3rd month when I go to half a treatment there I could judge them on their salary compensation capacity at the moment RAS</v>
      </c>
    </row>
    <row r="414" ht="15.75" customHeight="1">
      <c r="B414" s="2" t="s">
        <v>1224</v>
      </c>
      <c r="C414" s="2" t="s">
        <v>1225</v>
      </c>
      <c r="D414" s="2" t="s">
        <v>1185</v>
      </c>
      <c r="E414" s="2" t="s">
        <v>360</v>
      </c>
      <c r="F414" s="2" t="s">
        <v>15</v>
      </c>
      <c r="G414" s="2" t="s">
        <v>1226</v>
      </c>
      <c r="H414" s="2" t="s">
        <v>66</v>
      </c>
      <c r="I414" s="2" t="str">
        <f>IFERROR(__xludf.DUMMYFUNCTION("GOOGLETRANSLATE(C414,""fr"",""en"")"),"Very good Telephonic and Personal Service comprehensively only LEGERE WAYED BOTH BEAK BEFORE Having an advisor ENV8 MN Otherwise very good satisfaction")</f>
        <v>Very good Telephonic and Personal Service comprehensively only LEGERE WAYED BOTH BEAK BEFORE Having an advisor ENV8 MN Otherwise very good satisfaction</v>
      </c>
    </row>
    <row r="415" ht="15.75" customHeight="1">
      <c r="B415" s="2" t="s">
        <v>1227</v>
      </c>
      <c r="C415" s="2" t="s">
        <v>1228</v>
      </c>
      <c r="D415" s="2" t="s">
        <v>1185</v>
      </c>
      <c r="E415" s="2" t="s">
        <v>360</v>
      </c>
      <c r="F415" s="2" t="s">
        <v>15</v>
      </c>
      <c r="G415" s="2" t="s">
        <v>1229</v>
      </c>
      <c r="H415" s="2" t="s">
        <v>66</v>
      </c>
      <c r="I415" s="2" t="str">
        <f>IFERROR(__xludf.DUMMYFUNCTION("GOOGLETRANSLATE(C415,""fr"",""en"")"),"Too expensive compared to other health insurance. The reimbursement is correct but the monthly payment is too high. Devis made, the MGP to review its prices.")</f>
        <v>Too expensive compared to other health insurance. The reimbursement is correct but the monthly payment is too high. Devis made, the MGP to review its prices.</v>
      </c>
    </row>
    <row r="416" ht="15.75" customHeight="1">
      <c r="B416" s="2" t="s">
        <v>1230</v>
      </c>
      <c r="C416" s="2" t="s">
        <v>1231</v>
      </c>
      <c r="D416" s="2" t="s">
        <v>1185</v>
      </c>
      <c r="E416" s="2" t="s">
        <v>360</v>
      </c>
      <c r="F416" s="2" t="s">
        <v>15</v>
      </c>
      <c r="G416" s="2" t="s">
        <v>1232</v>
      </c>
      <c r="H416" s="2" t="s">
        <v>70</v>
      </c>
      <c r="I416" s="2" t="str">
        <f>IFERROR(__xludf.DUMMYFUNCTION("GOOGLETRANSLATE(C416,""fr"",""en"")"),"The MGP is a very good mutual .... but a little expensive for retirees! ... Being a member since 1970 ... I am very satisfied ... Very good relationships! ...")</f>
        <v>The MGP is a very good mutual .... but a little expensive for retirees! ... Being a member since 1970 ... I am very satisfied ... Very good relationships! ...</v>
      </c>
    </row>
    <row r="417" ht="15.75" customHeight="1">
      <c r="B417" s="2" t="s">
        <v>1233</v>
      </c>
      <c r="C417" s="2" t="s">
        <v>1234</v>
      </c>
      <c r="D417" s="2" t="s">
        <v>1185</v>
      </c>
      <c r="E417" s="2" t="s">
        <v>360</v>
      </c>
      <c r="F417" s="2" t="s">
        <v>15</v>
      </c>
      <c r="G417" s="2" t="s">
        <v>1235</v>
      </c>
      <c r="H417" s="2" t="s">
        <v>70</v>
      </c>
      <c r="I417" s="2" t="str">
        <f>IFERROR(__xludf.DUMMYFUNCTION("GOOGLETRANSLATE(C417,""fr"",""en"")"),"I am very satisfied with the MGP. We quickly attach an advisor. Very satisfactory welcome. Competient staff. I think there is nothing else to say if not my satisfaction.")</f>
        <v>I am very satisfied with the MGP. We quickly attach an advisor. Very satisfactory welcome. Competient staff. I think there is nothing else to say if not my satisfaction.</v>
      </c>
    </row>
    <row r="418" ht="15.75" customHeight="1">
      <c r="B418" s="2" t="s">
        <v>1236</v>
      </c>
      <c r="C418" s="2" t="s">
        <v>1237</v>
      </c>
      <c r="D418" s="2" t="s">
        <v>1185</v>
      </c>
      <c r="E418" s="2" t="s">
        <v>360</v>
      </c>
      <c r="F418" s="2" t="s">
        <v>15</v>
      </c>
      <c r="G418" s="2" t="s">
        <v>1238</v>
      </c>
      <c r="H418" s="2" t="s">
        <v>70</v>
      </c>
      <c r="I418" s="2" t="str">
        <f>IFERROR(__xludf.DUMMYFUNCTION("GOOGLETRANSLATE(C418,""fr"",""en"")"),"The advisor who responded to my requests proved to be very professional and very pleasant.
The waiting time was not very long.")</f>
        <v>The advisor who responded to my requests proved to be very professional and very pleasant.
The waiting time was not very long.</v>
      </c>
    </row>
    <row r="419" ht="15.75" customHeight="1">
      <c r="B419" s="2" t="s">
        <v>1239</v>
      </c>
      <c r="C419" s="2" t="s">
        <v>1240</v>
      </c>
      <c r="D419" s="2" t="s">
        <v>1185</v>
      </c>
      <c r="E419" s="2" t="s">
        <v>360</v>
      </c>
      <c r="F419" s="2" t="s">
        <v>15</v>
      </c>
      <c r="G419" s="2" t="s">
        <v>488</v>
      </c>
      <c r="H419" s="2" t="s">
        <v>70</v>
      </c>
      <c r="I419" s="2" t="str">
        <f>IFERROR(__xludf.DUMMYFUNCTION("GOOGLETRANSLATE(C419,""fr"",""en"")"),"Dear,
I want to clarify that I am fully satisfied with my MGP mutual has been a member since I entered the national police since 01/10/1977 especially by being at Evoluition.
On the other hand I want to specify that the monthly rate of 259.16 euros for "&amp;"a mutualist coverage spread to my wife and our daughter is difficult to accept and tenable in a budget because if you make a quick calculation of 259x12 = 3108 euros .... . This is very very expensive. We will be forced to find a much cheaper local mutual"&amp;" insurance company.
Thank you for your understanding hoping to have an answer.
Best regards.
Jean-Claude Morans")</f>
        <v>Dear,
I want to clarify that I am fully satisfied with my MGP mutual has been a member since I entered the national police since 01/10/1977 especially by being at Evoluition.
On the other hand I want to specify that the monthly rate of 259.16 euros for a mutualist coverage spread to my wife and our daughter is difficult to accept and tenable in a budget because if you make a quick calculation of 259x12 = 3108 euros .... . This is very very expensive. We will be forced to find a much cheaper local mutual insurance company.
Thank you for your understanding hoping to have an answer.
Best regards.
Jean-Claude Morans</v>
      </c>
    </row>
    <row r="420" ht="15.75" customHeight="1">
      <c r="B420" s="2" t="s">
        <v>1241</v>
      </c>
      <c r="C420" s="2" t="s">
        <v>1242</v>
      </c>
      <c r="D420" s="2" t="s">
        <v>1185</v>
      </c>
      <c r="E420" s="2" t="s">
        <v>360</v>
      </c>
      <c r="F420" s="2" t="s">
        <v>15</v>
      </c>
      <c r="G420" s="2" t="s">
        <v>69</v>
      </c>
      <c r="H420" s="2" t="s">
        <v>70</v>
      </c>
      <c r="I420" s="2" t="str">
        <f>IFERROR(__xludf.DUMMYFUNCTION("GOOGLETRANSLATE(C420,""fr"",""en"")"),"Excellent for the 1st Mutual Mission.
Others would like it but do not put the means to achieve it
A real and field social action
Everyday support")</f>
        <v>Excellent for the 1st Mutual Mission.
Others would like it but do not put the means to achieve it
A real and field social action
Everyday support</v>
      </c>
    </row>
    <row r="421" ht="15.75" customHeight="1">
      <c r="B421" s="2" t="s">
        <v>1243</v>
      </c>
      <c r="C421" s="2" t="s">
        <v>1244</v>
      </c>
      <c r="D421" s="2" t="s">
        <v>1185</v>
      </c>
      <c r="E421" s="2" t="s">
        <v>360</v>
      </c>
      <c r="F421" s="2" t="s">
        <v>15</v>
      </c>
      <c r="G421" s="2" t="s">
        <v>505</v>
      </c>
      <c r="H421" s="2" t="s">
        <v>74</v>
      </c>
      <c r="I421" s="2" t="str">
        <f>IFERROR(__xludf.DUMMYFUNCTION("GOOGLETRANSLATE(C421,""fr"",""en"")"),"I am a client at the MGP for loss of wages, I have been at mid-time therapeutic time since February and I have not received anything in addition to salary. We are 06/15/2021 and still nothing! When I am in contact with them they tell me basically that the"&amp;"y do not only have my file to do !!!! I have two assurances at home I intended to take two more in July. Well I think I will do it opposite everything and save myself from home. And I have other colleagues who are in the same problem and go do the same th"&amp;"ing  .")</f>
        <v>I am a client at the MGP for loss of wages, I have been at mid-time therapeutic time since February and I have not received anything in addition to salary. We are 06/15/2021 and still nothing! When I am in contact with them they tell me basically that they do not only have my file to do !!!! I have two assurances at home I intended to take two more in July. Well I think I will do it opposite everything and save myself from home. And I have other colleagues who are in the same problem and go do the same thing  .</v>
      </c>
    </row>
    <row r="422" ht="15.75" customHeight="1">
      <c r="B422" s="2" t="s">
        <v>1245</v>
      </c>
      <c r="C422" s="2" t="s">
        <v>1246</v>
      </c>
      <c r="D422" s="2" t="s">
        <v>1185</v>
      </c>
      <c r="E422" s="2" t="s">
        <v>360</v>
      </c>
      <c r="F422" s="2" t="s">
        <v>15</v>
      </c>
      <c r="G422" s="2" t="s">
        <v>80</v>
      </c>
      <c r="H422" s="2" t="s">
        <v>74</v>
      </c>
      <c r="I422" s="2" t="str">
        <f>IFERROR(__xludf.DUMMYFUNCTION("GOOGLETRANSLATE(C422,""fr"",""en"")"),"Hello,
Having lost a part of my autonomy, I was able to benefit from financial aid despite that I am not covered by the MGP Contrendance contract.
Thank you
Cordially")</f>
        <v>Hello,
Having lost a part of my autonomy, I was able to benefit from financial aid despite that I am not covered by the MGP Contrendance contract.
Thank you
Cordially</v>
      </c>
    </row>
    <row r="423" ht="15.75" customHeight="1">
      <c r="B423" s="2" t="s">
        <v>1247</v>
      </c>
      <c r="C423" s="2" t="s">
        <v>1248</v>
      </c>
      <c r="D423" s="2" t="s">
        <v>1185</v>
      </c>
      <c r="E423" s="2" t="s">
        <v>360</v>
      </c>
      <c r="F423" s="2" t="s">
        <v>15</v>
      </c>
      <c r="G423" s="2" t="s">
        <v>1249</v>
      </c>
      <c r="H423" s="2" t="s">
        <v>84</v>
      </c>
      <c r="I423" s="2" t="str">
        <f>IFERROR(__xludf.DUMMYFUNCTION("GOOGLETRANSLATE(C423,""fr"",""en"")"),"The price of the contribution is correct. Advisers are always listening when you need information or advice. mutual")</f>
        <v>The price of the contribution is correct. Advisers are always listening when you need information or advice. mutual</v>
      </c>
    </row>
    <row r="424" ht="15.75" customHeight="1">
      <c r="B424" s="2" t="s">
        <v>1250</v>
      </c>
      <c r="C424" s="2" t="s">
        <v>1251</v>
      </c>
      <c r="D424" s="2" t="s">
        <v>1185</v>
      </c>
      <c r="E424" s="2" t="s">
        <v>360</v>
      </c>
      <c r="F424" s="2" t="s">
        <v>15</v>
      </c>
      <c r="G424" s="2" t="s">
        <v>1252</v>
      </c>
      <c r="H424" s="2" t="s">
        <v>84</v>
      </c>
      <c r="I424" s="2" t="str">
        <f>IFERROR(__xludf.DUMMYFUNCTION("GOOGLETRANSLATE(C424,""fr"",""en"")"),"Mutual fairly expensive in view of certain reimbursement, especially for the visual.
Just as the auto medication package has no interest because the list of refundable drugs is really not relevant.")</f>
        <v>Mutual fairly expensive in view of certain reimbursement, especially for the visual.
Just as the auto medication package has no interest because the list of refundable drugs is really not relevant.</v>
      </c>
    </row>
    <row r="425" ht="15.75" customHeight="1">
      <c r="B425" s="2" t="s">
        <v>1253</v>
      </c>
      <c r="C425" s="2" t="s">
        <v>1254</v>
      </c>
      <c r="D425" s="2" t="s">
        <v>1185</v>
      </c>
      <c r="E425" s="2" t="s">
        <v>360</v>
      </c>
      <c r="F425" s="2" t="s">
        <v>15</v>
      </c>
      <c r="G425" s="2" t="s">
        <v>90</v>
      </c>
      <c r="H425" s="2" t="s">
        <v>91</v>
      </c>
      <c r="I425" s="2" t="str">
        <f>IFERROR(__xludf.DUMMYFUNCTION("GOOGLETRANSLATE(C425,""fr"",""en"")"),"An easily reachable phone number (no endless waiting ...) and a flawless telephone reception. I phoned this service three times and always received attentive listening. The answer was in line with my expectations.")</f>
        <v>An easily reachable phone number (no endless waiting ...) and a flawless telephone reception. I phoned this service three times and always received attentive listening. The answer was in line with my expectations.</v>
      </c>
    </row>
    <row r="426" ht="15.75" customHeight="1">
      <c r="B426" s="2" t="s">
        <v>1255</v>
      </c>
      <c r="C426" s="2" t="s">
        <v>1256</v>
      </c>
      <c r="D426" s="2" t="s">
        <v>1185</v>
      </c>
      <c r="E426" s="2" t="s">
        <v>360</v>
      </c>
      <c r="F426" s="2" t="s">
        <v>15</v>
      </c>
      <c r="G426" s="2" t="s">
        <v>551</v>
      </c>
      <c r="H426" s="2" t="s">
        <v>91</v>
      </c>
      <c r="I426" s="2" t="str">
        <f>IFERROR(__xludf.DUMMYFUNCTION("GOOGLETRANSLATE(C426,""fr"",""en"")"),"Good file follow -up, rates a little compared to other mutuals but it remains correct. Good guarantees for members of the police with the risks of the profession.
Too bad it should be sent by Courier, a transmission of the various invoices by email would"&amp;" be really practical.")</f>
        <v>Good file follow -up, rates a little compared to other mutuals but it remains correct. Good guarantees for members of the police with the risks of the profession.
Too bad it should be sent by Courier, a transmission of the various invoices by email would be really practical.</v>
      </c>
    </row>
    <row r="427" ht="15.75" customHeight="1">
      <c r="B427" s="2" t="s">
        <v>1257</v>
      </c>
      <c r="C427" s="2" t="s">
        <v>1258</v>
      </c>
      <c r="D427" s="2" t="s">
        <v>1185</v>
      </c>
      <c r="E427" s="2" t="s">
        <v>360</v>
      </c>
      <c r="F427" s="2" t="s">
        <v>15</v>
      </c>
      <c r="G427" s="2" t="s">
        <v>554</v>
      </c>
      <c r="H427" s="2" t="s">
        <v>91</v>
      </c>
      <c r="I427" s="2" t="str">
        <f>IFERROR(__xludf.DUMMYFUNCTION("GOOGLETRANSLATE(C427,""fr"",""en"")"),"We are with my wife, retired and satisfied of course the services rendered by this mutual.
The opposite would be abnormal and surprising due to the cost of contributions which is around 15% of the monthly net amount that I can receive.
It is frankly har"&amp;"d to swallow.")</f>
        <v>We are with my wife, retired and satisfied of course the services rendered by this mutual.
The opposite would be abnormal and surprising due to the cost of contributions which is around 15% of the monthly net amount that I can receive.
It is frankly hard to swallow.</v>
      </c>
    </row>
    <row r="428" ht="15.75" customHeight="1">
      <c r="B428" s="2" t="s">
        <v>1259</v>
      </c>
      <c r="C428" s="2" t="s">
        <v>1260</v>
      </c>
      <c r="D428" s="2" t="s">
        <v>1185</v>
      </c>
      <c r="E428" s="2" t="s">
        <v>360</v>
      </c>
      <c r="F428" s="2" t="s">
        <v>15</v>
      </c>
      <c r="G428" s="2" t="s">
        <v>91</v>
      </c>
      <c r="H428" s="2" t="s">
        <v>91</v>
      </c>
      <c r="I428" s="2" t="str">
        <f>IFERROR(__xludf.DUMMYFUNCTION("GOOGLETRANSLATE(C428,""fr"",""en"")"),"The answers provided are very satisfactory. The waiting time is very reduced and communications are always very courteous. I am very satisfied with my mutual health.")</f>
        <v>The answers provided are very satisfactory. The waiting time is very reduced and communications are always very courteous. I am very satisfied with my mutual health.</v>
      </c>
    </row>
    <row r="429" ht="15.75" customHeight="1">
      <c r="B429" s="2" t="s">
        <v>1261</v>
      </c>
      <c r="C429" s="2" t="s">
        <v>1262</v>
      </c>
      <c r="D429" s="2" t="s">
        <v>1185</v>
      </c>
      <c r="E429" s="2" t="s">
        <v>360</v>
      </c>
      <c r="F429" s="2" t="s">
        <v>15</v>
      </c>
      <c r="G429" s="2" t="s">
        <v>560</v>
      </c>
      <c r="H429" s="2" t="s">
        <v>105</v>
      </c>
      <c r="I429" s="2" t="str">
        <f>IFERROR(__xludf.DUMMYFUNCTION("GOOGLETRANSLATE(C429,""fr"",""en"")"),"Nothing special to say, that I am generally satisfied with the services and products offered by the mutual.
More particularly about the advisers I am very satisfied with the different contacts that I had by phone; By kindness, listening and the right inf"&amp;"ormation provided.
For the price I only put 4 stars because the latter seems to me quite expensive.")</f>
        <v>Nothing special to say, that I am generally satisfied with the services and products offered by the mutual.
More particularly about the advisers I am very satisfied with the different contacts that I had by phone; By kindness, listening and the right information provided.
For the price I only put 4 stars because the latter seems to me quite expensive.</v>
      </c>
    </row>
    <row r="430" ht="15.75" customHeight="1">
      <c r="B430" s="2" t="s">
        <v>1263</v>
      </c>
      <c r="C430" s="2" t="s">
        <v>1264</v>
      </c>
      <c r="D430" s="2" t="s">
        <v>1185</v>
      </c>
      <c r="E430" s="2" t="s">
        <v>360</v>
      </c>
      <c r="F430" s="2" t="s">
        <v>15</v>
      </c>
      <c r="G430" s="2" t="s">
        <v>560</v>
      </c>
      <c r="H430" s="2" t="s">
        <v>105</v>
      </c>
      <c r="I430" s="2" t="str">
        <f>IFERROR(__xludf.DUMMYFUNCTION("GOOGLETRANSLATE(C430,""fr"",""en"")"),"When I send a document for reimbursement quick response availability and cordial relationships a little high but given my age you should not complain")</f>
        <v>When I send a document for reimbursement quick response availability and cordial relationships a little high but given my age you should not complain</v>
      </c>
    </row>
    <row r="431" ht="15.75" customHeight="1">
      <c r="B431" s="2" t="s">
        <v>1265</v>
      </c>
      <c r="C431" s="2" t="s">
        <v>1266</v>
      </c>
      <c r="D431" s="2" t="s">
        <v>1185</v>
      </c>
      <c r="E431" s="2" t="s">
        <v>360</v>
      </c>
      <c r="F431" s="2" t="s">
        <v>15</v>
      </c>
      <c r="G431" s="2" t="s">
        <v>569</v>
      </c>
      <c r="H431" s="2" t="s">
        <v>105</v>
      </c>
      <c r="I431" s="2" t="str">
        <f>IFERROR(__xludf.DUMMYFUNCTION("GOOGLETRANSLATE(C431,""fr"",""en"")"),"Prix ​​of contributions in the high range (certainly for an ""elderly"" insured person despite the delivery for seniority) in view of certain services provided. For example, the reimbursement of the outbursts of fees borders on the obole when very often t"&amp;"his exceeding is suffered and is not the fact of the will of the patient in relation to the chosen doctor (do we often have the choice?). On the other hand, to improve the quality of the service, is it not possible to be able to send, in attachments, to a"&amp;"n MGP mailbox the documents necessary for certain refunds for care. This would avoid a waste of time by sending paper mail and a stamp saving for the insured.")</f>
        <v>Prix ​​of contributions in the high range (certainly for an "elderly" insured person despite the delivery for seniority) in view of certain services provided. For example, the reimbursement of the outbursts of fees borders on the obole when very often this exceeding is suffered and is not the fact of the will of the patient in relation to the chosen doctor (do we often have the choice?). On the other hand, to improve the quality of the service, is it not possible to be able to send, in attachments, to an MGP mailbox the documents necessary for certain refunds for care. This would avoid a waste of time by sending paper mail and a stamp saving for the insured.</v>
      </c>
    </row>
    <row r="432" ht="15.75" customHeight="1">
      <c r="B432" s="2" t="s">
        <v>1267</v>
      </c>
      <c r="C432" s="2" t="s">
        <v>1268</v>
      </c>
      <c r="D432" s="2" t="s">
        <v>1185</v>
      </c>
      <c r="E432" s="2" t="s">
        <v>360</v>
      </c>
      <c r="F432" s="2" t="s">
        <v>15</v>
      </c>
      <c r="G432" s="2" t="s">
        <v>593</v>
      </c>
      <c r="H432" s="2" t="s">
        <v>105</v>
      </c>
      <c r="I432" s="2" t="str">
        <f>IFERROR(__xludf.DUMMYFUNCTION("GOOGLETRANSLATE(C432,""fr"",""en"")"),"Hello,
The availability of advisers is excellent, their kindness is really at the forefront.
I have a downside, the price of my mutual health, too expensive, in my opinion. In addition, I think that the MGP could make an effort on the reimbursement of d"&amp;"ental implants and the glasses. Despite everything, I do not plan to leave this mutual, support of the police.")</f>
        <v>Hello,
The availability of advisers is excellent, their kindness is really at the forefront.
I have a downside, the price of my mutual health, too expensive, in my opinion. In addition, I think that the MGP could make an effort on the reimbursement of dental implants and the glasses. Despite everything, I do not plan to leave this mutual, support of the police.</v>
      </c>
    </row>
    <row r="433" ht="15.75" customHeight="1">
      <c r="B433" s="2" t="s">
        <v>1269</v>
      </c>
      <c r="C433" s="2" t="s">
        <v>1270</v>
      </c>
      <c r="D433" s="2" t="s">
        <v>1185</v>
      </c>
      <c r="E433" s="2" t="s">
        <v>360</v>
      </c>
      <c r="F433" s="2" t="s">
        <v>15</v>
      </c>
      <c r="G433" s="2" t="s">
        <v>1271</v>
      </c>
      <c r="H433" s="2" t="s">
        <v>105</v>
      </c>
      <c r="I433" s="2" t="str">
        <f>IFERROR(__xludf.DUMMYFUNCTION("GOOGLETRANSLATE(C433,""fr"",""en"")"),"Mutual a little expensive but reactive during calls and taking into account requests. This mutual has improved and shows that it tries to evolve")</f>
        <v>Mutual a little expensive but reactive during calls and taking into account requests. This mutual has improved and shows that it tries to evolve</v>
      </c>
    </row>
    <row r="434" ht="15.75" customHeight="1">
      <c r="B434" s="2" t="s">
        <v>1272</v>
      </c>
      <c r="C434" s="2" t="s">
        <v>1273</v>
      </c>
      <c r="D434" s="2" t="s">
        <v>1185</v>
      </c>
      <c r="E434" s="2" t="s">
        <v>360</v>
      </c>
      <c r="F434" s="2" t="s">
        <v>15</v>
      </c>
      <c r="G434" s="2" t="s">
        <v>1274</v>
      </c>
      <c r="H434" s="2" t="s">
        <v>105</v>
      </c>
      <c r="I434" s="2" t="str">
        <f>IFERROR(__xludf.DUMMYFUNCTION("GOOGLETRANSLATE(C434,""fr"",""en"")"),"Mutual fairly expensive despite my 23 years of loyalty but reimbursement in general quite fast. A few bugs sometimes and we have to relaunch when anomalies occur. For reasons of practicality, I would like that in my old department, they can manage social "&amp;"security. (Puy de Dôme - Var). A nearby agency would also be welcome.")</f>
        <v>Mutual fairly expensive despite my 23 years of loyalty but reimbursement in general quite fast. A few bugs sometimes and we have to relaunch when anomalies occur. For reasons of practicality, I would like that in my old department, they can manage social security. (Puy de Dôme - Var). A nearby agency would also be welcome.</v>
      </c>
    </row>
    <row r="435" ht="15.75" customHeight="1">
      <c r="B435" s="2" t="s">
        <v>1275</v>
      </c>
      <c r="C435" s="2" t="s">
        <v>1276</v>
      </c>
      <c r="D435" s="2" t="s">
        <v>1185</v>
      </c>
      <c r="E435" s="2" t="s">
        <v>360</v>
      </c>
      <c r="F435" s="2" t="s">
        <v>15</v>
      </c>
      <c r="G435" s="2" t="s">
        <v>1277</v>
      </c>
      <c r="H435" s="2" t="s">
        <v>105</v>
      </c>
      <c r="I435" s="2" t="str">
        <f>IFERROR(__xludf.DUMMYFUNCTION("GOOGLETRANSLATE(C435,""fr"",""en"")"),"Mutual too much badly reimbursed on optical care and dental care. Am in evolution therefore as much as possible of the coverage. Effort to provide in this direction.")</f>
        <v>Mutual too much badly reimbursed on optical care and dental care. Am in evolution therefore as much as possible of the coverage. Effort to provide in this direction.</v>
      </c>
    </row>
    <row r="436" ht="15.75" customHeight="1">
      <c r="B436" s="2" t="s">
        <v>1278</v>
      </c>
      <c r="C436" s="2" t="s">
        <v>1279</v>
      </c>
      <c r="D436" s="2" t="s">
        <v>1185</v>
      </c>
      <c r="E436" s="2" t="s">
        <v>360</v>
      </c>
      <c r="F436" s="2" t="s">
        <v>15</v>
      </c>
      <c r="G436" s="2" t="s">
        <v>1280</v>
      </c>
      <c r="H436" s="2" t="s">
        <v>105</v>
      </c>
      <c r="I436" s="2" t="str">
        <f>IFERROR(__xludf.DUMMYFUNCTION("GOOGLETRANSLATE(C436,""fr"",""en"")"),"Customer for 10 years at the MGP. My follow -up is poor. I sincerely intend to terminate my grip. For 1 year I have not been followed by the MGP. I am constantly relaunching them")</f>
        <v>Customer for 10 years at the MGP. My follow -up is poor. I sincerely intend to terminate my grip. For 1 year I have not been followed by the MGP. I am constantly relaunching them</v>
      </c>
    </row>
    <row r="437" ht="15.75" customHeight="1">
      <c r="B437" s="2" t="s">
        <v>1281</v>
      </c>
      <c r="C437" s="2" t="s">
        <v>1282</v>
      </c>
      <c r="D437" s="2" t="s">
        <v>1185</v>
      </c>
      <c r="E437" s="2" t="s">
        <v>360</v>
      </c>
      <c r="F437" s="2" t="s">
        <v>15</v>
      </c>
      <c r="G437" s="2" t="s">
        <v>1280</v>
      </c>
      <c r="H437" s="2" t="s">
        <v>105</v>
      </c>
      <c r="I437" s="2" t="str">
        <f>IFERROR(__xludf.DUMMYFUNCTION("GOOGLETRANSLATE(C437,""fr"",""en"")"),"Good guarantees but a little expensive all the same. The good news is that we have an annual package for osteopathy consultations and this frankly helps in these times.")</f>
        <v>Good guarantees but a little expensive all the same. The good news is that we have an annual package for osteopathy consultations and this frankly helps in these times.</v>
      </c>
    </row>
    <row r="438" ht="15.75" customHeight="1">
      <c r="B438" s="2" t="s">
        <v>1283</v>
      </c>
      <c r="C438" s="2" t="s">
        <v>1284</v>
      </c>
      <c r="D438" s="2" t="s">
        <v>1185</v>
      </c>
      <c r="E438" s="2" t="s">
        <v>360</v>
      </c>
      <c r="F438" s="2" t="s">
        <v>15</v>
      </c>
      <c r="G438" s="2" t="s">
        <v>1280</v>
      </c>
      <c r="H438" s="2" t="s">
        <v>105</v>
      </c>
      <c r="I438" s="2" t="str">
        <f>IFERROR(__xludf.DUMMYFUNCTION("GOOGLETRANSLATE(C438,""fr"",""en"")"),"Very good listening, my problem was solved, correct answers provided. I am waiting for my reimbursements to be made, but all the questions I asked myself were resolved. Thanks again !")</f>
        <v>Very good listening, my problem was solved, correct answers provided. I am waiting for my reimbursements to be made, but all the questions I asked myself were resolved. Thanks again !</v>
      </c>
    </row>
    <row r="439" ht="15.75" customHeight="1">
      <c r="B439" s="2" t="s">
        <v>1285</v>
      </c>
      <c r="C439" s="2" t="s">
        <v>1286</v>
      </c>
      <c r="D439" s="2" t="s">
        <v>1185</v>
      </c>
      <c r="E439" s="2" t="s">
        <v>360</v>
      </c>
      <c r="F439" s="2" t="s">
        <v>15</v>
      </c>
      <c r="G439" s="2" t="s">
        <v>1287</v>
      </c>
      <c r="H439" s="2" t="s">
        <v>105</v>
      </c>
      <c r="I439" s="2" t="str">
        <f>IFERROR(__xludf.DUMMYFUNCTION("GOOGLETRANSLATE(C439,""fr"",""en"")"),"Dear and despite this a lot of responsibility, management of binding reimbursements, the deletion of local offices and delegates is problematic because the information via the platform is insufficient or unsuitable. Access to understanding our limited con"&amp;"tracts.")</f>
        <v>Dear and despite this a lot of responsibility, management of binding reimbursements, the deletion of local offices and delegates is problematic because the information via the platform is insufficient or unsuitable. Access to understanding our limited contracts.</v>
      </c>
    </row>
    <row r="440" ht="15.75" customHeight="1">
      <c r="B440" s="2" t="s">
        <v>1288</v>
      </c>
      <c r="C440" s="2" t="s">
        <v>1289</v>
      </c>
      <c r="D440" s="2" t="s">
        <v>1185</v>
      </c>
      <c r="E440" s="2" t="s">
        <v>360</v>
      </c>
      <c r="F440" s="2" t="s">
        <v>15</v>
      </c>
      <c r="G440" s="2" t="s">
        <v>596</v>
      </c>
      <c r="H440" s="2" t="s">
        <v>105</v>
      </c>
      <c r="I440" s="2" t="str">
        <f>IFERROR(__xludf.DUMMYFUNCTION("GOOGLETRANSLATE(C440,""fr"",""en"")"),"Hello, I think you might make a little more effort regarding the refunds of your customers after 43 years of work, I have not always been insured at home but when you see all people who do not work or arrive Besides, who we CMU or very can be contained I "&amp;"do not find it normal to have to pay 91 euros of my pocket for a pair of sole or 250 euros when I go to the oculist every three years I am really disappointed by Operation I think that everyone has the right to be treated but an effort on your part for th"&amp;"ose who pay would be good thank you good day to you. Mr. Leygue.")</f>
        <v>Hello, I think you might make a little more effort regarding the refunds of your customers after 43 years of work, I have not always been insured at home but when you see all people who do not work or arrive Besides, who we CMU or very can be contained I do not find it normal to have to pay 91 euros of my pocket for a pair of sole or 250 euros when I go to the oculist every three years I am really disappointed by Operation I think that everyone has the right to be treated but an effort on your part for those who pay would be good thank you good day to you. Mr. Leygue.</v>
      </c>
    </row>
    <row r="441" ht="15.75" customHeight="1">
      <c r="B441" s="2" t="s">
        <v>1290</v>
      </c>
      <c r="C441" s="2" t="s">
        <v>1291</v>
      </c>
      <c r="D441" s="2" t="s">
        <v>1185</v>
      </c>
      <c r="E441" s="2" t="s">
        <v>360</v>
      </c>
      <c r="F441" s="2" t="s">
        <v>15</v>
      </c>
      <c r="G441" s="2" t="s">
        <v>116</v>
      </c>
      <c r="H441" s="2" t="s">
        <v>105</v>
      </c>
      <c r="I441" s="2" t="str">
        <f>IFERROR(__xludf.DUMMYFUNCTION("GOOGLETRANSLATE(C441,""fr"",""en"")"),"MGP client for over 18 years now, I am fully satisfied and highly recommend the latter.
Having a lot of worries in recent years it is good to know that we have a solid mutual insurance")</f>
        <v>MGP client for over 18 years now, I am fully satisfied and highly recommend the latter.
Having a lot of worries in recent years it is good to know that we have a solid mutual insurance</v>
      </c>
    </row>
    <row r="442" ht="15.75" customHeight="1">
      <c r="B442" s="2" t="s">
        <v>1292</v>
      </c>
      <c r="C442" s="2" t="s">
        <v>1293</v>
      </c>
      <c r="D442" s="2" t="s">
        <v>1185</v>
      </c>
      <c r="E442" s="2" t="s">
        <v>360</v>
      </c>
      <c r="F442" s="2" t="s">
        <v>15</v>
      </c>
      <c r="G442" s="2" t="s">
        <v>116</v>
      </c>
      <c r="H442" s="2" t="s">
        <v>105</v>
      </c>
      <c r="I442" s="2" t="str">
        <f>IFERROR(__xludf.DUMMYFUNCTION("GOOGLETRANSLATE(C442,""fr"",""en"")"),"The advisers are very available and very competent.
The responses obtained are clear and the explanations accessible even to the uninitiated.
The prices charged are nevertheless quite high.
")</f>
        <v>The advisers are very available and very competent.
The responses obtained are clear and the explanations accessible even to the uninitiated.
The prices charged are nevertheless quite high.
</v>
      </c>
    </row>
    <row r="443" ht="15.75" customHeight="1">
      <c r="B443" s="2" t="s">
        <v>1294</v>
      </c>
      <c r="C443" s="2" t="s">
        <v>1295</v>
      </c>
      <c r="D443" s="2" t="s">
        <v>1185</v>
      </c>
      <c r="E443" s="2" t="s">
        <v>360</v>
      </c>
      <c r="F443" s="2" t="s">
        <v>15</v>
      </c>
      <c r="G443" s="2" t="s">
        <v>116</v>
      </c>
      <c r="H443" s="2" t="s">
        <v>105</v>
      </c>
      <c r="I443" s="2" t="str">
        <f>IFERROR(__xludf.DUMMYFUNCTION("GOOGLETRANSLATE(C443,""fr"",""en"")"),"Mutual in the average ...
The staff are available quickly by phone but also in presentiel in agencies ...
Quick care reimbursement")</f>
        <v>Mutual in the average ...
The staff are available quickly by phone but also in presentiel in agencies ...
Quick care reimbursement</v>
      </c>
    </row>
    <row r="444" ht="15.75" customHeight="1">
      <c r="B444" s="2" t="s">
        <v>1296</v>
      </c>
      <c r="C444" s="2" t="s">
        <v>1297</v>
      </c>
      <c r="D444" s="2" t="s">
        <v>1185</v>
      </c>
      <c r="E444" s="2" t="s">
        <v>360</v>
      </c>
      <c r="F444" s="2" t="s">
        <v>15</v>
      </c>
      <c r="G444" s="2" t="s">
        <v>116</v>
      </c>
      <c r="H444" s="2" t="s">
        <v>105</v>
      </c>
      <c r="I444" s="2" t="str">
        <f>IFERROR(__xludf.DUMMYFUNCTION("GOOGLETRANSLATE(C444,""fr"",""en"")"),"I am completely satisfied with the information I did not know, well done for listening. I note you 10 out of 10, even 20 out of 20.
Cordially.
Mr Hereng Jean-François")</f>
        <v>I am completely satisfied with the information I did not know, well done for listening. I note you 10 out of 10, even 20 out of 20.
Cordially.
Mr Hereng Jean-François</v>
      </c>
    </row>
    <row r="445" ht="15.75" customHeight="1">
      <c r="B445" s="2" t="s">
        <v>1298</v>
      </c>
      <c r="C445" s="2" t="s">
        <v>1299</v>
      </c>
      <c r="D445" s="2" t="s">
        <v>1185</v>
      </c>
      <c r="E445" s="2" t="s">
        <v>360</v>
      </c>
      <c r="F445" s="2" t="s">
        <v>15</v>
      </c>
      <c r="G445" s="2" t="s">
        <v>116</v>
      </c>
      <c r="H445" s="2" t="s">
        <v>105</v>
      </c>
      <c r="I445" s="2" t="str">
        <f>IFERROR(__xludf.DUMMYFUNCTION("GOOGLETRANSLATE(C445,""fr"",""en"")"),"The waiting time during calls is reasonable. The friendliness of the interlocutors is variable, some do not make you want to ask questions. When I call for a problem, the answers vary according to the interlocutor. Some are not at all informed and answer "&amp;"you anyway. Others, like today, are cordial, available and know their product. My note is therefore mixed")</f>
        <v>The waiting time during calls is reasonable. The friendliness of the interlocutors is variable, some do not make you want to ask questions. When I call for a problem, the answers vary according to the interlocutor. Some are not at all informed and answer you anyway. Others, like today, are cordial, available and know their product. My note is therefore mixed</v>
      </c>
    </row>
    <row r="446" ht="15.75" customHeight="1">
      <c r="B446" s="2" t="s">
        <v>1300</v>
      </c>
      <c r="C446" s="2" t="s">
        <v>1301</v>
      </c>
      <c r="D446" s="2" t="s">
        <v>1185</v>
      </c>
      <c r="E446" s="2" t="s">
        <v>360</v>
      </c>
      <c r="F446" s="2" t="s">
        <v>15</v>
      </c>
      <c r="G446" s="2" t="s">
        <v>105</v>
      </c>
      <c r="H446" s="2" t="s">
        <v>105</v>
      </c>
      <c r="I446" s="2" t="str">
        <f>IFERROR(__xludf.DUMMYFUNCTION("GOOGLETRANSLATE(C446,""fr"",""en"")"),"I recommend reasonable price
Speed ​​of reimbursements
Sometimes lacking good advice
But remains on the whole satisfactory
Good value for money")</f>
        <v>I recommend reasonable price
Speed ​​of reimbursements
Sometimes lacking good advice
But remains on the whole satisfactory
Good value for money</v>
      </c>
    </row>
    <row r="447" ht="15.75" customHeight="1">
      <c r="B447" s="2" t="s">
        <v>1302</v>
      </c>
      <c r="C447" s="2" t="s">
        <v>1303</v>
      </c>
      <c r="D447" s="2" t="s">
        <v>1185</v>
      </c>
      <c r="E447" s="2" t="s">
        <v>360</v>
      </c>
      <c r="F447" s="2" t="s">
        <v>15</v>
      </c>
      <c r="G447" s="2" t="s">
        <v>105</v>
      </c>
      <c r="H447" s="2" t="s">
        <v>105</v>
      </c>
      <c r="I447" s="2" t="str">
        <f>IFERROR(__xludf.DUMMYFUNCTION("GOOGLETRANSLATE(C447,""fr"",""en"")"),"The staff of the platform are listened to and competent.
Refunds are made of very reasonable deadlines.
The price of contributions is high compared to the amounts of reimbursements and after comparison with other mutuals.
")</f>
        <v>The staff of the platform are listened to and competent.
Refunds are made of very reasonable deadlines.
The price of contributions is high compared to the amounts of reimbursements and after comparison with other mutuals.
</v>
      </c>
    </row>
    <row r="448" ht="15.75" customHeight="1">
      <c r="B448" s="2" t="s">
        <v>1304</v>
      </c>
      <c r="C448" s="2" t="s">
        <v>1305</v>
      </c>
      <c r="D448" s="2" t="s">
        <v>1185</v>
      </c>
      <c r="E448" s="2" t="s">
        <v>360</v>
      </c>
      <c r="F448" s="2" t="s">
        <v>15</v>
      </c>
      <c r="G448" s="2" t="s">
        <v>1306</v>
      </c>
      <c r="H448" s="2" t="s">
        <v>120</v>
      </c>
      <c r="I448" s="2" t="str">
        <f>IFERROR(__xludf.DUMMYFUNCTION("GOOGLETRANSLATE(C448,""fr"",""en"")"),"Good health insurance that adapts with the evolution of the company.
In the decades to come, the ranges should evolve and adapt quickly to the ends of allowing the insured to have a guarantee without surprise.
Congratulations on taking COVVID into accou"&amp;"nt
")</f>
        <v>Good health insurance that adapts with the evolution of the company.
In the decades to come, the ranges should evolve and adapt quickly to the ends of allowing the insured to have a guarantee without surprise.
Congratulations on taking COVVID into account
</v>
      </c>
    </row>
    <row r="449" ht="15.75" customHeight="1">
      <c r="B449" s="2" t="s">
        <v>1307</v>
      </c>
      <c r="C449" s="2" t="s">
        <v>1308</v>
      </c>
      <c r="D449" s="2" t="s">
        <v>1185</v>
      </c>
      <c r="E449" s="2" t="s">
        <v>360</v>
      </c>
      <c r="F449" s="2" t="s">
        <v>15</v>
      </c>
      <c r="G449" s="2" t="s">
        <v>1306</v>
      </c>
      <c r="H449" s="2" t="s">
        <v>120</v>
      </c>
      <c r="I449" s="2" t="str">
        <f>IFERROR(__xludf.DUMMYFUNCTION("GOOGLETRANSLATE(C449,""fr"",""en"")"),"I was wondering if the ""satisfaction"" tab was related to the price level of my mutual or with the satisfaction of the services and services rendered by this same mutual. Your survey is not clear ...
My opinion here it is: I find that my mutual is expen"&amp;"sive especially as fewer and fewer medical services are reimbursed or more and more ""badly"" reimbursed: 20 euros for an osteopath which costs you 60 .... and I'm not talking about dental services and glasses. It's simple we go there anymore! ...
NOPE. "&amp;"My real notice of satisfaction to which I put the maximum of stars, it is for the kindness and professionalism of the MGP counselor that I had on the phone this morning. Bravo madam and thank you again. Cordially.")</f>
        <v>I was wondering if the "satisfaction" tab was related to the price level of my mutual or with the satisfaction of the services and services rendered by this same mutual. Your survey is not clear ...
My opinion here it is: I find that my mutual is expensive especially as fewer and fewer medical services are reimbursed or more and more "badly" reimbursed: 20 euros for an osteopath which costs you 60 .... and I'm not talking about dental services and glasses. It's simple we go there anymore! ...
NOPE. My real notice of satisfaction to which I put the maximum of stars, it is for the kindness and professionalism of the MGP counselor that I had on the phone this morning. Bravo madam and thank you again. Cordially.</v>
      </c>
    </row>
    <row r="450" ht="15.75" customHeight="1">
      <c r="B450" s="2" t="s">
        <v>1309</v>
      </c>
      <c r="C450" s="2" t="s">
        <v>1310</v>
      </c>
      <c r="D450" s="2" t="s">
        <v>1185</v>
      </c>
      <c r="E450" s="2" t="s">
        <v>360</v>
      </c>
      <c r="F450" s="2" t="s">
        <v>15</v>
      </c>
      <c r="G450" s="2" t="s">
        <v>1306</v>
      </c>
      <c r="H450" s="2" t="s">
        <v>120</v>
      </c>
      <c r="I450" s="2" t="str">
        <f>IFERROR(__xludf.DUMMYFUNCTION("GOOGLETRANSLATE(C450,""fr"",""en"")"),"A mutual that meets my expectations, the files are paid seriously
No problem for years
The staff are listening
Very good mutual")</f>
        <v>A mutual that meets my expectations, the files are paid seriously
No problem for years
The staff are listening
Very good mutual</v>
      </c>
    </row>
    <row r="451" ht="15.75" customHeight="1">
      <c r="B451" s="2" t="s">
        <v>1311</v>
      </c>
      <c r="C451" s="2" t="s">
        <v>1312</v>
      </c>
      <c r="D451" s="2" t="s">
        <v>1185</v>
      </c>
      <c r="E451" s="2" t="s">
        <v>360</v>
      </c>
      <c r="F451" s="2" t="s">
        <v>15</v>
      </c>
      <c r="G451" s="2" t="s">
        <v>599</v>
      </c>
      <c r="H451" s="2" t="s">
        <v>120</v>
      </c>
      <c r="I451" s="2" t="str">
        <f>IFERROR(__xludf.DUMMYFUNCTION("GOOGLETRANSLATE(C451,""fr"",""en"")"),"Analysis of my very fast request and response obtained very clear. Message informing the possibility of being called in the event of very long wise waiting.")</f>
        <v>Analysis of my very fast request and response obtained very clear. Message informing the possibility of being called in the event of very long wise waiting.</v>
      </c>
    </row>
    <row r="452" ht="15.75" customHeight="1">
      <c r="B452" s="2" t="s">
        <v>1313</v>
      </c>
      <c r="C452" s="2" t="s">
        <v>1314</v>
      </c>
      <c r="D452" s="2" t="s">
        <v>1185</v>
      </c>
      <c r="E452" s="2" t="s">
        <v>360</v>
      </c>
      <c r="F452" s="2" t="s">
        <v>15</v>
      </c>
      <c r="G452" s="2" t="s">
        <v>599</v>
      </c>
      <c r="H452" s="2" t="s">
        <v>120</v>
      </c>
      <c r="I452" s="2" t="str">
        <f>IFERROR(__xludf.DUMMYFUNCTION("GOOGLETRANSLATE(C452,""fr"",""en"")"),"Taking up telephone contact today and I immediately had the answer to my question. I was very well taken into account. I have been satisfied with the mutual for over thirty years. I was able to change my contracts without problems.")</f>
        <v>Taking up telephone contact today and I immediately had the answer to my question. I was very well taken into account. I have been satisfied with the mutual for over thirty years. I was able to change my contracts without problems.</v>
      </c>
    </row>
    <row r="453" ht="15.75" customHeight="1">
      <c r="B453" s="2" t="s">
        <v>1315</v>
      </c>
      <c r="C453" s="2" t="s">
        <v>1316</v>
      </c>
      <c r="D453" s="2" t="s">
        <v>1185</v>
      </c>
      <c r="E453" s="2" t="s">
        <v>360</v>
      </c>
      <c r="F453" s="2" t="s">
        <v>15</v>
      </c>
      <c r="G453" s="2" t="s">
        <v>1317</v>
      </c>
      <c r="H453" s="2" t="s">
        <v>120</v>
      </c>
      <c r="I453" s="2" t="str">
        <f>IFERROR(__xludf.DUMMYFUNCTION("GOOGLETRANSLATE(C453,""fr"",""en"")"),"The calls are free and customer service responds very quickly.
Refunds are generally rapid. The MGP also manages social security.
I made a request for attachment, I expect to see the responsiveness of this organization.")</f>
        <v>The calls are free and customer service responds very quickly.
Refunds are generally rapid. The MGP also manages social security.
I made a request for attachment, I expect to see the responsiveness of this organization.</v>
      </c>
    </row>
    <row r="454" ht="15.75" customHeight="1">
      <c r="B454" s="2" t="s">
        <v>1318</v>
      </c>
      <c r="C454" s="2" t="s">
        <v>1319</v>
      </c>
      <c r="D454" s="2" t="s">
        <v>1185</v>
      </c>
      <c r="E454" s="2" t="s">
        <v>360</v>
      </c>
      <c r="F454" s="2" t="s">
        <v>15</v>
      </c>
      <c r="G454" s="2" t="s">
        <v>1317</v>
      </c>
      <c r="H454" s="2" t="s">
        <v>120</v>
      </c>
      <c r="I454" s="2" t="str">
        <f>IFERROR(__xludf.DUMMYFUNCTION("GOOGLETRANSLATE(C454,""fr"",""en"")"),"43 years that I am at the MGP and I have so far never been disappointed. Continue like that, good telephone and kindness. The advisers are very attentive and good advice.")</f>
        <v>43 years that I am at the MGP and I have so far never been disappointed. Continue like that, good telephone and kindness. The advisers are very attentive and good advice.</v>
      </c>
    </row>
    <row r="455" ht="15.75" customHeight="1">
      <c r="B455" s="2" t="s">
        <v>1320</v>
      </c>
      <c r="C455" s="2" t="s">
        <v>1321</v>
      </c>
      <c r="D455" s="2" t="s">
        <v>1185</v>
      </c>
      <c r="E455" s="2" t="s">
        <v>360</v>
      </c>
      <c r="F455" s="2" t="s">
        <v>15</v>
      </c>
      <c r="G455" s="2" t="s">
        <v>1317</v>
      </c>
      <c r="H455" s="2" t="s">
        <v>120</v>
      </c>
      <c r="I455" s="2" t="str">
        <f>IFERROR(__xludf.DUMMYFUNCTION("GOOGLETRANSLATE(C455,""fr"",""en"")"),"person listens to and take into account the health situation on time
Reactivity and very important listening to the views of the situation
very satisfied
")</f>
        <v>person listens to and take into account the health situation on time
Reactivity and very important listening to the views of the situation
very satisfied
</v>
      </c>
    </row>
    <row r="456" ht="15.75" customHeight="1">
      <c r="B456" s="2" t="s">
        <v>1322</v>
      </c>
      <c r="C456" s="2" t="s">
        <v>1323</v>
      </c>
      <c r="D456" s="2" t="s">
        <v>1185</v>
      </c>
      <c r="E456" s="2" t="s">
        <v>360</v>
      </c>
      <c r="F456" s="2" t="s">
        <v>15</v>
      </c>
      <c r="G456" s="2" t="s">
        <v>1324</v>
      </c>
      <c r="H456" s="2" t="s">
        <v>120</v>
      </c>
      <c r="I456" s="2" t="str">
        <f>IFERROR(__xludf.DUMMYFUNCTION("GOOGLETRANSLATE(C456,""fr"",""en"")"),"During my telephone contact I exposed my situation to my correspondence which listened to me, advised and oriented in a positive way my request.
During our exchange the person was very professional she asked me questions to better answer my expectations."&amp;"
I congratulate myself on this exchange and I am happy to be part of the MGP.
Cordially
")</f>
        <v>During my telephone contact I exposed my situation to my correspondence which listened to me, advised and oriented in a positive way my request.
During our exchange the person was very professional she asked me questions to better answer my expectations.
I congratulate myself on this exchange and I am happy to be part of the MGP.
Cordially
</v>
      </c>
    </row>
    <row r="457" ht="15.75" customHeight="1">
      <c r="B457" s="2" t="s">
        <v>1325</v>
      </c>
      <c r="C457" s="2" t="s">
        <v>1326</v>
      </c>
      <c r="D457" s="2" t="s">
        <v>1185</v>
      </c>
      <c r="E457" s="2" t="s">
        <v>360</v>
      </c>
      <c r="F457" s="2" t="s">
        <v>15</v>
      </c>
      <c r="G457" s="2" t="s">
        <v>1324</v>
      </c>
      <c r="H457" s="2" t="s">
        <v>120</v>
      </c>
      <c r="I457" s="2" t="str">
        <f>IFERROR(__xludf.DUMMYFUNCTION("GOOGLETRANSLATE(C457,""fr"",""en"")"),"Satisfied with min health insurance, quality price 10/10. Speed ​​of responses and solution found at each request. Friendliness of interlocutors.
I recommend")</f>
        <v>Satisfied with min health insurance, quality price 10/10. Speed ​​of responses and solution found at each request. Friendliness of interlocutors.
I recommend</v>
      </c>
    </row>
    <row r="458" ht="15.75" customHeight="1">
      <c r="B458" s="2" t="s">
        <v>1327</v>
      </c>
      <c r="C458" s="2" t="s">
        <v>1328</v>
      </c>
      <c r="D458" s="2" t="s">
        <v>1185</v>
      </c>
      <c r="E458" s="2" t="s">
        <v>360</v>
      </c>
      <c r="F458" s="2" t="s">
        <v>15</v>
      </c>
      <c r="G458" s="2" t="s">
        <v>1324</v>
      </c>
      <c r="H458" s="2" t="s">
        <v>120</v>
      </c>
      <c r="I458" s="2" t="str">
        <f>IFERROR(__xludf.DUMMYFUNCTION("GOOGLETRANSLATE(C458,""fr"",""en"")"),"
A member of the MGP since 1987, a big sincere thank you to all the agents of my mutual for their kindness, availability and efficiency during calls for information.
It has been a long level for a long time !!
")</f>
        <v>
A member of the MGP since 1987, a big sincere thank you to all the agents of my mutual for their kindness, availability and efficiency during calls for information.
It has been a long level for a long time !!
</v>
      </c>
    </row>
    <row r="459" ht="15.75" customHeight="1">
      <c r="B459" s="2" t="s">
        <v>1329</v>
      </c>
      <c r="C459" s="2" t="s">
        <v>1330</v>
      </c>
      <c r="D459" s="2" t="s">
        <v>1185</v>
      </c>
      <c r="E459" s="2" t="s">
        <v>360</v>
      </c>
      <c r="F459" s="2" t="s">
        <v>15</v>
      </c>
      <c r="G459" s="2" t="s">
        <v>1324</v>
      </c>
      <c r="H459" s="2" t="s">
        <v>120</v>
      </c>
      <c r="I459" s="2" t="str">
        <f>IFERROR(__xludf.DUMMYFUNCTION("GOOGLETRANSLATE(C459,""fr"",""en"")"),"Very good mutual, the services are great ...
Customer service is impeccable.
The only downside would be a little a little expensive price when you are a family with 3 children.
Thank you")</f>
        <v>Very good mutual, the services are great ...
Customer service is impeccable.
The only downside would be a little a little expensive price when you are a family with 3 children.
Thank you</v>
      </c>
    </row>
    <row r="460" ht="15.75" customHeight="1">
      <c r="B460" s="2" t="s">
        <v>1331</v>
      </c>
      <c r="C460" s="2" t="s">
        <v>1332</v>
      </c>
      <c r="D460" s="2" t="s">
        <v>1185</v>
      </c>
      <c r="E460" s="2" t="s">
        <v>360</v>
      </c>
      <c r="F460" s="2" t="s">
        <v>15</v>
      </c>
      <c r="G460" s="2" t="s">
        <v>119</v>
      </c>
      <c r="H460" s="2" t="s">
        <v>120</v>
      </c>
      <c r="I460" s="2" t="str">
        <f>IFERROR(__xludf.DUMMYFUNCTION("GOOGLETRANSLATE(C460,""fr"",""en"")"),"The MGP is a good mutual. Most of the time we are online fairly quickly with an interlocutor who makes his best to meet our request.")</f>
        <v>The MGP is a good mutual. Most of the time we are online fairly quickly with an interlocutor who makes his best to meet our request.</v>
      </c>
    </row>
    <row r="461" ht="15.75" customHeight="1">
      <c r="B461" s="2" t="s">
        <v>1333</v>
      </c>
      <c r="C461" s="2" t="s">
        <v>1334</v>
      </c>
      <c r="D461" s="2" t="s">
        <v>1185</v>
      </c>
      <c r="E461" s="2" t="s">
        <v>360</v>
      </c>
      <c r="F461" s="2" t="s">
        <v>15</v>
      </c>
      <c r="G461" s="2" t="s">
        <v>1335</v>
      </c>
      <c r="H461" s="2" t="s">
        <v>120</v>
      </c>
      <c r="I461" s="2" t="str">
        <f>IFERROR(__xludf.DUMMYFUNCTION("GOOGLETRANSLATE(C461,""fr"",""en"")"),"Very good mutual, reimbursements are quite fast, the website contains all the necessary information, good responsiveness on the phone,
I recommend !
")</f>
        <v>Very good mutual, reimbursements are quite fast, the website contains all the necessary information, good responsiveness on the phone,
I recommend !
</v>
      </c>
    </row>
    <row r="462" ht="15.75" customHeight="1">
      <c r="B462" s="2" t="s">
        <v>1336</v>
      </c>
      <c r="C462" s="2" t="s">
        <v>1337</v>
      </c>
      <c r="D462" s="2" t="s">
        <v>1185</v>
      </c>
      <c r="E462" s="2" t="s">
        <v>360</v>
      </c>
      <c r="F462" s="2" t="s">
        <v>15</v>
      </c>
      <c r="G462" s="2" t="s">
        <v>1335</v>
      </c>
      <c r="H462" s="2" t="s">
        <v>120</v>
      </c>
      <c r="I462" s="2" t="str">
        <f>IFERROR(__xludf.DUMMYFUNCTION("GOOGLETRANSLATE(C462,""fr"",""en"")"),"I am very happy with the services of the MGP, I have been a member for 35 years. The telephone reception is always fast and pleasant. There is a real management of requests, efficiency and speed in the responses.")</f>
        <v>I am very happy with the services of the MGP, I have been a member for 35 years. The telephone reception is always fast and pleasant. There is a real management of requests, efficiency and speed in the responses.</v>
      </c>
    </row>
    <row r="463" ht="15.75" customHeight="1">
      <c r="B463" s="2" t="s">
        <v>1338</v>
      </c>
      <c r="C463" s="2" t="s">
        <v>1339</v>
      </c>
      <c r="D463" s="2" t="s">
        <v>1185</v>
      </c>
      <c r="E463" s="2" t="s">
        <v>360</v>
      </c>
      <c r="F463" s="2" t="s">
        <v>15</v>
      </c>
      <c r="G463" s="2" t="s">
        <v>1335</v>
      </c>
      <c r="H463" s="2" t="s">
        <v>120</v>
      </c>
      <c r="I463" s="2" t="str">
        <f>IFERROR(__xludf.DUMMYFUNCTION("GOOGLETRANSLATE(C463,""fr"",""en"")"),"Notice in order to develop the MGP.
Through 2020 Large concern for reimbursement on a non -optam specialist service. To put it simply I was penalized by 20% on the BR and I was also reduced my reimbursement of the mutual, the total what! In summary on a "&amp;"consultation of 65 euros to which I had to be reimbursed by 65 euros I was reimbursed 55.80 euros. It took 6 months and 2 la to make me hear and it was limited (I give you thanks: ""Yes but it's like that""), and my contract was very explicit.
In the sec"&amp;"ond, but much less serious, I send a pharmacy bill and I receive the next day an email informing me that the drugs of 20 and 5.5% are not taken into account. In the evening, I refer another email to tell them that according to my contract the other drugs "&amp;"of 2.1 and 10% are.
The next day I receive a new email informing me of the reimbursement.
Good a priori I reacted too quickly because they were studying my bill, but the email was not clear, it would have been better to wait or put in email: your invoic"&amp;"e is under study but we remind you that the drugs From 20 and 5.5% will not be supported.
I have other remarks but it's 3 pages A4 I would need.
I remain attentive to the MGP if however she wishes to contact me.
")</f>
        <v>Notice in order to develop the MGP.
Through 2020 Large concern for reimbursement on a non -optam specialist service. To put it simply I was penalized by 20% on the BR and I was also reduced my reimbursement of the mutual, the total what! In summary on a consultation of 65 euros to which I had to be reimbursed by 65 euros I was reimbursed 55.80 euros. It took 6 months and 2 la to make me hear and it was limited (I give you thanks: "Yes but it's like that"), and my contract was very explicit.
In the second, but much less serious, I send a pharmacy bill and I receive the next day an email informing me that the drugs of 20 and 5.5% are not taken into account. In the evening, I refer another email to tell them that according to my contract the other drugs of 2.1 and 10% are.
The next day I receive a new email informing me of the reimbursement.
Good a priori I reacted too quickly because they were studying my bill, but the email was not clear, it would have been better to wait or put in email: your invoice is under study but we remind you that the drugs From 20 and 5.5% will not be supported.
I have other remarks but it's 3 pages A4 I would need.
I remain attentive to the MGP if however she wishes to contact me.
</v>
      </c>
    </row>
    <row r="464" ht="15.75" customHeight="1">
      <c r="B464" s="2" t="s">
        <v>1340</v>
      </c>
      <c r="C464" s="2" t="s">
        <v>1341</v>
      </c>
      <c r="D464" s="2" t="s">
        <v>1185</v>
      </c>
      <c r="E464" s="2" t="s">
        <v>360</v>
      </c>
      <c r="F464" s="2" t="s">
        <v>15</v>
      </c>
      <c r="G464" s="2" t="s">
        <v>1335</v>
      </c>
      <c r="H464" s="2" t="s">
        <v>120</v>
      </c>
      <c r="I464" s="2" t="str">
        <f>IFERROR(__xludf.DUMMYFUNCTION("GOOGLETRANSLATE(C464,""fr"",""en"")"),"I am very satisfied with the services of the MGP. The staff are very responsive ...
However, that would be good that we have our own advisor for faster follow -up ...
Mrs Julie PAYET")</f>
        <v>I am very satisfied with the services of the MGP. The staff are very responsive ...
However, that would be good that we have our own advisor for faster follow -up ...
Mrs Julie PAYET</v>
      </c>
    </row>
    <row r="465" ht="15.75" customHeight="1">
      <c r="B465" s="2" t="s">
        <v>1342</v>
      </c>
      <c r="C465" s="2" t="s">
        <v>1343</v>
      </c>
      <c r="D465" s="2" t="s">
        <v>1185</v>
      </c>
      <c r="E465" s="2" t="s">
        <v>360</v>
      </c>
      <c r="F465" s="2" t="s">
        <v>15</v>
      </c>
      <c r="G465" s="2" t="s">
        <v>1344</v>
      </c>
      <c r="H465" s="2" t="s">
        <v>120</v>
      </c>
      <c r="I465" s="2" t="str">
        <f>IFERROR(__xludf.DUMMYFUNCTION("GOOGLETRANSLATE(C465,""fr"",""en"")"),"Dental and optical guarantees are in my opinion to review upwards. Especially for crowns and other interventions of this type.
Otherwise, in terms of customer service they are at the top. We can call them without any problem and answer the questions th"&amp;"ey are asking them.
")</f>
        <v>Dental and optical guarantees are in my opinion to review upwards. Especially for crowns and other interventions of this type.
Otherwise, in terms of customer service they are at the top. We can call them without any problem and answer the questions they are asking them.
</v>
      </c>
    </row>
    <row r="466" ht="15.75" customHeight="1">
      <c r="B466" s="2" t="s">
        <v>1345</v>
      </c>
      <c r="C466" s="2" t="s">
        <v>1346</v>
      </c>
      <c r="D466" s="2" t="s">
        <v>1185</v>
      </c>
      <c r="E466" s="2" t="s">
        <v>360</v>
      </c>
      <c r="F466" s="2" t="s">
        <v>15</v>
      </c>
      <c r="G466" s="2" t="s">
        <v>1344</v>
      </c>
      <c r="H466" s="2" t="s">
        <v>120</v>
      </c>
      <c r="I466" s="2" t="str">
        <f>IFERROR(__xludf.DUMMYFUNCTION("GOOGLETRANSLATE(C466,""fr"",""en"")"),"Very attentive, clear, clear, precise information, satisfied with the answers given and the service requested. No complaints. satisfied in all respects.")</f>
        <v>Very attentive, clear, clear, precise information, satisfied with the answers given and the service requested. No complaints. satisfied in all respects.</v>
      </c>
    </row>
    <row r="467" ht="15.75" customHeight="1">
      <c r="B467" s="2" t="s">
        <v>1347</v>
      </c>
      <c r="C467" s="2" t="s">
        <v>1348</v>
      </c>
      <c r="D467" s="2" t="s">
        <v>1185</v>
      </c>
      <c r="E467" s="2" t="s">
        <v>360</v>
      </c>
      <c r="F467" s="2" t="s">
        <v>15</v>
      </c>
      <c r="G467" s="2" t="s">
        <v>1344</v>
      </c>
      <c r="H467" s="2" t="s">
        <v>120</v>
      </c>
      <c r="I467" s="2" t="str">
        <f>IFERROR(__xludf.DUMMYFUNCTION("GOOGLETRANSLATE(C467,""fr"",""en"")"),"Good mutual insurance as a whole. Perfect telephone reception. Refunds could be reassessed upwards, and downward contributions. In order to avoid massive departures to other mutuals")</f>
        <v>Good mutual insurance as a whole. Perfect telephone reception. Refunds could be reassessed upwards, and downward contributions. In order to avoid massive departures to other mutuals</v>
      </c>
    </row>
    <row r="468" ht="15.75" customHeight="1">
      <c r="B468" s="2" t="s">
        <v>1349</v>
      </c>
      <c r="C468" s="2" t="s">
        <v>1350</v>
      </c>
      <c r="D468" s="2" t="s">
        <v>1185</v>
      </c>
      <c r="E468" s="2" t="s">
        <v>360</v>
      </c>
      <c r="F468" s="2" t="s">
        <v>15</v>
      </c>
      <c r="G468" s="2" t="s">
        <v>1344</v>
      </c>
      <c r="H468" s="2" t="s">
        <v>120</v>
      </c>
      <c r="I468" s="2" t="str">
        <f>IFERROR(__xludf.DUMMYFUNCTION("GOOGLETRANSLATE(C468,""fr"",""en"")"),"I have been at the MGP since 2003 and I am very satisfied with their services. With the care or the telephone reception service. I had a professional change in 2018 in Guadeloupe even from a distance I remain also satisfied.
Only small problem I had to c"&amp;"all several times so that my son could be written on my mutual card because each time I called I received a new card but he did not appear on it.
I don't know where the problem came from but the problem was resolved.
After reflection I think I have a li"&amp;"ttle part of responsibility ...
So to conclude yes I recommend this mutual is an effective good mutual and listening to its members.")</f>
        <v>I have been at the MGP since 2003 and I am very satisfied with their services. With the care or the telephone reception service. I had a professional change in 2018 in Guadeloupe even from a distance I remain also satisfied.
Only small problem I had to call several times so that my son could be written on my mutual card because each time I called I received a new card but he did not appear on it.
I don't know where the problem came from but the problem was resolved.
After reflection I think I have a little part of responsibility ...
So to conclude yes I recommend this mutual is an effective good mutual and listening to its members.</v>
      </c>
    </row>
    <row r="469" ht="15.75" customHeight="1">
      <c r="B469" s="2" t="s">
        <v>1351</v>
      </c>
      <c r="C469" s="2" t="s">
        <v>1352</v>
      </c>
      <c r="D469" s="2" t="s">
        <v>1185</v>
      </c>
      <c r="E469" s="2" t="s">
        <v>360</v>
      </c>
      <c r="F469" s="2" t="s">
        <v>15</v>
      </c>
      <c r="G469" s="2" t="s">
        <v>1344</v>
      </c>
      <c r="H469" s="2" t="s">
        <v>120</v>
      </c>
      <c r="I469" s="2" t="str">
        <f>IFERROR(__xludf.DUMMYFUNCTION("GOOGLETRANSLATE(C469,""fr"",""en"")"),"Excellent mutual insurance advisers informs you very well and very efficient and very professional. Rapid reimbursements. I recommend this mutual")</f>
        <v>Excellent mutual insurance advisers informs you very well and very efficient and very professional. Rapid reimbursements. I recommend this mutual</v>
      </c>
    </row>
    <row r="470" ht="15.75" customHeight="1">
      <c r="B470" s="2" t="s">
        <v>1353</v>
      </c>
      <c r="C470" s="2" t="s">
        <v>1354</v>
      </c>
      <c r="D470" s="2" t="s">
        <v>1185</v>
      </c>
      <c r="E470" s="2" t="s">
        <v>360</v>
      </c>
      <c r="F470" s="2" t="s">
        <v>15</v>
      </c>
      <c r="G470" s="2" t="s">
        <v>1344</v>
      </c>
      <c r="H470" s="2" t="s">
        <v>120</v>
      </c>
      <c r="I470" s="2" t="str">
        <f>IFERROR(__xludf.DUMMYFUNCTION("GOOGLETRANSLATE(C470,""fr"",""en"")"),"I have been a member of the MGP since 1987 and I have always been satisfied with the services rendered.
The availability and responsiveness of the interlocutors are to be emphasized, the files are processed quickly, with seriousness and rigor.
The quali"&amp;"ty/price ratio is undeniable.
The range of offers is important.
Everything is done to facilitate the procedures and the website is co.vivial.
I re -order this mutual.")</f>
        <v>I have been a member of the MGP since 1987 and I have always been satisfied with the services rendered.
The availability and responsiveness of the interlocutors are to be emphasized, the files are processed quickly, with seriousness and rigor.
The quality/price ratio is undeniable.
The range of offers is important.
Everything is done to facilitate the procedures and the website is co.vivial.
I re -order this mutual.</v>
      </c>
    </row>
    <row r="471" ht="15.75" customHeight="1">
      <c r="B471" s="2" t="s">
        <v>1355</v>
      </c>
      <c r="C471" s="2" t="s">
        <v>1356</v>
      </c>
      <c r="D471" s="2" t="s">
        <v>1185</v>
      </c>
      <c r="E471" s="2" t="s">
        <v>360</v>
      </c>
      <c r="F471" s="2" t="s">
        <v>15</v>
      </c>
      <c r="G471" s="2" t="s">
        <v>1344</v>
      </c>
      <c r="H471" s="2" t="s">
        <v>120</v>
      </c>
      <c r="I471" s="2" t="str">
        <f>IFERROR(__xludf.DUMMYFUNCTION("GOOGLETRANSLATE(C471,""fr"",""en"")"),"It is reassuring to count on a solidarity health mutual that supports your health expenses, especially when you are retired.
The only small problem when you retire you lose in purchasing power and the monthly payment of the mutual remains the same. But b"&amp;"eing very satisfied with my mutual for 40 years, I remained faithful to this mutual.")</f>
        <v>It is reassuring to count on a solidarity health mutual that supports your health expenses, especially when you are retired.
The only small problem when you retire you lose in purchasing power and the monthly payment of the mutual remains the same. But being very satisfied with my mutual for 40 years, I remained faithful to this mutual.</v>
      </c>
    </row>
    <row r="472" ht="15.75" customHeight="1">
      <c r="B472" s="2" t="s">
        <v>1357</v>
      </c>
      <c r="C472" s="2" t="s">
        <v>1358</v>
      </c>
      <c r="D472" s="2" t="s">
        <v>1185</v>
      </c>
      <c r="E472" s="2" t="s">
        <v>360</v>
      </c>
      <c r="F472" s="2" t="s">
        <v>15</v>
      </c>
      <c r="G472" s="2" t="s">
        <v>1359</v>
      </c>
      <c r="H472" s="2" t="s">
        <v>120</v>
      </c>
      <c r="I472" s="2" t="str">
        <f>IFERROR(__xludf.DUMMYFUNCTION("GOOGLETRANSLATE(C472,""fr"",""en"")"),"Good mutual reactive but a little expensive for sometimes deceiving coverage on certain posts in particular dental prostheses and hearing aids")</f>
        <v>Good mutual reactive but a little expensive for sometimes deceiving coverage on certain posts in particular dental prostheses and hearing aids</v>
      </c>
    </row>
    <row r="473" ht="15.75" customHeight="1">
      <c r="B473" s="2" t="s">
        <v>1360</v>
      </c>
      <c r="C473" s="2" t="s">
        <v>1361</v>
      </c>
      <c r="D473" s="2" t="s">
        <v>1185</v>
      </c>
      <c r="E473" s="2" t="s">
        <v>360</v>
      </c>
      <c r="F473" s="2" t="s">
        <v>15</v>
      </c>
      <c r="G473" s="2" t="s">
        <v>1359</v>
      </c>
      <c r="H473" s="2" t="s">
        <v>120</v>
      </c>
      <c r="I473" s="2" t="str">
        <f>IFERROR(__xludf.DUMMYFUNCTION("GOOGLETRANSLATE(C473,""fr"",""en"")"),"Very satisfied with services and customer relations. Professional telephone operators, always pleasant and courteous. Refunds are made within reasonable deadlines.")</f>
        <v>Very satisfied with services and customer relations. Professional telephone operators, always pleasant and courteous. Refunds are made within reasonable deadlines.</v>
      </c>
    </row>
    <row r="474" ht="15.75" customHeight="1">
      <c r="B474" s="2" t="s">
        <v>1362</v>
      </c>
      <c r="C474" s="2" t="s">
        <v>1363</v>
      </c>
      <c r="D474" s="2" t="s">
        <v>1185</v>
      </c>
      <c r="E474" s="2" t="s">
        <v>360</v>
      </c>
      <c r="F474" s="2" t="s">
        <v>15</v>
      </c>
      <c r="G474" s="2" t="s">
        <v>1359</v>
      </c>
      <c r="H474" s="2" t="s">
        <v>120</v>
      </c>
      <c r="I474" s="2" t="str">
        <f>IFERROR(__xludf.DUMMYFUNCTION("GOOGLETRANSLATE(C474,""fr"",""en"")"),"Satisfied with my mutual healthy even if by my profession the prices are high but the additional salary in the event of a health problem is covered which is very important.
Always had good communication with the various interlocutors who have always been"&amp;" able to provide an answer to my requests.")</f>
        <v>Satisfied with my mutual healthy even if by my profession the prices are high but the additional salary in the event of a health problem is covered which is very important.
Always had good communication with the various interlocutors who have always been able to provide an answer to my requests.</v>
      </c>
    </row>
    <row r="475" ht="15.75" customHeight="1">
      <c r="B475" s="2" t="s">
        <v>1364</v>
      </c>
      <c r="C475" s="2" t="s">
        <v>1365</v>
      </c>
      <c r="D475" s="2" t="s">
        <v>1185</v>
      </c>
      <c r="E475" s="2" t="s">
        <v>360</v>
      </c>
      <c r="F475" s="2" t="s">
        <v>15</v>
      </c>
      <c r="G475" s="2" t="s">
        <v>1366</v>
      </c>
      <c r="H475" s="2" t="s">
        <v>120</v>
      </c>
      <c r="I475" s="2" t="str">
        <f>IFERROR(__xludf.DUMMYFUNCTION("GOOGLETRANSLATE(C475,""fr"",""en"")"),"In the MGP recently, I only used basic health reimbursements but I am very satisfied with the management of our trades and our specificities (often not understood or much too expensive in others mutuals)")</f>
        <v>In the MGP recently, I only used basic health reimbursements but I am very satisfied with the management of our trades and our specificities (often not understood or much too expensive in others mutuals)</v>
      </c>
    </row>
    <row r="476" ht="15.75" customHeight="1">
      <c r="B476" s="2" t="s">
        <v>1367</v>
      </c>
      <c r="C476" s="2" t="s">
        <v>1368</v>
      </c>
      <c r="D476" s="2" t="s">
        <v>1185</v>
      </c>
      <c r="E476" s="2" t="s">
        <v>360</v>
      </c>
      <c r="F476" s="2" t="s">
        <v>15</v>
      </c>
      <c r="G476" s="2" t="s">
        <v>1366</v>
      </c>
      <c r="H476" s="2" t="s">
        <v>120</v>
      </c>
      <c r="I476" s="2" t="str">
        <f>IFERROR(__xludf.DUMMYFUNCTION("GOOGLETRANSLATE(C476,""fr"",""en"")"),"I am on the whole satisfied. Except that for the service request for loss of wages if you have a health concern for a few months or 6 months after the subscription you are not compensated. That's a shame.")</f>
        <v>I am on the whole satisfied. Except that for the service request for loss of wages if you have a health concern for a few months or 6 months after the subscription you are not compensated. That's a shame.</v>
      </c>
    </row>
    <row r="477" ht="15.75" customHeight="1">
      <c r="B477" s="2" t="s">
        <v>1369</v>
      </c>
      <c r="C477" s="2" t="s">
        <v>1370</v>
      </c>
      <c r="D477" s="2" t="s">
        <v>1185</v>
      </c>
      <c r="E477" s="2" t="s">
        <v>360</v>
      </c>
      <c r="F477" s="2" t="s">
        <v>15</v>
      </c>
      <c r="G477" s="2" t="s">
        <v>1366</v>
      </c>
      <c r="H477" s="2" t="s">
        <v>120</v>
      </c>
      <c r="I477" s="2" t="str">
        <f>IFERROR(__xludf.DUMMYFUNCTION("GOOGLETRANSLATE(C477,""fr"",""en"")"),"I have been a member of the MGP since 1979, the mutual insurance company has always accompanied me well in my professional life only in that of retiree.
I opted for special provisions such as additional salary when I was active.
Refunds are supported ve"&amp;"ry quickly, depending on the option it is offered good coverage in both dental and optics
I am satisfied and will not change a mutual")</f>
        <v>I have been a member of the MGP since 1979, the mutual insurance company has always accompanied me well in my professional life only in that of retiree.
I opted for special provisions such as additional salary when I was active.
Refunds are supported very quickly, depending on the option it is offered good coverage in both dental and optics
I am satisfied and will not change a mutual</v>
      </c>
    </row>
    <row r="478" ht="15.75" customHeight="1">
      <c r="B478" s="2" t="s">
        <v>1371</v>
      </c>
      <c r="C478" s="2" t="s">
        <v>1372</v>
      </c>
      <c r="D478" s="2" t="s">
        <v>1185</v>
      </c>
      <c r="E478" s="2" t="s">
        <v>360</v>
      </c>
      <c r="F478" s="2" t="s">
        <v>15</v>
      </c>
      <c r="G478" s="2" t="s">
        <v>1366</v>
      </c>
      <c r="H478" s="2" t="s">
        <v>120</v>
      </c>
      <c r="I478" s="2" t="str">
        <f>IFERROR(__xludf.DUMMYFUNCTION("GOOGLETRANSLATE(C478,""fr"",""en"")"),"MGP operators are all very professional people and listen to
The latter reminded me in a very short delai in order to avoid waiting too much
I am very satisfied with the whole team and the follow -up of my file
Their answer is fast")</f>
        <v>MGP operators are all very professional people and listen to
The latter reminded me in a very short delai in order to avoid waiting too much
I am very satisfied with the whole team and the follow -up of my file
Their answer is fast</v>
      </c>
    </row>
    <row r="479" ht="15.75" customHeight="1">
      <c r="B479" s="2" t="s">
        <v>1373</v>
      </c>
      <c r="C479" s="2" t="s">
        <v>1374</v>
      </c>
      <c r="D479" s="2" t="s">
        <v>1185</v>
      </c>
      <c r="E479" s="2" t="s">
        <v>360</v>
      </c>
      <c r="F479" s="2" t="s">
        <v>15</v>
      </c>
      <c r="G479" s="2" t="s">
        <v>1366</v>
      </c>
      <c r="H479" s="2" t="s">
        <v>120</v>
      </c>
      <c r="I479" s="2" t="str">
        <f>IFERROR(__xludf.DUMMYFUNCTION("GOOGLETRANSLATE(C479,""fr"",""en"")"),"Perfect service, I therefore recommend choosing this mutual, clear and concise response, not much waiting time.
MGP is a good mutual")</f>
        <v>Perfect service, I therefore recommend choosing this mutual, clear and concise response, not much waiting time.
MGP is a good mutual</v>
      </c>
    </row>
    <row r="480" ht="15.75" customHeight="1">
      <c r="B480" s="2" t="s">
        <v>1375</v>
      </c>
      <c r="C480" s="2" t="s">
        <v>1376</v>
      </c>
      <c r="D480" s="2" t="s">
        <v>1185</v>
      </c>
      <c r="E480" s="2" t="s">
        <v>360</v>
      </c>
      <c r="F480" s="2" t="s">
        <v>15</v>
      </c>
      <c r="G480" s="2" t="s">
        <v>602</v>
      </c>
      <c r="H480" s="2" t="s">
        <v>120</v>
      </c>
      <c r="I480" s="2" t="str">
        <f>IFERROR(__xludf.DUMMYFUNCTION("GOOGLETRANSLATE(C480,""fr"",""en"")"),"Very good insurance, always there, very good telephone, very courteous, never had any problem to join them, always very clear and available to my requests, I recommend this insurer.")</f>
        <v>Very good insurance, always there, very good telephone, very courteous, never had any problem to join them, always very clear and available to my requests, I recommend this insurer.</v>
      </c>
    </row>
    <row r="481" ht="15.75" customHeight="1">
      <c r="B481" s="2" t="s">
        <v>1377</v>
      </c>
      <c r="C481" s="2" t="s">
        <v>1378</v>
      </c>
      <c r="D481" s="2" t="s">
        <v>1185</v>
      </c>
      <c r="E481" s="2" t="s">
        <v>360</v>
      </c>
      <c r="F481" s="2" t="s">
        <v>15</v>
      </c>
      <c r="G481" s="2" t="s">
        <v>1379</v>
      </c>
      <c r="H481" s="2" t="s">
        <v>120</v>
      </c>
      <c r="I481" s="2" t="str">
        <f>IFERROR(__xludf.DUMMYFUNCTION("GOOGLETRANSLATE(C481,""fr"",""en"")"),"After almost 50 years of affiliation to this mutual I have practically no negative criticism to formulate. Perhaps in terms of prices which are a little higher than others, but comparatively the services are worth this difference. For the rest, I am perfe"&amp;"ctly satisfied: quality of contacts, precision of information, deadlines and level of reimbursements, ...")</f>
        <v>After almost 50 years of affiliation to this mutual I have practically no negative criticism to formulate. Perhaps in terms of prices which are a little higher than others, but comparatively the services are worth this difference. For the rest, I am perfectly satisfied: quality of contacts, precision of information, deadlines and level of reimbursements, ...</v>
      </c>
    </row>
    <row r="482" ht="15.75" customHeight="1">
      <c r="B482" s="2" t="s">
        <v>1380</v>
      </c>
      <c r="C482" s="2" t="s">
        <v>1381</v>
      </c>
      <c r="D482" s="2" t="s">
        <v>1185</v>
      </c>
      <c r="E482" s="2" t="s">
        <v>360</v>
      </c>
      <c r="F482" s="2" t="s">
        <v>15</v>
      </c>
      <c r="G482" s="2" t="s">
        <v>610</v>
      </c>
      <c r="H482" s="2" t="s">
        <v>120</v>
      </c>
      <c r="I482" s="2" t="str">
        <f>IFERROR(__xludf.DUMMYFUNCTION("GOOGLETRANSLATE(C482,""fr"",""en"")"),"I find that we are very little reimbursed even by having chosen the evolution contract. Indeed there are very few approved specialists most of them exceed their fees. I've been in your mutual insurance for more than forty years and on several occasions I "&amp;"thought to leave the MGP thinking that by taking the age I would be better reimbursed for another mutual in the private sector that would have been much less dear.moily this is not the case. Recently I was operated on the knees and the visits to the ortho"&amp;"pedic surgeon ex 80 euros in consultation plus 100 euros in frost for infiltration, I was not reimbursed approximately 34 euros. So as you get older we have more and more health problems and I thought I was better reimbursed given the price of my subscrip"&amp;"tion. There is a request for help but if I always have to be asked I do not do alms.
So considering the consideration of loyalty I think in the future inquire to find a mutual contract at this price which better reimburses fees overruns as well as for te"&amp;"eth the glasses which for me are not luxury.
Please receive my distinguished greetings.")</f>
        <v>I find that we are very little reimbursed even by having chosen the evolution contract. Indeed there are very few approved specialists most of them exceed their fees. I've been in your mutual insurance for more than forty years and on several occasions I thought to leave the MGP thinking that by taking the age I would be better reimbursed for another mutual in the private sector that would have been much less dear.moily this is not the case. Recently I was operated on the knees and the visits to the orthopedic surgeon ex 80 euros in consultation plus 100 euros in frost for infiltration, I was not reimbursed approximately 34 euros. So as you get older we have more and more health problems and I thought I was better reimbursed given the price of my subscription. There is a request for help but if I always have to be asked I do not do alms.
So considering the consideration of loyalty I think in the future inquire to find a mutual contract at this price which better reimburses fees overruns as well as for teeth the glasses which for me are not luxury.
Please receive my distinguished greetings.</v>
      </c>
    </row>
    <row r="483" ht="15.75" customHeight="1">
      <c r="B483" s="2" t="s">
        <v>1382</v>
      </c>
      <c r="C483" s="2" t="s">
        <v>1383</v>
      </c>
      <c r="D483" s="2" t="s">
        <v>1185</v>
      </c>
      <c r="E483" s="2" t="s">
        <v>360</v>
      </c>
      <c r="F483" s="2" t="s">
        <v>15</v>
      </c>
      <c r="G483" s="2" t="s">
        <v>1384</v>
      </c>
      <c r="H483" s="2" t="s">
        <v>120</v>
      </c>
      <c r="I483" s="2" t="str">
        <f>IFERROR(__xludf.DUMMYFUNCTION("GOOGLETRANSLATE(C483,""fr"",""en"")"),"Very pleasant person on the phone and available immediately.
Competent staff.
Regarding the reimbursement too much difference to min taste between the social security share and the mutual, however, my two parts are on the same place, namely MGP. All my "&amp;"questions were clear.")</f>
        <v>Very pleasant person on the phone and available immediately.
Competent staff.
Regarding the reimbursement too much difference to min taste between the social security share and the mutual, however, my two parts are on the same place, namely MGP. All my questions were clear.</v>
      </c>
    </row>
    <row r="484" ht="15.75" customHeight="1">
      <c r="B484" s="2" t="s">
        <v>1385</v>
      </c>
      <c r="C484" s="2" t="s">
        <v>1386</v>
      </c>
      <c r="D484" s="2" t="s">
        <v>1185</v>
      </c>
      <c r="E484" s="2" t="s">
        <v>360</v>
      </c>
      <c r="F484" s="2" t="s">
        <v>15</v>
      </c>
      <c r="G484" s="2" t="s">
        <v>1387</v>
      </c>
      <c r="H484" s="2" t="s">
        <v>120</v>
      </c>
      <c r="I484" s="2" t="str">
        <f>IFERROR(__xludf.DUMMYFUNCTION("GOOGLETRANSLATE(C484,""fr"",""en"")"),"Clear information on pricing, interesting choice of level of coverage.
The ""most"" determining: - very great ease of access to the service, by internet of course, but especially by phone, practically without waiting and with competent and very friendly "&amp;"interlocutors.
                                    - Extreme speed of reimbursements on the additional part including and especially for high expenses (dental care in particular).
Great satisfaction and loyalty for almost 40 years ....")</f>
        <v>Clear information on pricing, interesting choice of level of coverage.
The "most" determining: - very great ease of access to the service, by internet of course, but especially by phone, practically without waiting and with competent and very friendly interlocutors.
                                    - Extreme speed of reimbursements on the additional part including and especially for high expenses (dental care in particular).
Great satisfaction and loyalty for almost 40 years ....</v>
      </c>
    </row>
    <row r="485" ht="15.75" customHeight="1">
      <c r="B485" s="2" t="s">
        <v>1388</v>
      </c>
      <c r="C485" s="2" t="s">
        <v>1389</v>
      </c>
      <c r="D485" s="2" t="s">
        <v>1185</v>
      </c>
      <c r="E485" s="2" t="s">
        <v>360</v>
      </c>
      <c r="F485" s="2" t="s">
        <v>15</v>
      </c>
      <c r="G485" s="2" t="s">
        <v>1387</v>
      </c>
      <c r="H485" s="2" t="s">
        <v>120</v>
      </c>
      <c r="I485" s="2" t="str">
        <f>IFERROR(__xludf.DUMMYFUNCTION("GOOGLETRANSLATE(C485,""fr"",""en"")"),"Although on retirement, I keep this mutual in solidarity and because I have always been satisfied on the whole.
However currently, it is unpleasant to me not to be able to transmit my reimbursement sheets live or invoices when doctors do not pay third "&amp;"party
The formats used are not taken into account too heavy document while I send it to PDF, this forces me to send the sheets by mail. Transmissions would undoubtedly be to facilitate more I use alternative medicines, and in particular homeopthia which "&amp;"is no longer reimbursed and that is not why my subscription also decreases not the telephone reception, seems to have made a effort
Cordially
")</f>
        <v>Although on retirement, I keep this mutual in solidarity and because I have always been satisfied on the whole.
However currently, it is unpleasant to me not to be able to transmit my reimbursement sheets live or invoices when doctors do not pay third party
The formats used are not taken into account too heavy document while I send it to PDF, this forces me to send the sheets by mail. Transmissions would undoubtedly be to facilitate more I use alternative medicines, and in particular homeopthia which is no longer reimbursed and that is not why my subscription also decreases not the telephone reception, seems to have made a effort
Cordially
</v>
      </c>
    </row>
    <row r="486" ht="15.75" customHeight="1">
      <c r="B486" s="2" t="s">
        <v>1390</v>
      </c>
      <c r="C486" s="2" t="s">
        <v>1391</v>
      </c>
      <c r="D486" s="2" t="s">
        <v>1185</v>
      </c>
      <c r="E486" s="2" t="s">
        <v>360</v>
      </c>
      <c r="F486" s="2" t="s">
        <v>15</v>
      </c>
      <c r="G486" s="2" t="s">
        <v>1392</v>
      </c>
      <c r="H486" s="2" t="s">
        <v>120</v>
      </c>
      <c r="I486" s="2" t="str">
        <f>IFERROR(__xludf.DUMMYFUNCTION("GOOGLETRANSLATE(C486,""fr"",""en"")"),"Good value for money and speed in the management of different requests.
The various advisers are very friendly and seek to meet our expectations correctly.")</f>
        <v>Good value for money and speed in the management of different requests.
The various advisers are very friendly and seek to meet our expectations correctly.</v>
      </c>
    </row>
    <row r="487" ht="15.75" customHeight="1">
      <c r="B487" s="2" t="s">
        <v>1393</v>
      </c>
      <c r="C487" s="2" t="s">
        <v>1394</v>
      </c>
      <c r="D487" s="2" t="s">
        <v>1185</v>
      </c>
      <c r="E487" s="2" t="s">
        <v>360</v>
      </c>
      <c r="F487" s="2" t="s">
        <v>15</v>
      </c>
      <c r="G487" s="2" t="s">
        <v>1395</v>
      </c>
      <c r="H487" s="2" t="s">
        <v>277</v>
      </c>
      <c r="I487" s="2" t="str">
        <f>IFERROR(__xludf.DUMMYFUNCTION("GOOGLETRANSLATE(C487,""fr"",""en"")"),"Mutual which ensures good monitoring of reimbursements, grouping social and mutual security, also good protection with regard to loss of salary linked to the long illness among other things. Fairly practical website to follow your personal information and"&amp;" communicate documents. Customer service on the phone is friendly, not always reachable quickly but ok all the same. The membership formulas are not very flexible because the commitment is on 3 years without being able to change it for a cheaper! So think"&amp;" carefully before taking one on your cover needs.")</f>
        <v>Mutual which ensures good monitoring of reimbursements, grouping social and mutual security, also good protection with regard to loss of salary linked to the long illness among other things. Fairly practical website to follow your personal information and communicate documents. Customer service on the phone is friendly, not always reachable quickly but ok all the same. The membership formulas are not very flexible because the commitment is on 3 years without being able to change it for a cheaper! So think carefully before taking one on your cover needs.</v>
      </c>
    </row>
    <row r="488" ht="15.75" customHeight="1">
      <c r="B488" s="2" t="s">
        <v>1396</v>
      </c>
      <c r="C488" s="2" t="s">
        <v>1397</v>
      </c>
      <c r="D488" s="2" t="s">
        <v>1185</v>
      </c>
      <c r="E488" s="2" t="s">
        <v>360</v>
      </c>
      <c r="F488" s="2" t="s">
        <v>15</v>
      </c>
      <c r="G488" s="2" t="s">
        <v>1395</v>
      </c>
      <c r="H488" s="2" t="s">
        <v>277</v>
      </c>
      <c r="I488" s="2" t="str">
        <f>IFERROR(__xludf.DUMMYFUNCTION("GOOGLETRANSLATE(C488,""fr"",""en"")"),"Member of MGP since 1/11/1968 as well as my spouse
I am satisfied with the services.
Reachable and listening interlocutors for any information
A mutual of confidence.
Thank you")</f>
        <v>Member of MGP since 1/11/1968 as well as my spouse
I am satisfied with the services.
Reachable and listening interlocutors for any information
A mutual of confidence.
Thank you</v>
      </c>
    </row>
    <row r="489" ht="15.75" customHeight="1">
      <c r="B489" s="2" t="s">
        <v>1398</v>
      </c>
      <c r="C489" s="2" t="s">
        <v>1399</v>
      </c>
      <c r="D489" s="2" t="s">
        <v>1185</v>
      </c>
      <c r="E489" s="2" t="s">
        <v>360</v>
      </c>
      <c r="F489" s="2" t="s">
        <v>15</v>
      </c>
      <c r="G489" s="2" t="s">
        <v>1400</v>
      </c>
      <c r="H489" s="2" t="s">
        <v>277</v>
      </c>
      <c r="I489" s="2" t="str">
        <f>IFERROR(__xludf.DUMMYFUNCTION("GOOGLETRANSLATE(C489,""fr"",""en"")"),"Procedures always very long and very complicated. Very laborious invoices by internet.")</f>
        <v>Procedures always very long and very complicated. Very laborious invoices by internet.</v>
      </c>
    </row>
    <row r="490" ht="15.75" customHeight="1">
      <c r="B490" s="2" t="s">
        <v>1401</v>
      </c>
      <c r="C490" s="2" t="s">
        <v>1402</v>
      </c>
      <c r="D490" s="2" t="s">
        <v>1185</v>
      </c>
      <c r="E490" s="2" t="s">
        <v>360</v>
      </c>
      <c r="F490" s="2" t="s">
        <v>15</v>
      </c>
      <c r="G490" s="2" t="s">
        <v>1403</v>
      </c>
      <c r="H490" s="2" t="s">
        <v>277</v>
      </c>
      <c r="I490" s="2" t="str">
        <f>IFERROR(__xludf.DUMMYFUNCTION("GOOGLETRANSLATE(C490,""fr"",""en"")"),"I am very happy with professionalism and listening to the MGP counselor that I had on the phone? For a reimbursement problem after verification it has that the problem came from the CPAM the advisor C is committed to solving my problem with the CPAM
Cord"&amp;"ially")</f>
        <v>I am very happy with professionalism and listening to the MGP counselor that I had on the phone? For a reimbursement problem after verification it has that the problem came from the CPAM the advisor C is committed to solving my problem with the CPAM
Cordially</v>
      </c>
    </row>
    <row r="491" ht="15.75" customHeight="1">
      <c r="B491" s="2" t="s">
        <v>1404</v>
      </c>
      <c r="C491" s="2" t="s">
        <v>1405</v>
      </c>
      <c r="D491" s="2" t="s">
        <v>1185</v>
      </c>
      <c r="E491" s="2" t="s">
        <v>360</v>
      </c>
      <c r="F491" s="2" t="s">
        <v>15</v>
      </c>
      <c r="G491" s="2" t="s">
        <v>1403</v>
      </c>
      <c r="H491" s="2" t="s">
        <v>277</v>
      </c>
      <c r="I491" s="2" t="str">
        <f>IFERROR(__xludf.DUMMYFUNCTION("GOOGLETRANSLATE(C491,""fr"",""en"")"),"Although expensive compared to the prices of other mutuals according to regular telephone calls encouraging to direct us, we the elderly (I am 80 years old), towards more affordable mutuals, I remain a member for the moment to the MGP which gives me satis"&amp;"faction.")</f>
        <v>Although expensive compared to the prices of other mutuals according to regular telephone calls encouraging to direct us, we the elderly (I am 80 years old), towards more affordable mutuals, I remain a member for the moment to the MGP which gives me satisfaction.</v>
      </c>
    </row>
    <row r="492" ht="15.75" customHeight="1">
      <c r="B492" s="2" t="s">
        <v>1406</v>
      </c>
      <c r="C492" s="2" t="s">
        <v>1407</v>
      </c>
      <c r="D492" s="2" t="s">
        <v>1185</v>
      </c>
      <c r="E492" s="2" t="s">
        <v>360</v>
      </c>
      <c r="F492" s="2" t="s">
        <v>15</v>
      </c>
      <c r="G492" s="2" t="s">
        <v>1408</v>
      </c>
      <c r="H492" s="2" t="s">
        <v>277</v>
      </c>
      <c r="I492" s="2" t="str">
        <f>IFERROR(__xludf.DUMMYFUNCTION("GOOGLETRANSLATE(C492,""fr"",""en"")"),"Excellent welcome by competent advisers. Good relationship between the quality of the guarantees and the contributions. A mutual worthy of the name very well managed.")</f>
        <v>Excellent welcome by competent advisers. Good relationship between the quality of the guarantees and the contributions. A mutual worthy of the name very well managed.</v>
      </c>
    </row>
    <row r="493" ht="15.75" customHeight="1">
      <c r="B493" s="2" t="s">
        <v>1409</v>
      </c>
      <c r="C493" s="2" t="s">
        <v>1410</v>
      </c>
      <c r="D493" s="2" t="s">
        <v>1185</v>
      </c>
      <c r="E493" s="2" t="s">
        <v>360</v>
      </c>
      <c r="F493" s="2" t="s">
        <v>15</v>
      </c>
      <c r="G493" s="2" t="s">
        <v>613</v>
      </c>
      <c r="H493" s="2" t="s">
        <v>277</v>
      </c>
      <c r="I493" s="2" t="str">
        <f>IFERROR(__xludf.DUMMYFUNCTION("GOOGLETRANSLATE(C493,""fr"",""en"")"),"I consider that at my age and for my future I am aware that I would have to take care of my health, which will generate costs. As a result, he will need me to have good additional coverage and therefore to contribute financially. Merpillat.p")</f>
        <v>I consider that at my age and for my future I am aware that I would have to take care of my health, which will generate costs. As a result, he will need me to have good additional coverage and therefore to contribute financially. Merpillat.p</v>
      </c>
    </row>
    <row r="494" ht="15.75" customHeight="1">
      <c r="B494" s="2" t="s">
        <v>1411</v>
      </c>
      <c r="C494" s="2" t="s">
        <v>1412</v>
      </c>
      <c r="D494" s="2" t="s">
        <v>1185</v>
      </c>
      <c r="E494" s="2" t="s">
        <v>360</v>
      </c>
      <c r="F494" s="2" t="s">
        <v>15</v>
      </c>
      <c r="G494" s="2" t="s">
        <v>613</v>
      </c>
      <c r="H494" s="2" t="s">
        <v>277</v>
      </c>
      <c r="I494" s="2" t="str">
        <f>IFERROR(__xludf.DUMMYFUNCTION("GOOGLETRANSLATE(C494,""fr"",""en"")"),"A member for many decades, listening staff, pleasant, very competent satisfaction during telephone information.
Competitive tariffs in all areas. Quicks.
Thank you and continue.")</f>
        <v>A member for many decades, listening staff, pleasant, very competent satisfaction during telephone information.
Competitive tariffs in all areas. Quicks.
Thank you and continue.</v>
      </c>
    </row>
    <row r="495" ht="15.75" customHeight="1">
      <c r="B495" s="2" t="s">
        <v>1413</v>
      </c>
      <c r="C495" s="2" t="s">
        <v>1414</v>
      </c>
      <c r="D495" s="2" t="s">
        <v>1185</v>
      </c>
      <c r="E495" s="2" t="s">
        <v>360</v>
      </c>
      <c r="F495" s="2" t="s">
        <v>15</v>
      </c>
      <c r="G495" s="2" t="s">
        <v>613</v>
      </c>
      <c r="H495" s="2" t="s">
        <v>277</v>
      </c>
      <c r="I495" s="2" t="str">
        <f>IFERROR(__xludf.DUMMYFUNCTION("GOOGLETRANSLATE(C495,""fr"",""en"")"),"I have been registered with the MGP for many years and I am satisfied with the services offered. Refunds are made within a very reasonable time and can be viewed on the website. For any questions that can be asked, the interlocutors that you can contact b"&amp;"y phone are attentive and very responsive. The answers that have been provided to me have always satisfied me.")</f>
        <v>I have been registered with the MGP for many years and I am satisfied with the services offered. Refunds are made within a very reasonable time and can be viewed on the website. For any questions that can be asked, the interlocutors that you can contact by phone are attentive and very responsive. The answers that have been provided to me have always satisfied me.</v>
      </c>
    </row>
    <row r="496" ht="15.75" customHeight="1">
      <c r="B496" s="2" t="s">
        <v>1415</v>
      </c>
      <c r="C496" s="2" t="s">
        <v>1416</v>
      </c>
      <c r="D496" s="2" t="s">
        <v>1185</v>
      </c>
      <c r="E496" s="2" t="s">
        <v>360</v>
      </c>
      <c r="F496" s="2" t="s">
        <v>15</v>
      </c>
      <c r="G496" s="2" t="s">
        <v>1417</v>
      </c>
      <c r="H496" s="2" t="s">
        <v>277</v>
      </c>
      <c r="I496" s="2" t="str">
        <f>IFERROR(__xludf.DUMMYFUNCTION("GOOGLETRANSLATE(C496,""fr"",""en"")"),"Thank you for the welcome, the little wait, the response to my request about my MGP card but also to the information provided on my member space.")</f>
        <v>Thank you for the welcome, the little wait, the response to my request about my MGP card but also to the information provided on my member space.</v>
      </c>
    </row>
    <row r="497" ht="15.75" customHeight="1">
      <c r="B497" s="2" t="s">
        <v>1418</v>
      </c>
      <c r="C497" s="2" t="s">
        <v>1419</v>
      </c>
      <c r="D497" s="2" t="s">
        <v>1185</v>
      </c>
      <c r="E497" s="2" t="s">
        <v>360</v>
      </c>
      <c r="F497" s="2" t="s">
        <v>15</v>
      </c>
      <c r="G497" s="2" t="s">
        <v>1420</v>
      </c>
      <c r="H497" s="2" t="s">
        <v>277</v>
      </c>
      <c r="I497" s="2" t="str">
        <f>IFERROR(__xludf.DUMMYFUNCTION("GOOGLETRANSLATE(C497,""fr"",""en"")"),"Following the loss of document, the person contacted and very kind he took my request in consideration quickly and effectively. This is a pleasure to be welcomed by this way in this way")</f>
        <v>Following the loss of document, the person contacted and very kind he took my request in consideration quickly and effectively. This is a pleasure to be welcomed by this way in this way</v>
      </c>
    </row>
    <row r="498" ht="15.75" customHeight="1">
      <c r="B498" s="2" t="s">
        <v>1421</v>
      </c>
      <c r="C498" s="2" t="s">
        <v>1422</v>
      </c>
      <c r="D498" s="2" t="s">
        <v>1185</v>
      </c>
      <c r="E498" s="2" t="s">
        <v>360</v>
      </c>
      <c r="F498" s="2" t="s">
        <v>15</v>
      </c>
      <c r="G498" s="2" t="s">
        <v>1420</v>
      </c>
      <c r="H498" s="2" t="s">
        <v>277</v>
      </c>
      <c r="I498" s="2" t="str">
        <f>IFERROR(__xludf.DUMMYFUNCTION("GOOGLETRANSLATE(C498,""fr"",""en"")"),"I have been at the M.G.P for 45 years and I have never had problems with for the moment and so far all this good.
Definitely the wait on the phone is a bit longe but the responses are correct.
")</f>
        <v>I have been at the M.G.P for 45 years and I have never had problems with for the moment and so far all this good.
Definitely the wait on the phone is a bit longe but the responses are correct.
</v>
      </c>
    </row>
    <row r="499" ht="15.75" customHeight="1">
      <c r="B499" s="2" t="s">
        <v>1423</v>
      </c>
      <c r="C499" s="2" t="s">
        <v>1424</v>
      </c>
      <c r="D499" s="2" t="s">
        <v>1185</v>
      </c>
      <c r="E499" s="2" t="s">
        <v>360</v>
      </c>
      <c r="F499" s="2" t="s">
        <v>15</v>
      </c>
      <c r="G499" s="2" t="s">
        <v>1420</v>
      </c>
      <c r="H499" s="2" t="s">
        <v>277</v>
      </c>
      <c r="I499" s="2" t="str">
        <f>IFERROR(__xludf.DUMMYFUNCTION("GOOGLETRANSLATE(C499,""fr"",""en"")"),"Customer service that can be reached very easily and meet questions and expectations. The prices are correct as well as the reimbursements according to the level of coverage of the subscribed contract.")</f>
        <v>Customer service that can be reached very easily and meet questions and expectations. The prices are correct as well as the reimbursements according to the level of coverage of the subscribed contract.</v>
      </c>
    </row>
    <row r="500" ht="15.75" customHeight="1">
      <c r="B500" s="2" t="s">
        <v>1425</v>
      </c>
      <c r="C500" s="2" t="s">
        <v>1426</v>
      </c>
      <c r="D500" s="2" t="s">
        <v>1185</v>
      </c>
      <c r="E500" s="2" t="s">
        <v>360</v>
      </c>
      <c r="F500" s="2" t="s">
        <v>15</v>
      </c>
      <c r="G500" s="2" t="s">
        <v>1427</v>
      </c>
      <c r="H500" s="2" t="s">
        <v>277</v>
      </c>
      <c r="I500" s="2" t="str">
        <f>IFERROR(__xludf.DUMMYFUNCTION("GOOGLETRANSLATE(C500,""fr"",""en"")"),"I have been insured at the MGP since June 1969. I have always been satisfied by this mutual. The reimbursements are correct, and the prices attractive to the services. I was approached by such a once. When I told them how much I was reimbursed for hearing"&amp;" aids, the person told me that with such a refund, I had to stay at the MGP. Thank you the MGP")</f>
        <v>I have been insured at the MGP since June 1969. I have always been satisfied by this mutual. The reimbursements are correct, and the prices attractive to the services. I was approached by such a once. When I told them how much I was reimbursed for hearing aids, the person told me that with such a refund, I had to stay at the MGP. Thank you the MGP</v>
      </c>
    </row>
    <row r="501" ht="15.75" customHeight="1">
      <c r="B501" s="2" t="s">
        <v>1428</v>
      </c>
      <c r="C501" s="2" t="s">
        <v>1429</v>
      </c>
      <c r="D501" s="2" t="s">
        <v>1185</v>
      </c>
      <c r="E501" s="2" t="s">
        <v>360</v>
      </c>
      <c r="F501" s="2" t="s">
        <v>15</v>
      </c>
      <c r="G501" s="2" t="s">
        <v>1427</v>
      </c>
      <c r="H501" s="2" t="s">
        <v>277</v>
      </c>
      <c r="I501" s="2" t="str">
        <f>IFERROR(__xludf.DUMMYFUNCTION("GOOGLETRANSLATE(C501,""fr"",""en"")"),"Amount of the mutual a little high because I am 100 % following the SEP in 2008, my husband pays 45 euros per month and is also 100 % following heart problem in 2007.")</f>
        <v>Amount of the mutual a little high because I am 100 % following the SEP in 2008, my husband pays 45 euros per month and is also 100 % following heart problem in 2007.</v>
      </c>
    </row>
    <row r="502" ht="15.75" customHeight="1">
      <c r="B502" s="2" t="s">
        <v>1430</v>
      </c>
      <c r="C502" s="2" t="s">
        <v>1431</v>
      </c>
      <c r="D502" s="2" t="s">
        <v>1185</v>
      </c>
      <c r="E502" s="2" t="s">
        <v>360</v>
      </c>
      <c r="F502" s="2" t="s">
        <v>15</v>
      </c>
      <c r="G502" s="2" t="s">
        <v>1427</v>
      </c>
      <c r="H502" s="2" t="s">
        <v>277</v>
      </c>
      <c r="I502" s="2" t="str">
        <f>IFERROR(__xludf.DUMMYFUNCTION("GOOGLETRANSLATE(C502,""fr"",""en"")"),"Speed, efficiency and availability: I have been very happy and satisfied with my mutual since my membership 5 years ago.
Customer service, attentive, always responds very quickly.
In addition, I find the reimbursement offers particularly interesting (in"&amp;" my case of dentaite and sweet medicine).")</f>
        <v>Speed, efficiency and availability: I have been very happy and satisfied with my mutual since my membership 5 years ago.
Customer service, attentive, always responds very quickly.
In addition, I find the reimbursement offers particularly interesting (in my case of dentaite and sweet medicine).</v>
      </c>
    </row>
    <row r="503" ht="15.75" customHeight="1">
      <c r="B503" s="2" t="s">
        <v>1432</v>
      </c>
      <c r="C503" s="2" t="s">
        <v>1433</v>
      </c>
      <c r="D503" s="2" t="s">
        <v>1185</v>
      </c>
      <c r="E503" s="2" t="s">
        <v>360</v>
      </c>
      <c r="F503" s="2" t="s">
        <v>15</v>
      </c>
      <c r="G503" s="2" t="s">
        <v>1427</v>
      </c>
      <c r="H503" s="2" t="s">
        <v>277</v>
      </c>
      <c r="I503" s="2" t="str">
        <f>IFERROR(__xludf.DUMMYFUNCTION("GOOGLETRANSLATE(C503,""fr"",""en"")"),"I summarize by saying 38 years of good and loyal service, and as I get old I hope it will not stop.
Continue to fight for us, health should not be a luxury, but without a mutual one would be.
I was sick abroad and once I was hospitalized and I was reimb"&amp;"ursed for all the costs incurred, it took a little time but everything was reimbursed;
So for all this thank you!")</f>
        <v>I summarize by saying 38 years of good and loyal service, and as I get old I hope it will not stop.
Continue to fight for us, health should not be a luxury, but without a mutual one would be.
I was sick abroad and once I was hospitalized and I was reimbursed for all the costs incurred, it took a little time but everything was reimbursed;
So for all this thank you!</v>
      </c>
    </row>
    <row r="504" ht="15.75" customHeight="1">
      <c r="B504" s="2" t="s">
        <v>1434</v>
      </c>
      <c r="C504" s="2" t="s">
        <v>1435</v>
      </c>
      <c r="D504" s="2" t="s">
        <v>1185</v>
      </c>
      <c r="E504" s="2" t="s">
        <v>360</v>
      </c>
      <c r="F504" s="2" t="s">
        <v>15</v>
      </c>
      <c r="G504" s="2" t="s">
        <v>1436</v>
      </c>
      <c r="H504" s="2" t="s">
        <v>277</v>
      </c>
      <c r="I504" s="2" t="str">
        <f>IFERROR(__xludf.DUMMYFUNCTION("GOOGLETRANSLATE(C504,""fr"",""en"")"),"My MGP health insurance is reliable but a little too expensive for retirees.
The advisers are available and friendly
Some care or services or help are
not supported by comparison.")</f>
        <v>My MGP health insurance is reliable but a little too expensive for retirees.
The advisers are available and friendly
Some care or services or help are
not supported by comparison.</v>
      </c>
    </row>
    <row r="505" ht="15.75" customHeight="1">
      <c r="B505" s="2" t="s">
        <v>1437</v>
      </c>
      <c r="C505" s="2" t="s">
        <v>1438</v>
      </c>
      <c r="D505" s="2" t="s">
        <v>1185</v>
      </c>
      <c r="E505" s="2" t="s">
        <v>360</v>
      </c>
      <c r="F505" s="2" t="s">
        <v>15</v>
      </c>
      <c r="G505" s="2" t="s">
        <v>1439</v>
      </c>
      <c r="H505" s="2" t="s">
        <v>277</v>
      </c>
      <c r="I505" s="2" t="str">
        <f>IFERROR(__xludf.DUMMYFUNCTION("GOOGLETRANSLATE(C505,""fr"",""en"")"),"Very little wait to get in touch with an advisor. My interlocutor was very effective, after our telephone conversation I received by email the documentation I needed.
The prices are adapted to each situation. I am periodically requested to take stock of "&amp;"my mutual contract which allows, depending on the needs, to save money.
Only downside I am blocked by Intermeau (old mutual) at the level of my CPAM, which would have allowed the MGP to manage my social security and my mutual, as is the case for several "&amp;"of my colleagues. Refunds would be made by a single entity. Since 2015 I have been satisfied with the MGP.")</f>
        <v>Very little wait to get in touch with an advisor. My interlocutor was very effective, after our telephone conversation I received by email the documentation I needed.
The prices are adapted to each situation. I am periodically requested to take stock of my mutual contract which allows, depending on the needs, to save money.
Only downside I am blocked by Intermeau (old mutual) at the level of my CPAM, which would have allowed the MGP to manage my social security and my mutual, as is the case for several of my colleagues. Refunds would be made by a single entity. Since 2015 I have been satisfied with the MGP.</v>
      </c>
    </row>
    <row r="506" ht="15.75" customHeight="1">
      <c r="B506" s="2" t="s">
        <v>1440</v>
      </c>
      <c r="C506" s="2" t="s">
        <v>1441</v>
      </c>
      <c r="D506" s="2" t="s">
        <v>1185</v>
      </c>
      <c r="E506" s="2" t="s">
        <v>360</v>
      </c>
      <c r="F506" s="2" t="s">
        <v>15</v>
      </c>
      <c r="G506" s="2" t="s">
        <v>1442</v>
      </c>
      <c r="H506" s="2" t="s">
        <v>277</v>
      </c>
      <c r="I506" s="2" t="str">
        <f>IFERROR(__xludf.DUMMYFUNCTION("GOOGLETRANSLATE(C506,""fr"",""en"")"),"Member since 1981 at the MGP I am very satisfied with the services provided by my mutual. The telephone response provided is always at the top.")</f>
        <v>Member since 1981 at the MGP I am very satisfied with the services provided by my mutual. The telephone response provided is always at the top.</v>
      </c>
    </row>
    <row r="507" ht="15.75" customHeight="1">
      <c r="B507" s="2" t="s">
        <v>1443</v>
      </c>
      <c r="C507" s="2" t="s">
        <v>1444</v>
      </c>
      <c r="D507" s="2" t="s">
        <v>1185</v>
      </c>
      <c r="E507" s="2" t="s">
        <v>360</v>
      </c>
      <c r="F507" s="2" t="s">
        <v>15</v>
      </c>
      <c r="G507" s="2" t="s">
        <v>1445</v>
      </c>
      <c r="H507" s="2" t="s">
        <v>277</v>
      </c>
      <c r="I507" s="2" t="str">
        <f>IFERROR(__xludf.DUMMYFUNCTION("GOOGLETRANSLATE(C507,""fr"",""en"")"),"Good mutual in. Without Globality. Despite delay during confinement in. The reimbursement reactivity on the phone
Refund statements easy to understand.")</f>
        <v>Good mutual in. Without Globality. Despite delay during confinement in. The reimbursement reactivity on the phone
Refund statements easy to understand.</v>
      </c>
    </row>
    <row r="508" ht="15.75" customHeight="1">
      <c r="B508" s="2" t="s">
        <v>1446</v>
      </c>
      <c r="C508" s="2" t="s">
        <v>1447</v>
      </c>
      <c r="D508" s="2" t="s">
        <v>1185</v>
      </c>
      <c r="E508" s="2" t="s">
        <v>360</v>
      </c>
      <c r="F508" s="2" t="s">
        <v>15</v>
      </c>
      <c r="G508" s="2" t="s">
        <v>1448</v>
      </c>
      <c r="H508" s="2" t="s">
        <v>277</v>
      </c>
      <c r="I508" s="2" t="str">
        <f>IFERROR(__xludf.DUMMYFUNCTION("GOOGLETRANSLATE(C508,""fr"",""en"")"),"TOP service and staff.
All my calls for customer service have been conclusive and satisfactory, in particular thanks to the efficiency and friendliness of agents.
The only black point in this insurance, just like all insurance stamped police, are the "&amp;"prices above civil insurance.")</f>
        <v>TOP service and staff.
All my calls for customer service have been conclusive and satisfactory, in particular thanks to the efficiency and friendliness of agents.
The only black point in this insurance, just like all insurance stamped police, are the prices above civil insurance.</v>
      </c>
    </row>
    <row r="509" ht="15.75" customHeight="1">
      <c r="B509" s="2" t="s">
        <v>1449</v>
      </c>
      <c r="C509" s="2" t="s">
        <v>1450</v>
      </c>
      <c r="D509" s="2" t="s">
        <v>1185</v>
      </c>
      <c r="E509" s="2" t="s">
        <v>360</v>
      </c>
      <c r="F509" s="2" t="s">
        <v>15</v>
      </c>
      <c r="G509" s="2" t="s">
        <v>1451</v>
      </c>
      <c r="H509" s="2" t="s">
        <v>126</v>
      </c>
      <c r="I509" s="2" t="str">
        <f>IFERROR(__xludf.DUMMYFUNCTION("GOOGLETRANSLATE(C509,""fr"",""en"")"),"I was very satisfied with the prices offered and as well as the help of the MGP counselor that I asked by phone, all my questions were answered.")</f>
        <v>I was very satisfied with the prices offered and as well as the help of the MGP counselor that I asked by phone, all my questions were answered.</v>
      </c>
    </row>
    <row r="510" ht="15.75" customHeight="1">
      <c r="B510" s="2" t="s">
        <v>1217</v>
      </c>
      <c r="C510" s="2" t="s">
        <v>1452</v>
      </c>
      <c r="D510" s="2" t="s">
        <v>1185</v>
      </c>
      <c r="E510" s="2" t="s">
        <v>360</v>
      </c>
      <c r="F510" s="2" t="s">
        <v>15</v>
      </c>
      <c r="G510" s="2" t="s">
        <v>619</v>
      </c>
      <c r="H510" s="2" t="s">
        <v>126</v>
      </c>
      <c r="I510" s="2" t="str">
        <f>IFERROR(__xludf.DUMMYFUNCTION("GOOGLETRANSLATE(C510,""fr"",""en"")"),"To date telephone relations. So the services. I recommend the MGP around me. Hoping to have met your expectations")</f>
        <v>To date telephone relations. So the services. I recommend the MGP around me. Hoping to have met your expectations</v>
      </c>
    </row>
    <row r="511" ht="15.75" customHeight="1">
      <c r="B511" s="2" t="s">
        <v>1453</v>
      </c>
      <c r="C511" s="2" t="s">
        <v>1454</v>
      </c>
      <c r="D511" s="2" t="s">
        <v>1185</v>
      </c>
      <c r="E511" s="2" t="s">
        <v>360</v>
      </c>
      <c r="F511" s="2" t="s">
        <v>15</v>
      </c>
      <c r="G511" s="2" t="s">
        <v>626</v>
      </c>
      <c r="H511" s="2" t="s">
        <v>126</v>
      </c>
      <c r="I511" s="2" t="str">
        <f>IFERROR(__xludf.DUMMYFUNCTION("GOOGLETRANSLATE(C511,""fr"",""en"")"),"I am 68 years old, in 2021 my contributions will climb to 117.00 per month .... which is starting to do expensive, in 2022 surely 120.00 euros per month ..andc ... I often hear the reflection of professionals. ... your mutual is not the most generous !!! "&amp;"I am at the level .. Tradition ..")</f>
        <v>I am 68 years old, in 2021 my contributions will climb to 117.00 per month .... which is starting to do expensive, in 2022 surely 120.00 euros per month ..andc ... I often hear the reflection of professionals. ... your mutual is not the most generous !!! I am at the level .. Tradition ..</v>
      </c>
    </row>
    <row r="512" ht="15.75" customHeight="1">
      <c r="B512" s="2" t="s">
        <v>1455</v>
      </c>
      <c r="C512" s="2" t="s">
        <v>1456</v>
      </c>
      <c r="D512" s="2" t="s">
        <v>1185</v>
      </c>
      <c r="E512" s="2" t="s">
        <v>360</v>
      </c>
      <c r="F512" s="2" t="s">
        <v>15</v>
      </c>
      <c r="G512" s="2" t="s">
        <v>1457</v>
      </c>
      <c r="H512" s="2" t="s">
        <v>630</v>
      </c>
      <c r="I512" s="2" t="str">
        <f>IFERROR(__xludf.DUMMYFUNCTION("GOOGLETRANSLATE(C512,""fr"",""en"")"),"Rather happy overall at the level of services and interlocutors. Being little sick or having no big concerns about optics, teeth, it is true that I do not have too much to do with social security and mutual.
Recently I had exams to go through and there r"&amp;"ehabilitation sessions with the physiotherapist, I expect to see what he results in reimbursement. But for the moment, I am satisfied.")</f>
        <v>Rather happy overall at the level of services and interlocutors. Being little sick or having no big concerns about optics, teeth, it is true that I do not have too much to do with social security and mutual.
Recently I had exams to go through and there rehabilitation sessions with the physiotherapist, I expect to see what he results in reimbursement. But for the moment, I am satisfied.</v>
      </c>
    </row>
    <row r="513" ht="15.75" customHeight="1">
      <c r="B513" s="2" t="s">
        <v>1458</v>
      </c>
      <c r="C513" s="2" t="s">
        <v>1459</v>
      </c>
      <c r="D513" s="2" t="s">
        <v>1185</v>
      </c>
      <c r="E513" s="2" t="s">
        <v>360</v>
      </c>
      <c r="F513" s="2" t="s">
        <v>15</v>
      </c>
      <c r="G513" s="2" t="s">
        <v>1460</v>
      </c>
      <c r="H513" s="2" t="s">
        <v>130</v>
      </c>
      <c r="I513" s="2" t="str">
        <f>IFERROR(__xludf.DUMMYFUNCTION("GOOGLETRANSLATE(C513,""fr"",""en"")"),"At the MGP for 38 years, I had no reimbursement problems. Fairly expensive mutual, but reimbursement up to the task. Very satisfied. I advise the MGP for the responsiveness of agents")</f>
        <v>At the MGP for 38 years, I had no reimbursement problems. Fairly expensive mutual, but reimbursement up to the task. Very satisfied. I advise the MGP for the responsiveness of agents</v>
      </c>
    </row>
    <row r="514" ht="15.75" customHeight="1">
      <c r="B514" s="2" t="s">
        <v>1461</v>
      </c>
      <c r="C514" s="2" t="s">
        <v>1462</v>
      </c>
      <c r="D514" s="2" t="s">
        <v>1185</v>
      </c>
      <c r="E514" s="2" t="s">
        <v>360</v>
      </c>
      <c r="F514" s="2" t="s">
        <v>15</v>
      </c>
      <c r="G514" s="2" t="s">
        <v>1460</v>
      </c>
      <c r="H514" s="2" t="s">
        <v>130</v>
      </c>
      <c r="I514" s="2" t="str">
        <f>IFERROR(__xludf.DUMMYFUNCTION("GOOGLETRANSLATE(C514,""fr"",""en"")"),"For the moment, I had listening advisers who have responded to my requests, I was properly directed. I did not compare the prices with other insurers, or mutuals, I suppose that the competition plays its role ...")</f>
        <v>For the moment, I had listening advisers who have responded to my requests, I was properly directed. I did not compare the prices with other insurers, or mutuals, I suppose that the competition plays its role ...</v>
      </c>
    </row>
    <row r="515" ht="15.75" customHeight="1">
      <c r="B515" s="2" t="s">
        <v>1463</v>
      </c>
      <c r="C515" s="2" t="s">
        <v>1464</v>
      </c>
      <c r="D515" s="2" t="s">
        <v>1185</v>
      </c>
      <c r="E515" s="2" t="s">
        <v>360</v>
      </c>
      <c r="F515" s="2" t="s">
        <v>15</v>
      </c>
      <c r="G515" s="2" t="s">
        <v>1465</v>
      </c>
      <c r="H515" s="2" t="s">
        <v>130</v>
      </c>
      <c r="I515" s="2" t="str">
        <f>IFERROR(__xludf.DUMMYFUNCTION("GOOGLETRANSLATE(C515,""fr"",""en"")"),"Good mutual a little more expensive than the others but the services are good and the new Lyria range looks rather interesting especially for alternative medicine")</f>
        <v>Good mutual a little more expensive than the others but the services are good and the new Lyria range looks rather interesting especially for alternative medicine</v>
      </c>
    </row>
    <row r="516" ht="15.75" customHeight="1">
      <c r="B516" s="2" t="s">
        <v>1466</v>
      </c>
      <c r="C516" s="2" t="s">
        <v>1467</v>
      </c>
      <c r="D516" s="2" t="s">
        <v>1185</v>
      </c>
      <c r="E516" s="2" t="s">
        <v>360</v>
      </c>
      <c r="F516" s="2" t="s">
        <v>15</v>
      </c>
      <c r="G516" s="2" t="s">
        <v>1465</v>
      </c>
      <c r="H516" s="2" t="s">
        <v>130</v>
      </c>
      <c r="I516" s="2" t="str">
        <f>IFERROR(__xludf.DUMMYFUNCTION("GOOGLETRANSLATE(C516,""fr"",""en"")"),"Large protection ranges.
For all budgets.
Personalized monitoring of his file.
Quick response.
Reimbursements made on time.
Call platform listening to us.
I recommend.")</f>
        <v>Large protection ranges.
For all budgets.
Personalized monitoring of his file.
Quick response.
Reimbursements made on time.
Call platform listening to us.
I recommend.</v>
      </c>
    </row>
    <row r="517" ht="15.75" customHeight="1">
      <c r="B517" s="2" t="s">
        <v>1468</v>
      </c>
      <c r="C517" s="2" t="s">
        <v>1469</v>
      </c>
      <c r="D517" s="2" t="s">
        <v>1185</v>
      </c>
      <c r="E517" s="2" t="s">
        <v>360</v>
      </c>
      <c r="F517" s="2" t="s">
        <v>15</v>
      </c>
      <c r="G517" s="2" t="s">
        <v>1470</v>
      </c>
      <c r="H517" s="2" t="s">
        <v>130</v>
      </c>
      <c r="I517" s="2" t="str">
        <f>IFERROR(__xludf.DUMMYFUNCTION("GOOGLETRANSLATE(C517,""fr"",""en"")"),"The agents I have by phone are professional, with a kindness, and very listening to your request. On the other hand, the evolution option contributions are too expensive and increases with age.")</f>
        <v>The agents I have by phone are professional, with a kindness, and very listening to your request. On the other hand, the evolution option contributions are too expensive and increases with age.</v>
      </c>
    </row>
    <row r="518" ht="15.75" customHeight="1">
      <c r="B518" s="2" t="s">
        <v>1471</v>
      </c>
      <c r="C518" s="2" t="s">
        <v>1472</v>
      </c>
      <c r="D518" s="2" t="s">
        <v>1185</v>
      </c>
      <c r="E518" s="2" t="s">
        <v>360</v>
      </c>
      <c r="F518" s="2" t="s">
        <v>15</v>
      </c>
      <c r="G518" s="2" t="s">
        <v>130</v>
      </c>
      <c r="H518" s="2" t="s">
        <v>130</v>
      </c>
      <c r="I518" s="2" t="str">
        <f>IFERROR(__xludf.DUMMYFUNCTION("GOOGLETRANSLATE(C518,""fr"",""en"")"),"Excellent mutual, very friendly and serious, professional listening staff.
Always a pleasure to contact you.
It is a mutual insurance company that I recommended to many colleagues working in the national police for the needs adapted to each of us.
Cord"&amp;"ially")</f>
        <v>Excellent mutual, very friendly and serious, professional listening staff.
Always a pleasure to contact you.
It is a mutual insurance company that I recommended to many colleagues working in the national police for the needs adapted to each of us.
Cordially</v>
      </c>
    </row>
    <row r="519" ht="15.75" customHeight="1">
      <c r="B519" s="2" t="s">
        <v>1473</v>
      </c>
      <c r="C519" s="2" t="s">
        <v>1474</v>
      </c>
      <c r="D519" s="2" t="s">
        <v>1185</v>
      </c>
      <c r="E519" s="2" t="s">
        <v>360</v>
      </c>
      <c r="F519" s="2" t="s">
        <v>15</v>
      </c>
      <c r="G519" s="2" t="s">
        <v>280</v>
      </c>
      <c r="H519" s="2" t="s">
        <v>281</v>
      </c>
      <c r="I519" s="2" t="str">
        <f>IFERROR(__xludf.DUMMYFUNCTION("GOOGLETRANSLATE(C519,""fr"",""en"")"),"Very welcome and support on the phone.
Obviously we would like better reimbursements for dental care and glasses.")</f>
        <v>Very welcome and support on the phone.
Obviously we would like better reimbursements for dental care and glasses.</v>
      </c>
    </row>
    <row r="520" ht="15.75" customHeight="1">
      <c r="B520" s="2" t="s">
        <v>1475</v>
      </c>
      <c r="C520" s="2" t="s">
        <v>1476</v>
      </c>
      <c r="D520" s="2" t="s">
        <v>1185</v>
      </c>
      <c r="E520" s="2" t="s">
        <v>360</v>
      </c>
      <c r="F520" s="2" t="s">
        <v>15</v>
      </c>
      <c r="G520" s="2" t="s">
        <v>1477</v>
      </c>
      <c r="H520" s="2" t="s">
        <v>281</v>
      </c>
      <c r="I520" s="2" t="str">
        <f>IFERROR(__xludf.DUMMYFUNCTION("GOOGLETRANSLATE(C520,""fr"",""en"")"),"Hello, I find that the degree of satisfaction is not proportional to the increase in prices.
I am always well advised and well received but at what price.
Best regards")</f>
        <v>Hello, I find that the degree of satisfaction is not proportional to the increase in prices.
I am always well advised and well received but at what price.
Best regards</v>
      </c>
    </row>
    <row r="521" ht="15.75" customHeight="1">
      <c r="B521" s="2" t="s">
        <v>1478</v>
      </c>
      <c r="C521" s="2" t="s">
        <v>1479</v>
      </c>
      <c r="D521" s="2" t="s">
        <v>1185</v>
      </c>
      <c r="E521" s="2" t="s">
        <v>360</v>
      </c>
      <c r="F521" s="2" t="s">
        <v>15</v>
      </c>
      <c r="G521" s="2" t="s">
        <v>1477</v>
      </c>
      <c r="H521" s="2" t="s">
        <v>281</v>
      </c>
      <c r="I521" s="2" t="str">
        <f>IFERROR(__xludf.DUMMYFUNCTION("GOOGLETRANSLATE(C521,""fr"",""en"")"),"There are a lot of services not supported like the individual rooms which are restricted in time. Kinetsitherapy overruns etc ... You have to use mutuals why not offer a surmond to members?")</f>
        <v>There are a lot of services not supported like the individual rooms which are restricted in time. Kinetsitherapy overruns etc ... You have to use mutuals why not offer a surmond to members?</v>
      </c>
    </row>
    <row r="522" ht="15.75" customHeight="1">
      <c r="B522" s="2" t="s">
        <v>1480</v>
      </c>
      <c r="C522" s="2" t="s">
        <v>1481</v>
      </c>
      <c r="D522" s="2" t="s">
        <v>1185</v>
      </c>
      <c r="E522" s="2" t="s">
        <v>360</v>
      </c>
      <c r="F522" s="2" t="s">
        <v>15</v>
      </c>
      <c r="G522" s="2" t="s">
        <v>1482</v>
      </c>
      <c r="H522" s="2" t="s">
        <v>281</v>
      </c>
      <c r="I522" s="2" t="str">
        <f>IFERROR(__xludf.DUMMYFUNCTION("GOOGLETRANSLATE(C522,""fr"",""en"")"),"The MGP is a very listening to its insured health insurance, and we are always well received on the phone.
Its MGP website is very clear, and very detailed.")</f>
        <v>The MGP is a very listening to its insured health insurance, and we are always well received on the phone.
Its MGP website is very clear, and very detailed.</v>
      </c>
    </row>
    <row r="523" ht="15.75" customHeight="1">
      <c r="B523" s="2" t="s">
        <v>1483</v>
      </c>
      <c r="C523" s="2" t="s">
        <v>1484</v>
      </c>
      <c r="D523" s="2" t="s">
        <v>1185</v>
      </c>
      <c r="E523" s="2" t="s">
        <v>360</v>
      </c>
      <c r="F523" s="2" t="s">
        <v>15</v>
      </c>
      <c r="G523" s="2" t="s">
        <v>320</v>
      </c>
      <c r="H523" s="2" t="s">
        <v>281</v>
      </c>
      <c r="I523" s="2" t="str">
        <f>IFERROR(__xludf.DUMMYFUNCTION("GOOGLETRANSLATE(C523,""fr"",""en"")"),"This utility insurance is reactive and attentive to the insured.
Interlocutors manage current operations and extraordinary files with great professionalism.
To recommend")</f>
        <v>This utility insurance is reactive and attentive to the insured.
Interlocutors manage current operations and extraordinary files with great professionalism.
To recommend</v>
      </c>
    </row>
    <row r="524" ht="15.75" customHeight="1">
      <c r="B524" s="2" t="s">
        <v>1485</v>
      </c>
      <c r="C524" s="2" t="s">
        <v>1486</v>
      </c>
      <c r="D524" s="2" t="s">
        <v>1185</v>
      </c>
      <c r="E524" s="2" t="s">
        <v>360</v>
      </c>
      <c r="F524" s="2" t="s">
        <v>15</v>
      </c>
      <c r="G524" s="2" t="s">
        <v>1487</v>
      </c>
      <c r="H524" s="2" t="s">
        <v>281</v>
      </c>
      <c r="I524" s="2" t="str">
        <f>IFERROR(__xludf.DUMMYFUNCTION("GOOGLETRANSLATE(C524,""fr"",""en"")"),"To take the subscription it is always up to date but when it comes to repaying ... There, really it does more than to delay especially when it comes to considerable amount !!!!!")</f>
        <v>To take the subscription it is always up to date but when it comes to repaying ... There, really it does more than to delay especially when it comes to considerable amount !!!!!</v>
      </c>
    </row>
    <row r="525" ht="15.75" customHeight="1">
      <c r="B525" s="2" t="s">
        <v>1488</v>
      </c>
      <c r="C525" s="2" t="s">
        <v>1489</v>
      </c>
      <c r="D525" s="2" t="s">
        <v>1185</v>
      </c>
      <c r="E525" s="2" t="s">
        <v>360</v>
      </c>
      <c r="F525" s="2" t="s">
        <v>15</v>
      </c>
      <c r="G525" s="2" t="s">
        <v>1490</v>
      </c>
      <c r="H525" s="2" t="s">
        <v>281</v>
      </c>
      <c r="I525" s="2" t="str">
        <f>IFERROR(__xludf.DUMMYFUNCTION("GOOGLETRANSLATE(C525,""fr"",""en"")"),"We have been at the MGP since 1972
Very professional staff very attentive
The prices are correct.
Refunds are very fast
Would not change a thing .....
Cordially
Mr. Ripoll")</f>
        <v>We have been at the MGP since 1972
Very professional staff very attentive
The prices are correct.
Refunds are very fast
Would not change a thing .....
Cordially
Mr. Ripoll</v>
      </c>
    </row>
    <row r="526" ht="15.75" customHeight="1">
      <c r="B526" s="2" t="s">
        <v>1491</v>
      </c>
      <c r="C526" s="2" t="s">
        <v>1492</v>
      </c>
      <c r="D526" s="2" t="s">
        <v>1185</v>
      </c>
      <c r="E526" s="2" t="s">
        <v>360</v>
      </c>
      <c r="F526" s="2" t="s">
        <v>15</v>
      </c>
      <c r="G526" s="2" t="s">
        <v>1493</v>
      </c>
      <c r="H526" s="2" t="s">
        <v>281</v>
      </c>
      <c r="I526" s="2" t="str">
        <f>IFERROR(__xludf.DUMMYFUNCTION("GOOGLETRANSLATE(C526,""fr"",""en"")"),"We have always been satisfied with our choice of MGP and appreciate the availability and kindness of advisers. The possibility of asking them for advice, addresses through Healthclair is an asset")</f>
        <v>We have always been satisfied with our choice of MGP and appreciate the availability and kindness of advisers. The possibility of asking them for advice, addresses through Healthclair is an asset</v>
      </c>
    </row>
    <row r="527" ht="15.75" customHeight="1">
      <c r="B527" s="2" t="s">
        <v>1494</v>
      </c>
      <c r="C527" s="2" t="s">
        <v>1495</v>
      </c>
      <c r="D527" s="2" t="s">
        <v>1185</v>
      </c>
      <c r="E527" s="2" t="s">
        <v>360</v>
      </c>
      <c r="F527" s="2" t="s">
        <v>15</v>
      </c>
      <c r="G527" s="2" t="s">
        <v>1496</v>
      </c>
      <c r="H527" s="2" t="s">
        <v>661</v>
      </c>
      <c r="I527" s="2" t="str">
        <f>IFERROR(__xludf.DUMMYFUNCTION("GOOGLETRANSLATE(C527,""fr"",""en"")"),"Very good mutual.
No worries after more than thirty years.
I highly recommend it.
Mutual in the average price with good care.")</f>
        <v>Very good mutual.
No worries after more than thirty years.
I highly recommend it.
Mutual in the average price with good care.</v>
      </c>
    </row>
    <row r="528" ht="15.75" customHeight="1">
      <c r="B528" s="2" t="s">
        <v>1497</v>
      </c>
      <c r="C528" s="2" t="s">
        <v>1498</v>
      </c>
      <c r="D528" s="2" t="s">
        <v>1185</v>
      </c>
      <c r="E528" s="2" t="s">
        <v>360</v>
      </c>
      <c r="F528" s="2" t="s">
        <v>15</v>
      </c>
      <c r="G528" s="2" t="s">
        <v>1499</v>
      </c>
      <c r="H528" s="2" t="s">
        <v>661</v>
      </c>
      <c r="I528" s="2" t="str">
        <f>IFERROR(__xludf.DUMMYFUNCTION("GOOGLETRANSLATE(C528,""fr"",""en"")"),"I am not satisfied with the amount of ophthalmic and orthodontics reimbursements, whether for adults or children.
I am in the mid -range, and forced to climb to the superior level hoping that the reimbursements will be better.")</f>
        <v>I am not satisfied with the amount of ophthalmic and orthodontics reimbursements, whether for adults or children.
I am in the mid -range, and forced to climb to the superior level hoping that the reimbursements will be better.</v>
      </c>
    </row>
    <row r="529" ht="15.75" customHeight="1">
      <c r="B529" s="2" t="s">
        <v>1500</v>
      </c>
      <c r="C529" s="2" t="s">
        <v>1501</v>
      </c>
      <c r="D529" s="2" t="s">
        <v>1185</v>
      </c>
      <c r="E529" s="2" t="s">
        <v>360</v>
      </c>
      <c r="F529" s="2" t="s">
        <v>15</v>
      </c>
      <c r="G529" s="2" t="s">
        <v>1502</v>
      </c>
      <c r="H529" s="2" t="s">
        <v>661</v>
      </c>
      <c r="I529" s="2" t="str">
        <f>IFERROR(__xludf.DUMMYFUNCTION("GOOGLETRANSLATE(C529,""fr"",""en"")"),"Despite the personnel recession that the mutual has experienced, the services are still as fast and the responses provided are precise and courteous
There remains the price of contracts which are a little high.
Certain reimbursements such as orthopedi"&amp;"c soles or osteopath sessions should increase because the future generation knows more pain and feet pain given the modern activity")</f>
        <v>Despite the personnel recession that the mutual has experienced, the services are still as fast and the responses provided are precise and courteous
There remains the price of contracts which are a little high.
Certain reimbursements such as orthopedic soles or osteopath sessions should increase because the future generation knows more pain and feet pain given the modern activity</v>
      </c>
    </row>
    <row r="530" ht="15.75" customHeight="1">
      <c r="B530" s="2" t="s">
        <v>1503</v>
      </c>
      <c r="C530" s="2" t="s">
        <v>1504</v>
      </c>
      <c r="D530" s="2" t="s">
        <v>1185</v>
      </c>
      <c r="E530" s="2" t="s">
        <v>360</v>
      </c>
      <c r="F530" s="2" t="s">
        <v>15</v>
      </c>
      <c r="G530" s="2" t="s">
        <v>1505</v>
      </c>
      <c r="H530" s="2" t="s">
        <v>134</v>
      </c>
      <c r="I530" s="2" t="str">
        <f>IFERROR(__xludf.DUMMYFUNCTION("GOOGLETRANSLATE(C530,""fr"",""en"")"),"Mr BJR
I am at the M.GP. For 39 years (1981) in retirement since 2011, I have 64 years, I have managed to contribute € 127 per month, is this normal? I would like your opinion Ms. MR Manager of the M.G.P. Thank you")</f>
        <v>Mr BJR
I am at the M.GP. For 39 years (1981) in retirement since 2011, I have 64 years, I have managed to contribute € 127 per month, is this normal? I would like your opinion Ms. MR Manager of the M.G.P. Thank you</v>
      </c>
    </row>
    <row r="531" ht="15.75" customHeight="1">
      <c r="B531" s="2" t="s">
        <v>1506</v>
      </c>
      <c r="C531" s="2" t="s">
        <v>1507</v>
      </c>
      <c r="D531" s="2" t="s">
        <v>1185</v>
      </c>
      <c r="E531" s="2" t="s">
        <v>360</v>
      </c>
      <c r="F531" s="2" t="s">
        <v>15</v>
      </c>
      <c r="G531" s="2" t="s">
        <v>1508</v>
      </c>
      <c r="H531" s="2" t="s">
        <v>138</v>
      </c>
      <c r="I531" s="2" t="str">
        <f>IFERROR(__xludf.DUMMYFUNCTION("GOOGLETRANSLATE(C531,""fr"",""en"")"),"Customer service with listening, very responsive! Correct waiting time! A more than pleasant, available, benevolent advisor! She assisted me in creating my account because the site has not worked for weeks")</f>
        <v>Customer service with listening, very responsive! Correct waiting time! A more than pleasant, available, benevolent advisor! She assisted me in creating my account because the site has not worked for weeks</v>
      </c>
    </row>
    <row r="532" ht="15.75" customHeight="1">
      <c r="B532" s="2" t="s">
        <v>1509</v>
      </c>
      <c r="C532" s="2" t="s">
        <v>1510</v>
      </c>
      <c r="D532" s="2" t="s">
        <v>1185</v>
      </c>
      <c r="E532" s="2" t="s">
        <v>360</v>
      </c>
      <c r="F532" s="2" t="s">
        <v>15</v>
      </c>
      <c r="G532" s="2" t="s">
        <v>1511</v>
      </c>
      <c r="H532" s="2" t="s">
        <v>138</v>
      </c>
      <c r="I532" s="2" t="str">
        <f>IFERROR(__xludf.DUMMYFUNCTION("GOOGLETRANSLATE(C532,""fr"",""en"")"),"Mutual fairly expensive, but good cover. Currently closed agency")</f>
        <v>Mutual fairly expensive, but good cover. Currently closed agency</v>
      </c>
    </row>
    <row r="533" ht="15.75" customHeight="1">
      <c r="B533" s="2" t="s">
        <v>1512</v>
      </c>
      <c r="C533" s="2" t="s">
        <v>1513</v>
      </c>
      <c r="D533" s="2" t="s">
        <v>1185</v>
      </c>
      <c r="E533" s="2" t="s">
        <v>360</v>
      </c>
      <c r="F533" s="2" t="s">
        <v>15</v>
      </c>
      <c r="G533" s="2" t="s">
        <v>1514</v>
      </c>
      <c r="H533" s="2" t="s">
        <v>138</v>
      </c>
      <c r="I533" s="2" t="str">
        <f>IFERROR(__xludf.DUMMYFUNCTION("GOOGLETRANSLATE(C533,""fr"",""en"")"),"By my side for over twenty years")</f>
        <v>By my side for over twenty years</v>
      </c>
    </row>
    <row r="534" ht="15.75" customHeight="1">
      <c r="B534" s="2" t="s">
        <v>1515</v>
      </c>
      <c r="C534" s="2" t="s">
        <v>1516</v>
      </c>
      <c r="D534" s="2" t="s">
        <v>1185</v>
      </c>
      <c r="E534" s="2" t="s">
        <v>360</v>
      </c>
      <c r="F534" s="2" t="s">
        <v>15</v>
      </c>
      <c r="G534" s="2" t="s">
        <v>1517</v>
      </c>
      <c r="H534" s="2" t="s">
        <v>148</v>
      </c>
      <c r="I534" s="2" t="str">
        <f>IFERROR(__xludf.DUMMYFUNCTION("GOOGLETRANSLATE(C534,""fr"",""en"")"),"I am satisfied with my mutual.
I contacted them telephone, no worries to have someone who answered my questions.")</f>
        <v>I am satisfied with my mutual.
I contacted them telephone, no worries to have someone who answered my questions.</v>
      </c>
    </row>
    <row r="535" ht="15.75" customHeight="1">
      <c r="B535" s="2" t="s">
        <v>1518</v>
      </c>
      <c r="C535" s="2" t="s">
        <v>1519</v>
      </c>
      <c r="D535" s="2" t="s">
        <v>1185</v>
      </c>
      <c r="E535" s="2" t="s">
        <v>360</v>
      </c>
      <c r="F535" s="2" t="s">
        <v>15</v>
      </c>
      <c r="G535" s="2" t="s">
        <v>1520</v>
      </c>
      <c r="H535" s="2" t="s">
        <v>148</v>
      </c>
      <c r="I535" s="2" t="str">
        <f>IFERROR(__xludf.DUMMYFUNCTION("GOOGLETRANSLATE(C535,""fr"",""en"")"),"Very decreed by the amount of the management of fees for an urgent and necessary intervention ....")</f>
        <v>Very decreed by the amount of the management of fees for an urgent and necessary intervention ....</v>
      </c>
    </row>
    <row r="536" ht="15.75" customHeight="1">
      <c r="B536" s="2" t="s">
        <v>1521</v>
      </c>
      <c r="C536" s="2" t="s">
        <v>1522</v>
      </c>
      <c r="D536" s="2" t="s">
        <v>1185</v>
      </c>
      <c r="E536" s="2" t="s">
        <v>360</v>
      </c>
      <c r="F536" s="2" t="s">
        <v>15</v>
      </c>
      <c r="G536" s="2" t="s">
        <v>1523</v>
      </c>
      <c r="H536" s="2" t="s">
        <v>148</v>
      </c>
      <c r="I536" s="2" t="str">
        <f>IFERROR(__xludf.DUMMYFUNCTION("GOOGLETRANSLATE(C536,""fr"",""en"")"),"Not disappointed, I have been in this mutual insurance company for over 10 years")</f>
        <v>Not disappointed, I have been in this mutual insurance company for over 10 years</v>
      </c>
    </row>
    <row r="537" ht="15.75" customHeight="1">
      <c r="B537" s="2" t="s">
        <v>1524</v>
      </c>
      <c r="C537" s="2" t="s">
        <v>1525</v>
      </c>
      <c r="D537" s="2" t="s">
        <v>1185</v>
      </c>
      <c r="E537" s="2" t="s">
        <v>360</v>
      </c>
      <c r="F537" s="2" t="s">
        <v>15</v>
      </c>
      <c r="G537" s="2" t="s">
        <v>1526</v>
      </c>
      <c r="H537" s="2" t="s">
        <v>148</v>
      </c>
      <c r="I537" s="2" t="str">
        <f>IFERROR(__xludf.DUMMYFUNCTION("GOOGLETRANSLATE(C537,""fr"",""en"")"),"Following my call, my television was able to respond to my requests, clearly and professionally. Very pleasant online and very clear.")</f>
        <v>Following my call, my television was able to respond to my requests, clearly and professionally. Very pleasant online and very clear.</v>
      </c>
    </row>
    <row r="538" ht="15.75" customHeight="1">
      <c r="B538" s="2" t="s">
        <v>1527</v>
      </c>
      <c r="C538" s="2" t="s">
        <v>1528</v>
      </c>
      <c r="D538" s="2" t="s">
        <v>1185</v>
      </c>
      <c r="E538" s="2" t="s">
        <v>360</v>
      </c>
      <c r="F538" s="2" t="s">
        <v>15</v>
      </c>
      <c r="G538" s="2" t="s">
        <v>1529</v>
      </c>
      <c r="H538" s="2" t="s">
        <v>148</v>
      </c>
      <c r="I538" s="2" t="str">
        <f>IFERROR(__xludf.DUMMYFUNCTION("GOOGLETRANSLATE(C538,""fr"",""en"")"),"At the MGP for 9 years, always satisfied with their service, even if there are management problems or other, everything is always resolved quickly.")</f>
        <v>At the MGP for 9 years, always satisfied with their service, even if there are management problems or other, everything is always resolved quickly.</v>
      </c>
    </row>
    <row r="539" ht="15.75" customHeight="1">
      <c r="B539" s="2" t="s">
        <v>1530</v>
      </c>
      <c r="C539" s="2" t="s">
        <v>1531</v>
      </c>
      <c r="D539" s="2" t="s">
        <v>1185</v>
      </c>
      <c r="E539" s="2" t="s">
        <v>360</v>
      </c>
      <c r="F539" s="2" t="s">
        <v>15</v>
      </c>
      <c r="G539" s="2" t="s">
        <v>1532</v>
      </c>
      <c r="H539" s="2" t="s">
        <v>684</v>
      </c>
      <c r="I539" s="2" t="str">
        <f>IFERROR(__xludf.DUMMYFUNCTION("GOOGLETRANSLATE(C539,""fr"",""en"")"),"Reachable during the hollow schedules otherwise long enough wait")</f>
        <v>Reachable during the hollow schedules otherwise long enough wait</v>
      </c>
    </row>
    <row r="540" ht="15.75" customHeight="1">
      <c r="B540" s="2" t="s">
        <v>1533</v>
      </c>
      <c r="C540" s="2" t="s">
        <v>1534</v>
      </c>
      <c r="D540" s="2" t="s">
        <v>1185</v>
      </c>
      <c r="E540" s="2" t="s">
        <v>360</v>
      </c>
      <c r="F540" s="2" t="s">
        <v>15</v>
      </c>
      <c r="G540" s="2" t="s">
        <v>1535</v>
      </c>
      <c r="H540" s="2" t="s">
        <v>684</v>
      </c>
      <c r="I540" s="2" t="str">
        <f>IFERROR(__xludf.DUMMYFUNCTION("GOOGLETRANSLATE(C540,""fr"",""en"")"),"professional listening and knowing how to answer questions")</f>
        <v>professional listening and knowing how to answer questions</v>
      </c>
    </row>
    <row r="541" ht="15.75" customHeight="1">
      <c r="B541" s="2" t="s">
        <v>1536</v>
      </c>
      <c r="C541" s="2" t="s">
        <v>1537</v>
      </c>
      <c r="D541" s="2" t="s">
        <v>1185</v>
      </c>
      <c r="E541" s="2" t="s">
        <v>360</v>
      </c>
      <c r="F541" s="2" t="s">
        <v>15</v>
      </c>
      <c r="G541" s="2" t="s">
        <v>1538</v>
      </c>
      <c r="H541" s="2" t="s">
        <v>691</v>
      </c>
      <c r="I541" s="2" t="str">
        <f>IFERROR(__xludf.DUMMYFUNCTION("GOOGLETRANSLATE(C541,""fr"",""en"")"),"Impossible to contact, this mutual insurance company is the compulsory diet/ Security fund of French national police officers, so no choice to go through MGP. Recruit personnel please, your website indicates:
150 specialized advisers, distributed through"&amp;"out the territory within 16 agencies.
How many of them answer on the phone ???")</f>
        <v>Impossible to contact, this mutual insurance company is the compulsory diet/ Security fund of French national police officers, so no choice to go through MGP. Recruit personnel please, your website indicates:
150 specialized advisers, distributed throughout the territory within 16 agencies.
How many of them answer on the phone ???</v>
      </c>
    </row>
    <row r="542" ht="15.75" customHeight="1">
      <c r="B542" s="2" t="s">
        <v>1539</v>
      </c>
      <c r="C542" s="2" t="s">
        <v>1540</v>
      </c>
      <c r="D542" s="2" t="s">
        <v>1185</v>
      </c>
      <c r="E542" s="2" t="s">
        <v>360</v>
      </c>
      <c r="F542" s="2" t="s">
        <v>15</v>
      </c>
      <c r="G542" s="2" t="s">
        <v>1541</v>
      </c>
      <c r="H542" s="2" t="s">
        <v>704</v>
      </c>
      <c r="I542" s="2" t="str">
        <f>IFERROR(__xludf.DUMMYFUNCTION("GOOGLETRANSLATE(C542,""fr"",""en"")"),"I have been a member of this mutual insurance company for over 50 years, I was the delegate for years I was introduced to this function by the founding members of this mutual and I am proud to have helped colleagues when I have had to do it but for a few "&amp;"years, I have been scandalized to see what we had created has become in particular for the oldest abandoned by current officials who probably think that papis and grannies, some of whom are centenary must adapt without No help in the technological constra"&amp;"ints of our time, my faith could be understood if the functioning of the mutual was satisfactory but this is not the case if I refer to the difficulties that I encounter to obtain information on a reimbursement not made to this day.")</f>
        <v>I have been a member of this mutual insurance company for over 50 years, I was the delegate for years I was introduced to this function by the founding members of this mutual and I am proud to have helped colleagues when I have had to do it but for a few years, I have been scandalized to see what we had created has become in particular for the oldest abandoned by current officials who probably think that papis and grannies, some of whom are centenary must adapt without No help in the technological constraints of our time, my faith could be understood if the functioning of the mutual was satisfactory but this is not the case if I refer to the difficulties that I encounter to obtain information on a reimbursement not made to this day.</v>
      </c>
    </row>
    <row r="543" ht="15.75" customHeight="1">
      <c r="B543" s="2" t="s">
        <v>1542</v>
      </c>
      <c r="C543" s="2" t="s">
        <v>1543</v>
      </c>
      <c r="D543" s="2" t="s">
        <v>1185</v>
      </c>
      <c r="E543" s="2" t="s">
        <v>360</v>
      </c>
      <c r="F543" s="2" t="s">
        <v>15</v>
      </c>
      <c r="G543" s="2" t="s">
        <v>1544</v>
      </c>
      <c r="H543" s="2" t="s">
        <v>704</v>
      </c>
      <c r="I543" s="2" t="str">
        <f>IFERROR(__xludf.DUMMYFUNCTION("GOOGLETRANSLATE(C543,""fr"",""en"")"),"I came to your house at 25 I have 68, I am very unhappy I just spent half an hour trying to have you by phone, pain lost I find it inadmissible we are only milk cows, I know what I have to do with good hear hi")</f>
        <v>I came to your house at 25 I have 68, I am very unhappy I just spent half an hour trying to have you by phone, pain lost I find it inadmissible we are only milk cows, I know what I have to do with good hear hi</v>
      </c>
    </row>
    <row r="544" ht="15.75" customHeight="1">
      <c r="B544" s="2" t="s">
        <v>1545</v>
      </c>
      <c r="C544" s="2" t="s">
        <v>1546</v>
      </c>
      <c r="D544" s="2" t="s">
        <v>1185</v>
      </c>
      <c r="E544" s="2" t="s">
        <v>360</v>
      </c>
      <c r="F544" s="2" t="s">
        <v>15</v>
      </c>
      <c r="G544" s="2" t="s">
        <v>838</v>
      </c>
      <c r="H544" s="2" t="s">
        <v>835</v>
      </c>
      <c r="I544" s="2" t="str">
        <f>IFERROR(__xludf.DUMMYFUNCTION("GOOGLETRANSLATE(C544,""fr"",""en"")"),"I am director of the judicial protection of youth. I took attachment to the MGP in order to establish a quote. Very aggressive commercial which refuses to give me the elements.
To flee")</f>
        <v>I am director of the judicial protection of youth. I took attachment to the MGP in order to establish a quote. Very aggressive commercial which refuses to give me the elements.
To flee</v>
      </c>
    </row>
    <row r="545" ht="15.75" customHeight="1">
      <c r="B545" s="2" t="s">
        <v>1547</v>
      </c>
      <c r="C545" s="2" t="s">
        <v>1548</v>
      </c>
      <c r="D545" s="2" t="s">
        <v>1185</v>
      </c>
      <c r="E545" s="2" t="s">
        <v>360</v>
      </c>
      <c r="F545" s="2" t="s">
        <v>15</v>
      </c>
      <c r="G545" s="2" t="s">
        <v>1549</v>
      </c>
      <c r="H545" s="2" t="s">
        <v>25</v>
      </c>
      <c r="I545" s="2" t="str">
        <f>IFERROR(__xludf.DUMMYFUNCTION("GOOGLETRANSLATE(C545,""fr"",""en"")"),"Good mutual insurance as a whole, useful recall service, the price are not at the top competition but it remains interesting quality ratio")</f>
        <v>Good mutual insurance as a whole, useful recall service, the price are not at the top competition but it remains interesting quality ratio</v>
      </c>
    </row>
    <row r="546" ht="15.75" customHeight="1">
      <c r="B546" s="2" t="s">
        <v>1550</v>
      </c>
      <c r="C546" s="2" t="s">
        <v>1551</v>
      </c>
      <c r="D546" s="2" t="s">
        <v>1185</v>
      </c>
      <c r="E546" s="2" t="s">
        <v>360</v>
      </c>
      <c r="F546" s="2" t="s">
        <v>15</v>
      </c>
      <c r="G546" s="2" t="s">
        <v>1552</v>
      </c>
      <c r="H546" s="2" t="s">
        <v>25</v>
      </c>
      <c r="I546" s="2" t="str">
        <f>IFERROR(__xludf.DUMMYFUNCTION("GOOGLETRANSLATE(C546,""fr"",""en"")"),"Nothing to add except that I have been a customer since I entered the police. Nationale in 1973! ........................... .......")</f>
        <v>Nothing to add except that I have been a customer since I entered the police. Nationale in 1973! ........................... .......</v>
      </c>
    </row>
    <row r="547" ht="15.75" customHeight="1">
      <c r="B547" s="2" t="s">
        <v>1553</v>
      </c>
      <c r="C547" s="2" t="s">
        <v>1554</v>
      </c>
      <c r="D547" s="2" t="s">
        <v>1185</v>
      </c>
      <c r="E547" s="2" t="s">
        <v>360</v>
      </c>
      <c r="F547" s="2" t="s">
        <v>15</v>
      </c>
      <c r="G547" s="2" t="s">
        <v>1555</v>
      </c>
      <c r="H547" s="2" t="s">
        <v>1033</v>
      </c>
      <c r="I547" s="2" t="str">
        <f>IFERROR(__xludf.DUMMYFUNCTION("GOOGLETRANSLATE(C547,""fr"",""en"")"),"My wife contributed for 27 years to the MGP without having a single day of illness and without ever needing the slightest medoc. Three years after being retired, she declared a rare and orphan disease. Our problems with the MGP will start. While it has be"&amp;"en in hospital for three months more than 800 km from the home, we learn that ALD's request with the care protocol has not been received by the MGP !! - The Social Service of the Dijon CHU transmitted the documents to the MGP Dijon for transmission to the"&amp;" consulting physician of our home via the Créteil MGP - and this increased hunt will duration more than 10 months. To finally receive a letter teaching us that my wife does not have an illness, but that it was the victim of an accident at work. Since we h"&amp;"ave been blacklisted as soon as we call, no response to our letters with LR with AR.
We have turned to TASS, but it takes more than three years for a judgment to be pronounced. Pending my wife's state of health has deteriorated strongly in the absence of"&amp;" suitable care.")</f>
        <v>My wife contributed for 27 years to the MGP without having a single day of illness and without ever needing the slightest medoc. Three years after being retired, she declared a rare and orphan disease. Our problems with the MGP will start. While it has been in hospital for three months more than 800 km from the home, we learn that ALD's request with the care protocol has not been received by the MGP !! - The Social Service of the Dijon CHU transmitted the documents to the MGP Dijon for transmission to the consulting physician of our home via the Créteil MGP - and this increased hunt will duration more than 10 months. To finally receive a letter teaching us that my wife does not have an illness, but that it was the victim of an accident at work. Since we have been blacklisted as soon as we call, no response to our letters with LR with AR.
We have turned to TASS, but it takes more than three years for a judgment to be pronounced. Pending my wife's state of health has deteriorated strongly in the absence of suitable care.</v>
      </c>
    </row>
    <row r="548" ht="15.75" customHeight="1">
      <c r="B548" s="2" t="s">
        <v>1556</v>
      </c>
      <c r="C548" s="2" t="s">
        <v>1557</v>
      </c>
      <c r="D548" s="2" t="s">
        <v>1185</v>
      </c>
      <c r="E548" s="2" t="s">
        <v>360</v>
      </c>
      <c r="F548" s="2" t="s">
        <v>15</v>
      </c>
      <c r="G548" s="2" t="s">
        <v>1558</v>
      </c>
      <c r="H548" s="2" t="s">
        <v>1033</v>
      </c>
      <c r="I548" s="2" t="str">
        <f>IFERROR(__xludf.DUMMYFUNCTION("GOOGLETRANSLATE(C548,""fr"",""en"")"),"More than decree!
Childbirth on July 1, I sent the receipt in advance and situation bulletin because I put forward the costs of the room (200 euros), I received two letters from two different people (they are so well coordinated at the MGP that for a let"&amp;"ter sent: 2 people manage it and then we are surprised by the slowness of file processing ...) telling me that I must send them the acts carried out, the amount and the reimbursement rate to be taken ! Except that it is a mutual and not social security se"&amp;"rvice! And the MGP insists heavily to have that! Maternity has never seen this and has nothing else to give in papers since it has given the necessary.
I was counted fees for fixed participation and retained from my 6th month of pregnancy and makes a rec"&amp;"overy for some after (Illegal, confirmed by other mutual and lawyer!), And so on!
Legal recourse in progress with the Creteil TGI!")</f>
        <v>More than decree!
Childbirth on July 1, I sent the receipt in advance and situation bulletin because I put forward the costs of the room (200 euros), I received two letters from two different people (they are so well coordinated at the MGP that for a letter sent: 2 people manage it and then we are surprised by the slowness of file processing ...) telling me that I must send them the acts carried out, the amount and the reimbursement rate to be taken ! Except that it is a mutual and not social security service! And the MGP insists heavily to have that! Maternity has never seen this and has nothing else to give in papers since it has given the necessary.
I was counted fees for fixed participation and retained from my 6th month of pregnancy and makes a recovery for some after (Illegal, confirmed by other mutual and lawyer!), And so on!
Legal recourse in progress with the Creteil TGI!</v>
      </c>
    </row>
    <row r="549" ht="15.75" customHeight="1">
      <c r="B549" s="2" t="s">
        <v>1559</v>
      </c>
      <c r="C549" s="2" t="s">
        <v>1560</v>
      </c>
      <c r="D549" s="2" t="s">
        <v>1185</v>
      </c>
      <c r="E549" s="2" t="s">
        <v>360</v>
      </c>
      <c r="F549" s="2" t="s">
        <v>15</v>
      </c>
      <c r="G549" s="2" t="s">
        <v>1561</v>
      </c>
      <c r="H549" s="2" t="s">
        <v>41</v>
      </c>
      <c r="I549" s="2" t="str">
        <f>IFERROR(__xludf.DUMMYFUNCTION("GOOGLETRANSLATE(C549,""fr"",""en"")"),"disappointed ..cliente since 1996 ... I saw the quality of the services drop ... if for the RBT C rate C certain acts ... I had to take a 2nd mutual. (Advice given by the MGP advisor. .Qd itself. In short.. In my own on. Complementary ... not acts not rei"&amp;"mbursed by the MGP. He gives me a certificate of non -RBT. To believe that they are doing it on purpose.. The is decided I will leave the MGP..Marn to fight to get a simple certificate.")</f>
        <v>disappointed ..cliente since 1996 ... I saw the quality of the services drop ... if for the RBT C rate C certain acts ... I had to take a 2nd mutual. (Advice given by the MGP advisor. .Qd itself. In short.. In my own on. Complementary ... not acts not reimbursed by the MGP. He gives me a certificate of non -RBT. To believe that they are doing it on purpose.. The is decided I will leave the MGP..Marn to fight to get a simple certificate.</v>
      </c>
    </row>
    <row r="550" ht="15.75" customHeight="1">
      <c r="B550" s="2" t="s">
        <v>1562</v>
      </c>
      <c r="C550" s="2" t="s">
        <v>1563</v>
      </c>
      <c r="D550" s="2" t="s">
        <v>1185</v>
      </c>
      <c r="E550" s="2" t="s">
        <v>360</v>
      </c>
      <c r="F550" s="2" t="s">
        <v>15</v>
      </c>
      <c r="G550" s="2" t="s">
        <v>1564</v>
      </c>
      <c r="H550" s="2" t="s">
        <v>45</v>
      </c>
      <c r="I550" s="2" t="str">
        <f>IFERROR(__xludf.DUMMYFUNCTION("GOOGLETRANSLATE(C550,""fr"",""en"")"),"A active policeman soon retired and a member for over 35 years, I have been very disappointed with the MGP for a few years. Quality decreases as well as reimbursements, contributions increase. Lots of concern to be reimbursed for physiotherapists prescrib"&amp;"ed after a knee operation in April 2017 not yet solved.")</f>
        <v>A active policeman soon retired and a member for over 35 years, I have been very disappointed with the MGP for a few years. Quality decreases as well as reimbursements, contributions increase. Lots of concern to be reimbursed for physiotherapists prescribed after a knee operation in April 2017 not yet solved.</v>
      </c>
    </row>
    <row r="551" ht="15.75" customHeight="1">
      <c r="B551" s="2" t="s">
        <v>1565</v>
      </c>
      <c r="C551" s="2" t="s">
        <v>1566</v>
      </c>
      <c r="D551" s="2" t="s">
        <v>1185</v>
      </c>
      <c r="E551" s="2" t="s">
        <v>360</v>
      </c>
      <c r="F551" s="2" t="s">
        <v>15</v>
      </c>
      <c r="G551" s="2" t="s">
        <v>1567</v>
      </c>
      <c r="H551" s="2" t="s">
        <v>1113</v>
      </c>
      <c r="I551" s="2" t="str">
        <f>IFERROR(__xludf.DUMMYFUNCTION("GOOGLETRANSLATE(C551,""fr"",""en"")"),"Since October 2017 I have been waiting for my transport reimbursements. I remind you that I am in a d a hundred percent for my neurological disease, that I am disabled and that so far I have been reimbursed without problem and that every 4 months I have t"&amp;"o receive specific care 90 km from my home . I wrote to the director of the M G P and to date I still have no answer !!! I have been a member of this mutual since 1975 !!")</f>
        <v>Since October 2017 I have been waiting for my transport reimbursements. I remind you that I am in a d a hundred percent for my neurological disease, that I am disabled and that so far I have been reimbursed without problem and that every 4 months I have to receive specific care 90 km from my home . I wrote to the director of the M G P and to date I still have no answer !!! I have been a member of this mutual since 1975 !!</v>
      </c>
    </row>
    <row r="552" ht="15.75" customHeight="1">
      <c r="B552" s="2" t="s">
        <v>1568</v>
      </c>
      <c r="C552" s="2" t="s">
        <v>1569</v>
      </c>
      <c r="D552" s="2" t="s">
        <v>1185</v>
      </c>
      <c r="E552" s="2" t="s">
        <v>360</v>
      </c>
      <c r="F552" s="2" t="s">
        <v>15</v>
      </c>
      <c r="G552" s="2" t="s">
        <v>1570</v>
      </c>
      <c r="H552" s="2" t="s">
        <v>208</v>
      </c>
      <c r="I552" s="2" t="str">
        <f>IFERROR(__xludf.DUMMYFUNCTION("GOOGLETRANSLATE(C552,""fr"",""en"")"),"I am at the MGP and frankly the only time I call them I come across a C ****** e with the accent of the South which answers me ""you will find your answer under the general conditions of the contract"" while I was asking Costly information !! When I indic"&amp;"ate that the ophthalmian delivered me a prescription but that I ignore if there are 1 or 2 corrections it makes me understand that I am a stupid! On a simple phone call the MGP I understood that I had to look elsewhere! Knowing that in view of the ptical "&amp;"reimbursement announced today is much lower than that when the contract is signed! bye bye the mgp !!")</f>
        <v>I am at the MGP and frankly the only time I call them I come across a C ****** e with the accent of the South which answers me "you will find your answer under the general conditions of the contract" while I was asking Costly information !! When I indicate that the ophthalmian delivered me a prescription but that I ignore if there are 1 or 2 corrections it makes me understand that I am a stupid! On a simple phone call the MGP I understood that I had to look elsewhere! Knowing that in view of the ptical reimbursement announced today is much lower than that when the contract is signed! bye bye the mgp !!</v>
      </c>
    </row>
    <row r="553" ht="15.75" customHeight="1">
      <c r="B553" s="2" t="s">
        <v>1571</v>
      </c>
      <c r="C553" s="2" t="s">
        <v>1572</v>
      </c>
      <c r="D553" s="2" t="s">
        <v>1185</v>
      </c>
      <c r="E553" s="2" t="s">
        <v>360</v>
      </c>
      <c r="F553" s="2" t="s">
        <v>15</v>
      </c>
      <c r="G553" s="2" t="s">
        <v>1573</v>
      </c>
      <c r="H553" s="2" t="s">
        <v>49</v>
      </c>
      <c r="I553" s="2" t="str">
        <f>IFERROR(__xludf.DUMMYFUNCTION("GOOGLETRANSLATE(C553,""fr"",""en"")"),"The MGP no longer manages to manage its members, an economic social plan in 2017 with more than 80 dismissed employees and more than half of the closed agencies.
Employees go one after the other the contributions increase, catastrophic adherent relations")</f>
        <v>The MGP no longer manages to manage its members, an economic social plan in 2017 with more than 80 dismissed employees and more than half of the closed agencies.
Employees go one after the other the contributions increase, catastrophic adherent relations</v>
      </c>
    </row>
    <row r="554" ht="15.75" customHeight="1">
      <c r="B554" s="2" t="s">
        <v>1574</v>
      </c>
      <c r="C554" s="2" t="s">
        <v>1575</v>
      </c>
      <c r="D554" s="2" t="s">
        <v>1185</v>
      </c>
      <c r="E554" s="2" t="s">
        <v>360</v>
      </c>
      <c r="F554" s="2" t="s">
        <v>15</v>
      </c>
      <c r="G554" s="2" t="s">
        <v>1576</v>
      </c>
      <c r="H554" s="2" t="s">
        <v>219</v>
      </c>
      <c r="I554" s="2" t="str">
        <f>IFERROR(__xludf.DUMMYFUNCTION("GOOGLETRANSLATE(C554,""fr"",""en"")"),"My stepfather was assured at MGP. We made the formalities to touch the death capital and the funeral allowance.
It is not possible to attach the service that manages the file, not possible to send them documents, no answers apart ""wait"" and ""it is the"&amp;" service that manages""")</f>
        <v>My stepfather was assured at MGP. We made the formalities to touch the death capital and the funeral allowance.
It is not possible to attach the service that manages the file, not possible to send them documents, no answers apart "wait" and "it is the service that manages"</v>
      </c>
    </row>
    <row r="555" ht="15.75" customHeight="1">
      <c r="B555" s="2" t="s">
        <v>1577</v>
      </c>
      <c r="C555" s="2" t="s">
        <v>1578</v>
      </c>
      <c r="D555" s="2" t="s">
        <v>1185</v>
      </c>
      <c r="E555" s="2" t="s">
        <v>360</v>
      </c>
      <c r="F555" s="2" t="s">
        <v>15</v>
      </c>
      <c r="G555" s="2" t="s">
        <v>1579</v>
      </c>
      <c r="H555" s="2" t="s">
        <v>1136</v>
      </c>
      <c r="I555" s="2" t="str">
        <f>IFERROR(__xludf.DUMMYFUNCTION("GOOGLETRANSLATE(C555,""fr"",""en"")"),"A member for 1979 for 5 years has been the disaster loss of documents despite several unpleasant shipments on the phone. We regret our local agencies I will leave before retirement")</f>
        <v>A member for 1979 for 5 years has been the disaster loss of documents despite several unpleasant shipments on the phone. We regret our local agencies I will leave before retirement</v>
      </c>
    </row>
    <row r="556" ht="15.75" customHeight="1">
      <c r="B556" s="2" t="s">
        <v>1580</v>
      </c>
      <c r="C556" s="2" t="s">
        <v>1581</v>
      </c>
      <c r="D556" s="2" t="s">
        <v>1185</v>
      </c>
      <c r="E556" s="2" t="s">
        <v>360</v>
      </c>
      <c r="F556" s="2" t="s">
        <v>15</v>
      </c>
      <c r="G556" s="2" t="s">
        <v>1582</v>
      </c>
      <c r="H556" s="2" t="s">
        <v>353</v>
      </c>
      <c r="I556" s="2" t="str">
        <f>IFERROR(__xludf.DUMMYFUNCTION("GOOGLETRANSLATE(C556,""fr"",""en"")"),"The Toulouse agency is often closed in the afternoons so we move for nothing but it is always exceptional. The staff are less and less competent. I think that large reforms are to be operated otherwise many members will desert (me the first. My wife at hi"&amp;"s retirement is gone elsewhere. The reimbursements are starting to hang out. Continuing on such bases the end of this mutual is programmed")</f>
        <v>The Toulouse agency is often closed in the afternoons so we move for nothing but it is always exceptional. The staff are less and less competent. I think that large reforms are to be operated otherwise many members will desert (me the first. My wife at his retirement is gone elsewhere. The reimbursements are starting to hang out. Continuing on such bases the end of this mutual is programmed</v>
      </c>
    </row>
    <row r="557" ht="15.75" customHeight="1">
      <c r="B557" s="2" t="s">
        <v>1583</v>
      </c>
      <c r="C557" s="2" t="s">
        <v>1584</v>
      </c>
      <c r="D557" s="2" t="s">
        <v>1185</v>
      </c>
      <c r="E557" s="2" t="s">
        <v>360</v>
      </c>
      <c r="F557" s="2" t="s">
        <v>15</v>
      </c>
      <c r="G557" s="2" t="s">
        <v>1585</v>
      </c>
      <c r="H557" s="2" t="s">
        <v>230</v>
      </c>
      <c r="I557" s="2" t="str">
        <f>IFERROR(__xludf.DUMMYFUNCTION("GOOGLETRANSLATE(C557,""fr"",""en"")"),"I do not know worse mutual than the MGP. I left Interior for the MGP on January 1, 2016. Since my membership has no change has been made with interior. Following this lack of seriousness and professionalism on the part of the MGP it's been a year since I "&amp;"am still at Interme for the social security scheme.
The worst part is that for a year MGP has never played its role as a mutual insurance company because on all the services I have never been reimbursed from mutual.
On the other hand to debit it with my"&amp;" monthly subscription that no oblivion.
I strongly advise against this mutual insurance company to all people who would like to join it.")</f>
        <v>I do not know worse mutual than the MGP. I left Interior for the MGP on January 1, 2016. Since my membership has no change has been made with interior. Following this lack of seriousness and professionalism on the part of the MGP it's been a year since I am still at Interme for the social security scheme.
The worst part is that for a year MGP has never played its role as a mutual insurance company because on all the services I have never been reimbursed from mutual.
On the other hand to debit it with my monthly subscription that no oblivion.
I strongly advise against this mutual insurance company to all people who would like to join it.</v>
      </c>
    </row>
    <row r="558" ht="15.75" customHeight="1">
      <c r="B558" s="2" t="s">
        <v>1586</v>
      </c>
      <c r="C558" s="2" t="s">
        <v>1587</v>
      </c>
      <c r="D558" s="2" t="s">
        <v>1185</v>
      </c>
      <c r="E558" s="2" t="s">
        <v>360</v>
      </c>
      <c r="F558" s="2" t="s">
        <v>15</v>
      </c>
      <c r="G558" s="2" t="s">
        <v>1588</v>
      </c>
      <c r="H558" s="2" t="s">
        <v>230</v>
      </c>
      <c r="I558" s="2" t="str">
        <f>IFERROR(__xludf.DUMMYFUNCTION("GOOGLETRANSLATE(C558,""fr"",""en"")"),"A member for thirty years, it is difficult to obtain a smooth termination. Impossible to obtain a state of the sums due, only a command to pay induce sums; My departure is due to repeated errors concerning services and services. The telephone reception is"&amp;" courteous but remains systematically without effect - ""an advisor will remind you"". Multiple letters in LRAR and OBSISATION OF THE MGP
- Mutual to flee before having ..;")</f>
        <v>A member for thirty years, it is difficult to obtain a smooth termination. Impossible to obtain a state of the sums due, only a command to pay induce sums; My departure is due to repeated errors concerning services and services. The telephone reception is courteous but remains systematically without effect - "an advisor will remind you". Multiple letters in LRAR and OBSISATION OF THE MGP
- Mutual to flee before having ..;</v>
      </c>
    </row>
    <row r="559" ht="15.75" customHeight="1">
      <c r="B559" s="2" t="s">
        <v>1589</v>
      </c>
      <c r="C559" s="2" t="s">
        <v>1590</v>
      </c>
      <c r="D559" s="2" t="s">
        <v>1591</v>
      </c>
      <c r="E559" s="2" t="s">
        <v>360</v>
      </c>
      <c r="F559" s="2" t="s">
        <v>15</v>
      </c>
      <c r="G559" s="2" t="s">
        <v>1186</v>
      </c>
      <c r="H559" s="2" t="s">
        <v>1187</v>
      </c>
      <c r="I559" s="2" t="str">
        <f>IFERROR(__xludf.DUMMYFUNCTION("GOOGLETRANSLATE(C559,""fr"",""en"")"),"Hello
For several days has been impossible to go to the site. I need to transmit documents for an urgent refund !! I hope that the mutual insurance company has taken stock.
Meecibpar advances to keep up to date the members.
Cordially")</f>
        <v>Hello
For several days has been impossible to go to the site. I need to transmit documents for an urgent refund !! I hope that the mutual insurance company has taken stock.
Meecibpar advances to keep up to date the members.
Cordially</v>
      </c>
    </row>
    <row r="560" ht="15.75" customHeight="1">
      <c r="B560" s="2" t="s">
        <v>1592</v>
      </c>
      <c r="C560" s="2" t="s">
        <v>1593</v>
      </c>
      <c r="D560" s="2" t="s">
        <v>1591</v>
      </c>
      <c r="E560" s="2" t="s">
        <v>360</v>
      </c>
      <c r="F560" s="2" t="s">
        <v>15</v>
      </c>
      <c r="G560" s="2" t="s">
        <v>1594</v>
      </c>
      <c r="H560" s="2" t="s">
        <v>1187</v>
      </c>
      <c r="I560" s="2" t="str">
        <f>IFERROR(__xludf.DUMMYFUNCTION("GOOGLETRANSLATE(C560,""fr"",""en"")"),"I am satisfied with the service,
I have already had to do your services in 2018 2020.
Your telephone and responsive and efficient service. The advisers are great.
I recommend you to those around me")</f>
        <v>I am satisfied with the service,
I have already had to do your services in 2018 2020.
Your telephone and responsive and efficient service. The advisers are great.
I recommend you to those around me</v>
      </c>
    </row>
    <row r="561" ht="15.75" customHeight="1">
      <c r="B561" s="2" t="s">
        <v>1595</v>
      </c>
      <c r="C561" s="2" t="s">
        <v>1596</v>
      </c>
      <c r="D561" s="2" t="s">
        <v>1591</v>
      </c>
      <c r="E561" s="2" t="s">
        <v>360</v>
      </c>
      <c r="F561" s="2" t="s">
        <v>15</v>
      </c>
      <c r="G561" s="2" t="s">
        <v>1594</v>
      </c>
      <c r="H561" s="2" t="s">
        <v>1187</v>
      </c>
      <c r="I561" s="2" t="str">
        <f>IFERROR(__xludf.DUMMYFUNCTION("GOOGLETRANSLATE(C561,""fr"",""en"")"),"Simple, fast and effective
To see in terms of reimbursements but I believe it
I recommend April their reasonable contribution for a good mutual")</f>
        <v>Simple, fast and effective
To see in terms of reimbursements but I believe it
I recommend April their reasonable contribution for a good mutual</v>
      </c>
    </row>
    <row r="562" ht="15.75" customHeight="1">
      <c r="B562" s="2" t="s">
        <v>1597</v>
      </c>
      <c r="C562" s="2" t="s">
        <v>1598</v>
      </c>
      <c r="D562" s="2" t="s">
        <v>1591</v>
      </c>
      <c r="E562" s="2" t="s">
        <v>360</v>
      </c>
      <c r="F562" s="2" t="s">
        <v>15</v>
      </c>
      <c r="G562" s="2" t="s">
        <v>1599</v>
      </c>
      <c r="H562" s="2" t="s">
        <v>362</v>
      </c>
      <c r="I562" s="2" t="str">
        <f>IFERROR(__xludf.DUMMYFUNCTION("GOOGLETRANSLATE(C562,""fr"",""en"")"),"I am satisfied with your mutual agency I hope not to be disappointed with you thank you for your understanding and your confidence see you soon sir or madam")</f>
        <v>I am satisfied with your mutual agency I hope not to be disappointed with you thank you for your understanding and your confidence see you soon sir or madam</v>
      </c>
    </row>
    <row r="563" ht="15.75" customHeight="1">
      <c r="B563" s="2" t="s">
        <v>1600</v>
      </c>
      <c r="C563" s="2" t="s">
        <v>1601</v>
      </c>
      <c r="D563" s="2" t="s">
        <v>1591</v>
      </c>
      <c r="E563" s="2" t="s">
        <v>360</v>
      </c>
      <c r="F563" s="2" t="s">
        <v>15</v>
      </c>
      <c r="G563" s="2" t="s">
        <v>1602</v>
      </c>
      <c r="H563" s="2" t="s">
        <v>362</v>
      </c>
      <c r="I563" s="2" t="str">
        <f>IFERROR(__xludf.DUMMYFUNCTION("GOOGLETRANSLATE(C563,""fr"",""en"")"),"The prices are really good to see now how I will be reimbursed according to me.
If I also need to change your comparator is really easy to use
")</f>
        <v>The prices are really good to see now how I will be reimbursed according to me.
If I also need to change your comparator is really easy to use
</v>
      </c>
    </row>
    <row r="564" ht="15.75" customHeight="1">
      <c r="B564" s="2" t="s">
        <v>1603</v>
      </c>
      <c r="C564" s="2" t="s">
        <v>1604</v>
      </c>
      <c r="D564" s="2" t="s">
        <v>1591</v>
      </c>
      <c r="E564" s="2" t="s">
        <v>360</v>
      </c>
      <c r="F564" s="2" t="s">
        <v>15</v>
      </c>
      <c r="G564" s="2" t="s">
        <v>361</v>
      </c>
      <c r="H564" s="2" t="s">
        <v>362</v>
      </c>
      <c r="I564" s="2" t="str">
        <f>IFERROR(__xludf.DUMMYFUNCTION("GOOGLETRANSLATE(C564,""fr"",""en"")"),"I am satisfied with the services, affordable price, hoping that everything will work and that I would be reimbursing fairly quickly. By being a student I cannot afford to pay my care 100%.")</f>
        <v>I am satisfied with the services, affordable price, hoping that everything will work and that I would be reimbursing fairly quickly. By being a student I cannot afford to pay my care 100%.</v>
      </c>
    </row>
    <row r="565" ht="15.75" customHeight="1">
      <c r="B565" s="2" t="s">
        <v>1605</v>
      </c>
      <c r="C565" s="2" t="s">
        <v>1606</v>
      </c>
      <c r="D565" s="2" t="s">
        <v>1591</v>
      </c>
      <c r="E565" s="2" t="s">
        <v>360</v>
      </c>
      <c r="F565" s="2" t="s">
        <v>15</v>
      </c>
      <c r="G565" s="2" t="s">
        <v>1607</v>
      </c>
      <c r="H565" s="2" t="s">
        <v>362</v>
      </c>
      <c r="I565" s="2" t="str">
        <f>IFERROR(__xludf.DUMMYFUNCTION("GOOGLETRANSLATE(C565,""fr"",""en"")"),"Niquel, the phone advisor was nice and we are convinced that we made the right choice. Thank you again :)
see you soon,
Cordially")</f>
        <v>Niquel, the phone advisor was nice and we are convinced that we made the right choice. Thank you again :)
see you soon,
Cordially</v>
      </c>
    </row>
    <row r="566" ht="15.75" customHeight="1">
      <c r="B566" s="2" t="s">
        <v>1608</v>
      </c>
      <c r="C566" s="2" t="s">
        <v>1609</v>
      </c>
      <c r="D566" s="2" t="s">
        <v>1591</v>
      </c>
      <c r="E566" s="2" t="s">
        <v>360</v>
      </c>
      <c r="F566" s="2" t="s">
        <v>15</v>
      </c>
      <c r="G566" s="2" t="s">
        <v>1607</v>
      </c>
      <c r="H566" s="2" t="s">
        <v>362</v>
      </c>
      <c r="I566" s="2" t="str">
        <f>IFERROR(__xludf.DUMMYFUNCTION("GOOGLETRANSLATE(C566,""fr"",""en"")"),"Satisfied very fast I receive my mutual card by mail? Please keep me informed by phone where by email I hope to have a quick response")</f>
        <v>Satisfied very fast I receive my mutual card by mail? Please keep me informed by phone where by email I hope to have a quick response</v>
      </c>
    </row>
    <row r="567" ht="15.75" customHeight="1">
      <c r="B567" s="2" t="s">
        <v>1610</v>
      </c>
      <c r="C567" s="2" t="s">
        <v>1611</v>
      </c>
      <c r="D567" s="2" t="s">
        <v>1591</v>
      </c>
      <c r="E567" s="2" t="s">
        <v>360</v>
      </c>
      <c r="F567" s="2" t="s">
        <v>15</v>
      </c>
      <c r="G567" s="2" t="s">
        <v>1607</v>
      </c>
      <c r="H567" s="2" t="s">
        <v>362</v>
      </c>
      <c r="I567" s="2" t="str">
        <f>IFERROR(__xludf.DUMMYFUNCTION("GOOGLETRANSLATE(C567,""fr"",""en"")"),"Your membership form is zero. It does not work, I spent more than 1:30 to fill out a sensible form ""less than 5 min"". Otherwise the price offered with the cover is perfect!")</f>
        <v>Your membership form is zero. It does not work, I spent more than 1:30 to fill out a sensible form "less than 5 min". Otherwise the price offered with the cover is perfect!</v>
      </c>
    </row>
    <row r="568" ht="15.75" customHeight="1">
      <c r="B568" s="2" t="s">
        <v>1612</v>
      </c>
      <c r="C568" s="2" t="s">
        <v>1613</v>
      </c>
      <c r="D568" s="2" t="s">
        <v>1591</v>
      </c>
      <c r="E568" s="2" t="s">
        <v>360</v>
      </c>
      <c r="F568" s="2" t="s">
        <v>15</v>
      </c>
      <c r="G568" s="2" t="s">
        <v>1614</v>
      </c>
      <c r="H568" s="2" t="s">
        <v>362</v>
      </c>
      <c r="I568" s="2" t="str">
        <f>IFERROR(__xludf.DUMMYFUNCTION("GOOGLETRANSLATE(C568,""fr"",""en"")"),"Taking into account to ensure very very fast satisfied with speed to make sure very good consideration very very happy thank you for everything")</f>
        <v>Taking into account to ensure very very fast satisfied with speed to make sure very good consideration very very happy thank you for everything</v>
      </c>
    </row>
    <row r="569" ht="15.75" customHeight="1">
      <c r="B569" s="2" t="s">
        <v>1615</v>
      </c>
      <c r="C569" s="2" t="s">
        <v>1616</v>
      </c>
      <c r="D569" s="2" t="s">
        <v>1591</v>
      </c>
      <c r="E569" s="2" t="s">
        <v>360</v>
      </c>
      <c r="F569" s="2" t="s">
        <v>15</v>
      </c>
      <c r="G569" s="2" t="s">
        <v>1617</v>
      </c>
      <c r="H569" s="2" t="s">
        <v>362</v>
      </c>
      <c r="I569" s="2" t="str">
        <f>IFERROR(__xludf.DUMMYFUNCTION("GOOGLETRANSLATE(C569,""fr"",""en"")"),"I am well satisfied with the conditions very well explained and I would advise a relative to ask for the same insurance is the beginning but for me it suits me.")</f>
        <v>I am well satisfied with the conditions very well explained and I would advise a relative to ask for the same insurance is the beginning but for me it suits me.</v>
      </c>
    </row>
    <row r="570" ht="15.75" customHeight="1">
      <c r="B570" s="2" t="s">
        <v>1618</v>
      </c>
      <c r="C570" s="2" t="s">
        <v>1619</v>
      </c>
      <c r="D570" s="2" t="s">
        <v>1591</v>
      </c>
      <c r="E570" s="2" t="s">
        <v>360</v>
      </c>
      <c r="F570" s="2" t="s">
        <v>15</v>
      </c>
      <c r="G570" s="2" t="s">
        <v>1620</v>
      </c>
      <c r="H570" s="2" t="s">
        <v>362</v>
      </c>
      <c r="I570" s="2" t="str">
        <f>IFERROR(__xludf.DUMMYFUNCTION("GOOGLETRANSLATE(C570,""fr"",""en"")"),"Satisfied with the service offers
GOOD VALUE FOR MONEY
I highly recommend this insurance
Full satisfaction of this contract
See you soon satisfied")</f>
        <v>Satisfied with the service offers
GOOD VALUE FOR MONEY
I highly recommend this insurance
Full satisfaction of this contract
See you soon satisfied</v>
      </c>
    </row>
    <row r="571" ht="15.75" customHeight="1">
      <c r="B571" s="2" t="s">
        <v>1621</v>
      </c>
      <c r="C571" s="2" t="s">
        <v>1622</v>
      </c>
      <c r="D571" s="2" t="s">
        <v>1591</v>
      </c>
      <c r="E571" s="2" t="s">
        <v>360</v>
      </c>
      <c r="F571" s="2" t="s">
        <v>15</v>
      </c>
      <c r="G571" s="2" t="s">
        <v>1623</v>
      </c>
      <c r="H571" s="2" t="s">
        <v>362</v>
      </c>
      <c r="I571" s="2" t="str">
        <f>IFERROR(__xludf.DUMMYFUNCTION("GOOGLETRANSLATE(C571,""fr"",""en"")"),"Very satisfied with the online service!
Satisfactory price!
Simple and fast approach!
Recommended by a friend!
Apparently very fast reimbursement!")</f>
        <v>Very satisfied with the online service!
Satisfactory price!
Simple and fast approach!
Recommended by a friend!
Apparently very fast reimbursement!</v>
      </c>
    </row>
    <row r="572" ht="15.75" customHeight="1">
      <c r="B572" s="2" t="s">
        <v>1624</v>
      </c>
      <c r="C572" s="2" t="s">
        <v>1625</v>
      </c>
      <c r="D572" s="2" t="s">
        <v>1591</v>
      </c>
      <c r="E572" s="2" t="s">
        <v>360</v>
      </c>
      <c r="F572" s="2" t="s">
        <v>15</v>
      </c>
      <c r="G572" s="2" t="s">
        <v>1623</v>
      </c>
      <c r="H572" s="2" t="s">
        <v>362</v>
      </c>
      <c r="I572" s="2" t="str">
        <f>IFERROR(__xludf.DUMMYFUNCTION("GOOGLETRANSLATE(C572,""fr"",""en"")"),"Easy to use
The prices are really correct
practice to do
only takes a few minutes to fill the really simple information has found
")</f>
        <v>Easy to use
The prices are really correct
practice to do
only takes a few minutes to fill the really simple information has found
</v>
      </c>
    </row>
    <row r="573" ht="15.75" customHeight="1">
      <c r="B573" s="2" t="s">
        <v>1626</v>
      </c>
      <c r="C573" s="2" t="s">
        <v>1627</v>
      </c>
      <c r="D573" s="2" t="s">
        <v>1591</v>
      </c>
      <c r="E573" s="2" t="s">
        <v>360</v>
      </c>
      <c r="F573" s="2" t="s">
        <v>15</v>
      </c>
      <c r="G573" s="2" t="s">
        <v>1628</v>
      </c>
      <c r="H573" s="2" t="s">
        <v>362</v>
      </c>
      <c r="I573" s="2" t="str">
        <f>IFERROR(__xludf.DUMMYFUNCTION("GOOGLETRANSLATE(C573,""fr"",""en"")"),"Very satisfied with the mutual I knew this mutual share leaves a third person and very happy to know all its and hopes to be very well covered")</f>
        <v>Very satisfied with the mutual I knew this mutual share leaves a third person and very happy to know all its and hopes to be very well covered</v>
      </c>
    </row>
    <row r="574" ht="15.75" customHeight="1">
      <c r="B574" s="2" t="s">
        <v>1629</v>
      </c>
      <c r="C574" s="2" t="s">
        <v>1630</v>
      </c>
      <c r="D574" s="2" t="s">
        <v>1591</v>
      </c>
      <c r="E574" s="2" t="s">
        <v>360</v>
      </c>
      <c r="F574" s="2" t="s">
        <v>15</v>
      </c>
      <c r="G574" s="2" t="s">
        <v>1628</v>
      </c>
      <c r="H574" s="2" t="s">
        <v>362</v>
      </c>
      <c r="I574" s="2" t="str">
        <f>IFERROR(__xludf.DUMMYFUNCTION("GOOGLETRANSLATE(C574,""fr"",""en"")"),"Super great insurance that will unfortunately go beyond it was cool summer insured the same day. But good we can't have everything. Thank you for this express contract")</f>
        <v>Super great insurance that will unfortunately go beyond it was cool summer insured the same day. But good we can't have everything. Thank you for this express contract</v>
      </c>
    </row>
    <row r="575" ht="15.75" customHeight="1">
      <c r="B575" s="2" t="s">
        <v>1631</v>
      </c>
      <c r="C575" s="2" t="s">
        <v>1632</v>
      </c>
      <c r="D575" s="2" t="s">
        <v>1591</v>
      </c>
      <c r="E575" s="2" t="s">
        <v>360</v>
      </c>
      <c r="F575" s="2" t="s">
        <v>15</v>
      </c>
      <c r="G575" s="2" t="s">
        <v>374</v>
      </c>
      <c r="H575" s="2" t="s">
        <v>362</v>
      </c>
      <c r="I575" s="2" t="str">
        <f>IFERROR(__xludf.DUMMYFUNCTION("GOOGLETRANSLATE(C575,""fr"",""en"")"),"I am very satisfied with the speed and price of my contract The services are perfect for my family and myself, the site is very well organized")</f>
        <v>I am very satisfied with the speed and price of my contract The services are perfect for my family and myself, the site is very well organized</v>
      </c>
    </row>
    <row r="576" ht="15.75" customHeight="1">
      <c r="B576" s="2" t="s">
        <v>1633</v>
      </c>
      <c r="C576" s="2" t="s">
        <v>1634</v>
      </c>
      <c r="D576" s="2" t="s">
        <v>1591</v>
      </c>
      <c r="E576" s="2" t="s">
        <v>360</v>
      </c>
      <c r="F576" s="2" t="s">
        <v>15</v>
      </c>
      <c r="G576" s="2" t="s">
        <v>377</v>
      </c>
      <c r="H576" s="2" t="s">
        <v>630</v>
      </c>
      <c r="I576" s="2" t="str">
        <f>IFERROR(__xludf.DUMMYFUNCTION("GOOGLETRANSLATE(C576,""fr"",""en"")"),"I got to know your mutual insurance company as part of a business contract, I am satisfied with your services that I have seen during my last surgical interventions I therefore continue with a similar contract in individual
Cordially")</f>
        <v>I got to know your mutual insurance company as part of a business contract, I am satisfied with your services that I have seen during my last surgical interventions I therefore continue with a similar contract in individual
Cordially</v>
      </c>
    </row>
    <row r="577" ht="15.75" customHeight="1">
      <c r="B577" s="2" t="s">
        <v>1635</v>
      </c>
      <c r="C577" s="2" t="s">
        <v>1636</v>
      </c>
      <c r="D577" s="2" t="s">
        <v>1591</v>
      </c>
      <c r="E577" s="2" t="s">
        <v>360</v>
      </c>
      <c r="F577" s="2" t="s">
        <v>15</v>
      </c>
      <c r="G577" s="2" t="s">
        <v>380</v>
      </c>
      <c r="H577" s="2" t="s">
        <v>362</v>
      </c>
      <c r="I577" s="2" t="str">
        <f>IFERROR(__xludf.DUMMYFUNCTION("GOOGLETRANSLATE(C577,""fr"",""en"")"),"I am not satisfied with the start date of the contract because it is written in your CG that membership is done the day after the subscription. The prices are correct for a Basic contract.")</f>
        <v>I am not satisfied with the start date of the contract because it is written in your CG that membership is done the day after the subscription. The prices are correct for a Basic contract.</v>
      </c>
    </row>
    <row r="578" ht="15.75" customHeight="1">
      <c r="B578" s="2" t="s">
        <v>1637</v>
      </c>
      <c r="C578" s="2" t="s">
        <v>1638</v>
      </c>
      <c r="D578" s="2" t="s">
        <v>1591</v>
      </c>
      <c r="E578" s="2" t="s">
        <v>360</v>
      </c>
      <c r="F578" s="2" t="s">
        <v>15</v>
      </c>
      <c r="G578" s="2" t="s">
        <v>383</v>
      </c>
      <c r="H578" s="2" t="s">
        <v>362</v>
      </c>
      <c r="I578" s="2" t="str">
        <f>IFERROR(__xludf.DUMMYFUNCTION("GOOGLETRANSLATE(C578,""fr"",""en"")"),"To see in the long term. But for the moment fast subscription the mutual seems to be reimbursed because my former did not meet my expectations.")</f>
        <v>To see in the long term. But for the moment fast subscription the mutual seems to be reimbursed because my former did not meet my expectations.</v>
      </c>
    </row>
    <row r="579" ht="15.75" customHeight="1">
      <c r="B579" s="2" t="s">
        <v>1639</v>
      </c>
      <c r="C579" s="2" t="s">
        <v>1640</v>
      </c>
      <c r="D579" s="2" t="s">
        <v>1591</v>
      </c>
      <c r="E579" s="2" t="s">
        <v>360</v>
      </c>
      <c r="F579" s="2" t="s">
        <v>15</v>
      </c>
      <c r="G579" s="2" t="s">
        <v>383</v>
      </c>
      <c r="H579" s="2" t="s">
        <v>362</v>
      </c>
      <c r="I579" s="2" t="str">
        <f>IFERROR(__xludf.DUMMYFUNCTION("GOOGLETRANSLATE(C579,""fr"",""en"")"),"Simple and practical adhesion 100% online competitive price with good modulation of guarantees thank you for the speed and intuitiveness of the process")</f>
        <v>Simple and practical adhesion 100% online competitive price with good modulation of guarantees thank you for the speed and intuitiveness of the process</v>
      </c>
    </row>
    <row r="580" ht="15.75" customHeight="1">
      <c r="B580" s="2" t="s">
        <v>1641</v>
      </c>
      <c r="C580" s="2" t="s">
        <v>1642</v>
      </c>
      <c r="D580" s="2" t="s">
        <v>1591</v>
      </c>
      <c r="E580" s="2" t="s">
        <v>360</v>
      </c>
      <c r="F580" s="2" t="s">
        <v>15</v>
      </c>
      <c r="G580" s="2" t="s">
        <v>391</v>
      </c>
      <c r="H580" s="2" t="s">
        <v>362</v>
      </c>
      <c r="I580" s="2" t="str">
        <f>IFERROR(__xludf.DUMMYFUNCTION("GOOGLETRANSLATE(C580,""fr"",""en"")"),"I am satisfied with your service
Thank you for the information and your service to help your customers subscribe to a mutual health insurance. The prices are very affordable")</f>
        <v>I am satisfied with your service
Thank you for the information and your service to help your customers subscribe to a mutual health insurance. The prices are very affordable</v>
      </c>
    </row>
    <row r="581" ht="15.75" customHeight="1">
      <c r="B581" s="2" t="s">
        <v>1643</v>
      </c>
      <c r="C581" s="2" t="s">
        <v>1644</v>
      </c>
      <c r="D581" s="2" t="s">
        <v>1591</v>
      </c>
      <c r="E581" s="2" t="s">
        <v>360</v>
      </c>
      <c r="F581" s="2" t="s">
        <v>15</v>
      </c>
      <c r="G581" s="2" t="s">
        <v>1645</v>
      </c>
      <c r="H581" s="2" t="s">
        <v>362</v>
      </c>
      <c r="I581" s="2" t="str">
        <f>IFERROR(__xludf.DUMMYFUNCTION("GOOGLETRANSLATE(C581,""fr"",""en"")"),"I am satisfied with the service. Just to know how I receive my mutual card, if I receive by email or by mail. It would be better by email like that I can print it")</f>
        <v>I am satisfied with the service. Just to know how I receive my mutual card, if I receive by email or by mail. It would be better by email like that I can print it</v>
      </c>
    </row>
    <row r="582" ht="15.75" customHeight="1">
      <c r="B582" s="2" t="s">
        <v>1646</v>
      </c>
      <c r="C582" s="2" t="s">
        <v>1647</v>
      </c>
      <c r="D582" s="2" t="s">
        <v>1591</v>
      </c>
      <c r="E582" s="2" t="s">
        <v>360</v>
      </c>
      <c r="F582" s="2" t="s">
        <v>15</v>
      </c>
      <c r="G582" s="2" t="s">
        <v>1645</v>
      </c>
      <c r="H582" s="2" t="s">
        <v>362</v>
      </c>
      <c r="I582" s="2" t="str">
        <f>IFERROR(__xludf.DUMMYFUNCTION("GOOGLETRANSLATE(C582,""fr"",""en"")"),"I am satisfied with the service, it's perfect and not expensive. Membership is very simple and clear everything is well explained. The electronic signature is perfect")</f>
        <v>I am satisfied with the service, it's perfect and not expensive. Membership is very simple and clear everything is well explained. The electronic signature is perfect</v>
      </c>
    </row>
    <row r="583" ht="15.75" customHeight="1">
      <c r="B583" s="2" t="s">
        <v>1648</v>
      </c>
      <c r="C583" s="2" t="s">
        <v>1649</v>
      </c>
      <c r="D583" s="2" t="s">
        <v>1591</v>
      </c>
      <c r="E583" s="2" t="s">
        <v>360</v>
      </c>
      <c r="F583" s="2" t="s">
        <v>15</v>
      </c>
      <c r="G583" s="2" t="s">
        <v>394</v>
      </c>
      <c r="H583" s="2" t="s">
        <v>362</v>
      </c>
      <c r="I583" s="2" t="str">
        <f>IFERROR(__xludf.DUMMYFUNCTION("GOOGLETRANSLATE(C583,""fr"",""en"")"),"NICKEL
Fast and effective
Subscription facilitity
The guarantees are better and for a lesser cost
I recommend a hundred percent
Thank you April
")</f>
        <v>NICKEL
Fast and effective
Subscription facilitity
The guarantees are better and for a lesser cost
I recommend a hundred percent
Thank you April
</v>
      </c>
    </row>
    <row r="584" ht="15.75" customHeight="1">
      <c r="B584" s="2" t="s">
        <v>1650</v>
      </c>
      <c r="C584" s="2" t="s">
        <v>1651</v>
      </c>
      <c r="D584" s="2" t="s">
        <v>1591</v>
      </c>
      <c r="E584" s="2" t="s">
        <v>360</v>
      </c>
      <c r="F584" s="2" t="s">
        <v>15</v>
      </c>
      <c r="G584" s="2" t="s">
        <v>394</v>
      </c>
      <c r="H584" s="2" t="s">
        <v>362</v>
      </c>
      <c r="I584" s="2" t="str">
        <f>IFERROR(__xludf.DUMMYFUNCTION("GOOGLETRANSLATE(C584,""fr"",""en"")"),"I would like to be covered from October 8, 2021car I need it today it is very important could you send me my coverage insurance by email this morning Regards")</f>
        <v>I would like to be covered from October 8, 2021car I need it today it is very important could you send me my coverage insurance by email this morning Regards</v>
      </c>
    </row>
    <row r="585" ht="15.75" customHeight="1">
      <c r="B585" s="2" t="s">
        <v>1652</v>
      </c>
      <c r="C585" s="2" t="s">
        <v>1653</v>
      </c>
      <c r="D585" s="2" t="s">
        <v>1591</v>
      </c>
      <c r="E585" s="2" t="s">
        <v>360</v>
      </c>
      <c r="F585" s="2" t="s">
        <v>15</v>
      </c>
      <c r="G585" s="2" t="s">
        <v>412</v>
      </c>
      <c r="H585" s="2" t="s">
        <v>362</v>
      </c>
      <c r="I585" s="2" t="str">
        <f>IFERROR(__xludf.DUMMYFUNCTION("GOOGLETRANSLATE(C585,""fr"",""en"")"),"I am satisfied with the price and the speed of the explanations and the information given.
It remains to be seen over time if it will go well ...
To be continued")</f>
        <v>I am satisfied with the price and the speed of the explanations and the information given.
It remains to be seen over time if it will go well ...
To be continued</v>
      </c>
    </row>
    <row r="586" ht="15.75" customHeight="1">
      <c r="B586" s="2" t="s">
        <v>1654</v>
      </c>
      <c r="C586" s="2" t="s">
        <v>1655</v>
      </c>
      <c r="D586" s="2" t="s">
        <v>1591</v>
      </c>
      <c r="E586" s="2" t="s">
        <v>360</v>
      </c>
      <c r="F586" s="2" t="s">
        <v>15</v>
      </c>
      <c r="G586" s="2" t="s">
        <v>1656</v>
      </c>
      <c r="H586" s="2" t="s">
        <v>362</v>
      </c>
      <c r="I586" s="2" t="str">
        <f>IFERROR(__xludf.DUMMYFUNCTION("GOOGLETRANSLATE(C586,""fr"",""en"")"),"Hello, for the moment I am satisfied with the approach of the service to be seen with time if necessary I will return to the site.
Regards Ms. Dadine")</f>
        <v>Hello, for the moment I am satisfied with the approach of the service to be seen with time if necessary I will return to the site.
Regards Ms. Dadine</v>
      </c>
    </row>
    <row r="587" ht="15.75" customHeight="1">
      <c r="B587" s="2" t="s">
        <v>1657</v>
      </c>
      <c r="C587" s="2" t="s">
        <v>1658</v>
      </c>
      <c r="D587" s="2" t="s">
        <v>1591</v>
      </c>
      <c r="E587" s="2" t="s">
        <v>360</v>
      </c>
      <c r="F587" s="2" t="s">
        <v>15</v>
      </c>
      <c r="G587" s="2" t="s">
        <v>1656</v>
      </c>
      <c r="H587" s="2" t="s">
        <v>362</v>
      </c>
      <c r="I587" s="2" t="str">
        <f>IFERROR(__xludf.DUMMYFUNCTION("GOOGLETRANSLATE(C587,""fr"",""en"")"),"I am very satisfied and the quote and the price that is proposed to me. Quick simple very well explain the site and very well represent I am already assured.")</f>
        <v>I am very satisfied and the quote and the price that is proposed to me. Quick simple very well explain the site and very well represent I am already assured.</v>
      </c>
    </row>
    <row r="588" ht="15.75" customHeight="1">
      <c r="B588" s="2" t="s">
        <v>1659</v>
      </c>
      <c r="C588" s="2" t="s">
        <v>1660</v>
      </c>
      <c r="D588" s="2" t="s">
        <v>1591</v>
      </c>
      <c r="E588" s="2" t="s">
        <v>360</v>
      </c>
      <c r="F588" s="2" t="s">
        <v>15</v>
      </c>
      <c r="G588" s="2" t="s">
        <v>1661</v>
      </c>
      <c r="H588" s="2" t="s">
        <v>397</v>
      </c>
      <c r="I588" s="2" t="str">
        <f>IFERROR(__xludf.DUMMYFUNCTION("GOOGLETRANSLATE(C588,""fr"",""en"")"),"Satisfied good fast and effective rates Persevez good job not let go accept the poor not have prejudices to be humanitis")</f>
        <v>Satisfied good fast and effective rates Persevez good job not let go accept the poor not have prejudices to be humanitis</v>
      </c>
    </row>
    <row r="589" ht="15.75" customHeight="1">
      <c r="B589" s="2" t="s">
        <v>1662</v>
      </c>
      <c r="C589" s="2" t="s">
        <v>1663</v>
      </c>
      <c r="D589" s="2" t="s">
        <v>1591</v>
      </c>
      <c r="E589" s="2" t="s">
        <v>360</v>
      </c>
      <c r="F589" s="2" t="s">
        <v>15</v>
      </c>
      <c r="G589" s="2" t="s">
        <v>1661</v>
      </c>
      <c r="H589" s="2" t="s">
        <v>397</v>
      </c>
      <c r="I589" s="2" t="str">
        <f>IFERROR(__xludf.DUMMYFUNCTION("GOOGLETRANSLATE(C589,""fr"",""en"")"),"I do not know yet I have not tested because I have just taken this contract, I will leave a more objective opinion in a few months but a pity that it is absolutely necessary to leave an opinion of the signing of the contract")</f>
        <v>I do not know yet I have not tested because I have just taken this contract, I will leave a more objective opinion in a few months but a pity that it is absolutely necessary to leave an opinion of the signing of the contract</v>
      </c>
    </row>
    <row r="590" ht="15.75" customHeight="1">
      <c r="B590" s="2" t="s">
        <v>1664</v>
      </c>
      <c r="C590" s="2" t="s">
        <v>1665</v>
      </c>
      <c r="D590" s="2" t="s">
        <v>1591</v>
      </c>
      <c r="E590" s="2" t="s">
        <v>360</v>
      </c>
      <c r="F590" s="2" t="s">
        <v>15</v>
      </c>
      <c r="G590" s="2" t="s">
        <v>1661</v>
      </c>
      <c r="H590" s="2" t="s">
        <v>397</v>
      </c>
      <c r="I590" s="2" t="str">
        <f>IFERROR(__xludf.DUMMYFUNCTION("GOOGLETRANSLATE(C590,""fr"",""en"")"),"Easy quick it's perfect subscription level thank you very much for your help and to have advised me well I highly recommend you very soon")</f>
        <v>Easy quick it's perfect subscription level thank you very much for your help and to have advised me well I highly recommend you very soon</v>
      </c>
    </row>
    <row r="591" ht="15.75" customHeight="1">
      <c r="B591" s="2" t="s">
        <v>1666</v>
      </c>
      <c r="C591" s="2" t="s">
        <v>1667</v>
      </c>
      <c r="D591" s="2" t="s">
        <v>1591</v>
      </c>
      <c r="E591" s="2" t="s">
        <v>360</v>
      </c>
      <c r="F591" s="2" t="s">
        <v>15</v>
      </c>
      <c r="G591" s="2" t="s">
        <v>1209</v>
      </c>
      <c r="H591" s="2" t="s">
        <v>397</v>
      </c>
      <c r="I591" s="2" t="str">
        <f>IFERROR(__xludf.DUMMYFUNCTION("GOOGLETRANSLATE(C591,""fr"",""en"")"),"I am very satisfied in particular concerning online registration efficiency via the April platform, but also in terms of the most attractive market on the market.")</f>
        <v>I am very satisfied in particular concerning online registration efficiency via the April platform, but also in terms of the most attractive market on the market.</v>
      </c>
    </row>
    <row r="592" ht="15.75" customHeight="1">
      <c r="B592" s="2" t="s">
        <v>1668</v>
      </c>
      <c r="C592" s="2" t="s">
        <v>1669</v>
      </c>
      <c r="D592" s="2" t="s">
        <v>1591</v>
      </c>
      <c r="E592" s="2" t="s">
        <v>360</v>
      </c>
      <c r="F592" s="2" t="s">
        <v>15</v>
      </c>
      <c r="G592" s="2" t="s">
        <v>1212</v>
      </c>
      <c r="H592" s="2" t="s">
        <v>397</v>
      </c>
      <c r="I592" s="2" t="str">
        <f>IFERROR(__xludf.DUMMYFUNCTION("GOOGLETRANSLATE(C592,""fr"",""en"")"),"Satisfied with prices, and services included very fast, playful simple dacsait I recommend it to my friends and family the reimbursement period is fast")</f>
        <v>Satisfied with prices, and services included very fast, playful simple dacsait I recommend it to my friends and family the reimbursement period is fast</v>
      </c>
    </row>
    <row r="593" ht="15.75" customHeight="1">
      <c r="B593" s="2" t="s">
        <v>1670</v>
      </c>
      <c r="C593" s="2" t="s">
        <v>1671</v>
      </c>
      <c r="D593" s="2" t="s">
        <v>1591</v>
      </c>
      <c r="E593" s="2" t="s">
        <v>360</v>
      </c>
      <c r="F593" s="2" t="s">
        <v>15</v>
      </c>
      <c r="G593" s="2" t="s">
        <v>1672</v>
      </c>
      <c r="H593" s="2" t="s">
        <v>84</v>
      </c>
      <c r="I593" s="2" t="str">
        <f>IFERROR(__xludf.DUMMYFUNCTION("GOOGLETRANSLATE(C593,""fr"",""en"")"),"Mutuals are committed to the government not to increase or listed the rest.
As usual in the air, no act.
Result increase in contributions !!!")</f>
        <v>Mutuals are committed to the government not to increase or listed the rest.
As usual in the air, no act.
Result increase in contributions !!!</v>
      </c>
    </row>
    <row r="594" ht="15.75" customHeight="1">
      <c r="B594" s="2" t="s">
        <v>1673</v>
      </c>
      <c r="C594" s="2" t="s">
        <v>1674</v>
      </c>
      <c r="D594" s="2" t="s">
        <v>1591</v>
      </c>
      <c r="E594" s="2" t="s">
        <v>360</v>
      </c>
      <c r="F594" s="2" t="s">
        <v>15</v>
      </c>
      <c r="G594" s="2" t="s">
        <v>1675</v>
      </c>
      <c r="H594" s="2" t="s">
        <v>84</v>
      </c>
      <c r="I594" s="2" t="str">
        <f>IFERROR(__xludf.DUMMYFUNCTION("GOOGLETRANSLATE(C594,""fr"",""en"")"),"Very bad mutual
I have level 5 and 0 reimbursement options that do not take care of it despite the fact that it is noted in the options.
A mutual to avoid")</f>
        <v>Very bad mutual
I have level 5 and 0 reimbursement options that do not take care of it despite the fact that it is noted in the options.
A mutual to avoid</v>
      </c>
    </row>
    <row r="595" ht="15.75" customHeight="1">
      <c r="B595" s="2" t="s">
        <v>1676</v>
      </c>
      <c r="C595" s="2" t="s">
        <v>1677</v>
      </c>
      <c r="D595" s="2" t="s">
        <v>1591</v>
      </c>
      <c r="E595" s="2" t="s">
        <v>360</v>
      </c>
      <c r="F595" s="2" t="s">
        <v>15</v>
      </c>
      <c r="G595" s="2" t="s">
        <v>1678</v>
      </c>
      <c r="H595" s="2" t="s">
        <v>84</v>
      </c>
      <c r="I595" s="2" t="str">
        <f>IFERROR(__xludf.DUMMYFUNCTION("GOOGLETRANSLATE(C595,""fr"",""en"")"),"I was shot by two April advisers for my elderly parents. Attractive prices, but nevertheless I wanted to review the services for dental care (implants). They both procrastinate since March ... Results: I lost 3 months, they led me by boat. Lol ! went to a"&amp;" competitor, and I agreed the same day following the quote submitted and listening to them! A horror was two advisers from April, to believe that they do not need customers .... in short, delighted not to have contracted with them given the opinions ...")</f>
        <v>I was shot by two April advisers for my elderly parents. Attractive prices, but nevertheless I wanted to review the services for dental care (implants). They both procrastinate since March ... Results: I lost 3 months, they led me by boat. Lol ! went to a competitor, and I agreed the same day following the quote submitted and listening to them! A horror was two advisers from April, to believe that they do not need customers .... in short, delighted not to have contracted with them given the opinions ...</v>
      </c>
    </row>
    <row r="596" ht="15.75" customHeight="1">
      <c r="B596" s="2" t="s">
        <v>1679</v>
      </c>
      <c r="C596" s="2" t="s">
        <v>1680</v>
      </c>
      <c r="D596" s="2" t="s">
        <v>1591</v>
      </c>
      <c r="E596" s="2" t="s">
        <v>360</v>
      </c>
      <c r="F596" s="2" t="s">
        <v>15</v>
      </c>
      <c r="G596" s="2" t="s">
        <v>84</v>
      </c>
      <c r="H596" s="2" t="s">
        <v>84</v>
      </c>
      <c r="I596" s="2" t="str">
        <f>IFERROR(__xludf.DUMMYFUNCTION("GOOGLETRANSLATE(C596,""fr"",""en"")"),"not satisfied at all because since my membership I have not received any refund
And it is not necessarily the most affordable contract
No contacts and contact
Only account for the collection of monthly payments")</f>
        <v>not satisfied at all because since my membership I have not received any refund
And it is not necessarily the most affordable contract
No contacts and contact
Only account for the collection of monthly payments</v>
      </c>
    </row>
    <row r="597" ht="15.75" customHeight="1">
      <c r="B597" s="2" t="s">
        <v>1681</v>
      </c>
      <c r="C597" s="2" t="s">
        <v>1682</v>
      </c>
      <c r="D597" s="2" t="s">
        <v>1591</v>
      </c>
      <c r="E597" s="2" t="s">
        <v>360</v>
      </c>
      <c r="F597" s="2" t="s">
        <v>15</v>
      </c>
      <c r="G597" s="2" t="s">
        <v>1683</v>
      </c>
      <c r="H597" s="2" t="s">
        <v>91</v>
      </c>
      <c r="I597" s="2" t="str">
        <f>IFERROR(__xludf.DUMMYFUNCTION("GOOGLETRANSLATE(C597,""fr"",""en"")"),"Horrible. Does not reimburse dental care, while it is supposed to be a legal obligation. (Remains at zero charge) I do not recommend you very distort!")</f>
        <v>Horrible. Does not reimburse dental care, while it is supposed to be a legal obligation. (Remains at zero charge) I do not recommend you very distort!</v>
      </c>
    </row>
    <row r="598" ht="15.75" customHeight="1">
      <c r="B598" s="2" t="s">
        <v>1684</v>
      </c>
      <c r="C598" s="2" t="s">
        <v>1685</v>
      </c>
      <c r="D598" s="2" t="s">
        <v>1591</v>
      </c>
      <c r="E598" s="2" t="s">
        <v>360</v>
      </c>
      <c r="F598" s="2" t="s">
        <v>15</v>
      </c>
      <c r="G598" s="2" t="s">
        <v>577</v>
      </c>
      <c r="H598" s="2" t="s">
        <v>105</v>
      </c>
      <c r="I598" s="2" t="str">
        <f>IFERROR(__xludf.DUMMYFUNCTION("GOOGLETRANSLATE(C598,""fr"",""en"")"),"Not very competitive and in addition to the incomprehensible reimbursements very disappointed with this mutual !!!! I hope to find better as soon as possible")</f>
        <v>Not very competitive and in addition to the incomprehensible reimbursements very disappointed with this mutual !!!! I hope to find better as soon as possible</v>
      </c>
    </row>
    <row r="599" ht="15.75" customHeight="1">
      <c r="B599" s="2" t="s">
        <v>1686</v>
      </c>
      <c r="C599" s="2" t="s">
        <v>1687</v>
      </c>
      <c r="D599" s="2" t="s">
        <v>1591</v>
      </c>
      <c r="E599" s="2" t="s">
        <v>360</v>
      </c>
      <c r="F599" s="2" t="s">
        <v>15</v>
      </c>
      <c r="G599" s="2" t="s">
        <v>108</v>
      </c>
      <c r="H599" s="2" t="s">
        <v>105</v>
      </c>
      <c r="I599" s="2" t="str">
        <f>IFERROR(__xludf.DUMMYFUNCTION("GOOGLETRANSLATE(C599,""fr"",""en"")"),"I have been waiting for the reimbursement of physiotherapy sessions for the part of APRIL, the CPAM made the reimbursement on 2 days in 2 days and transmitted the information to them; I wrote an email to them a week ago to find out what it was and no answ"&amp;"er, despite an automatic acknowledgment, indicating an answer as soon as possible.
Since I had other costs to move forward, all reimbursed in part by the CPAM and nothing of them; There are everything between € 100 and 150 €, which represents a significa"&amp;"nt lack in my monthly budget !!
On the other hand on the internet they claim to make reimbursements within 48 hours! What a shift !!
What is certain is that contributions continue to increase, and are taken in time no worries!
")</f>
        <v>I have been waiting for the reimbursement of physiotherapy sessions for the part of APRIL, the CPAM made the reimbursement on 2 days in 2 days and transmitted the information to them; I wrote an email to them a week ago to find out what it was and no answer, despite an automatic acknowledgment, indicating an answer as soon as possible.
Since I had other costs to move forward, all reimbursed in part by the CPAM and nothing of them; There are everything between € 100 and 150 €, which represents a significant lack in my monthly budget !!
On the other hand on the internet they claim to make reimbursements within 48 hours! What a shift !!
What is certain is that contributions continue to increase, and are taken in time no worries!
</v>
      </c>
    </row>
    <row r="600" ht="15.75" customHeight="1">
      <c r="B600" s="2" t="s">
        <v>1688</v>
      </c>
      <c r="C600" s="2" t="s">
        <v>1689</v>
      </c>
      <c r="D600" s="2" t="s">
        <v>1591</v>
      </c>
      <c r="E600" s="2" t="s">
        <v>360</v>
      </c>
      <c r="F600" s="2" t="s">
        <v>15</v>
      </c>
      <c r="G600" s="2" t="s">
        <v>1335</v>
      </c>
      <c r="H600" s="2" t="s">
        <v>120</v>
      </c>
      <c r="I600" s="2" t="str">
        <f>IFERROR(__xludf.DUMMYFUNCTION("GOOGLETRANSLATE(C600,""fr"",""en"")"),"To flee! It's been almost 3 months since my file is not up to date! Real charlots. And what a hassle to have someone online on the phone. Lots of promises but no outfit!
")</f>
        <v>To flee! It's been almost 3 months since my file is not up to date! Real charlots. And what a hassle to have someone online on the phone. Lots of promises but no outfit!
</v>
      </c>
    </row>
    <row r="601" ht="15.75" customHeight="1">
      <c r="B601" s="2" t="s">
        <v>1690</v>
      </c>
      <c r="C601" s="2" t="s">
        <v>1691</v>
      </c>
      <c r="D601" s="2" t="s">
        <v>1591</v>
      </c>
      <c r="E601" s="2" t="s">
        <v>360</v>
      </c>
      <c r="F601" s="2" t="s">
        <v>15</v>
      </c>
      <c r="G601" s="2" t="s">
        <v>1445</v>
      </c>
      <c r="H601" s="2" t="s">
        <v>277</v>
      </c>
      <c r="I601" s="2" t="str">
        <f>IFERROR(__xludf.DUMMYFUNCTION("GOOGLETRANSLATE(C601,""fr"",""en"")"),"Insurance to flee! The first 2 years I just present my vaccination reminders, everything is fine ... Then 2 years ago, I send them the same annual invoice by the same veterinarian, they refuse me reimbursement, arguing that ""vaccination reminder"" Do not"&amp;" tell them what vaccines it is, and that I cannot therefore benefit from my ""prevention package"" ... either, my vet redo the bill by detailing the vaccines, and oh surprise, the cough of the chenil n ' is more taken into account, suddenly they reimburse"&amp;" only € 44 ... Uh, a prevention package, when it is defined as such, reimburses ... prevention, cough of the chenil included gentlemen from April ... but Well, the following year I returned my annual vaccine recall bill, detailing vaccines, you never know"&amp;" ... and refusal, because I will have already used my package ... well yes, the year before Since this is an annual reminder ... I put their nose in them, they agree to reimburse me, less the cough of the kennel of course ... ç A was the drop of water tha"&amp;"t made me terminate the following contribution call. When at Santévet or Jim &amp; Joe we reimburse € 50 per year in prevention package when they receive the “vaccination recall” invoice without wearing buttocks ...
In short, to flee !!!!")</f>
        <v>Insurance to flee! The first 2 years I just present my vaccination reminders, everything is fine ... Then 2 years ago, I send them the same annual invoice by the same veterinarian, they refuse me reimbursement, arguing that "vaccination reminder" Do not tell them what vaccines it is, and that I cannot therefore benefit from my "prevention package" ... either, my vet redo the bill by detailing the vaccines, and oh surprise, the cough of the chenil n ' is more taken into account, suddenly they reimburse only € 44 ... Uh, a prevention package, when it is defined as such, reimburses ... prevention, cough of the chenil included gentlemen from April ... but Well, the following year I returned my annual vaccine recall bill, detailing vaccines, you never know ... and refusal, because I will have already used my package ... well yes, the year before Since this is an annual reminder ... I put their nose in them, they agree to reimburse me, less the cough of the kennel of course ... ç A was the drop of water that made me terminate the following contribution call. When at Santévet or Jim &amp; Joe we reimburse € 50 per year in prevention package when they receive the “vaccination recall” invoice without wearing buttocks ...
In short, to flee !!!!</v>
      </c>
    </row>
    <row r="602" ht="15.75" customHeight="1">
      <c r="B602" s="2" t="s">
        <v>1692</v>
      </c>
      <c r="C602" s="2" t="s">
        <v>1693</v>
      </c>
      <c r="D602" s="2" t="s">
        <v>1591</v>
      </c>
      <c r="E602" s="2" t="s">
        <v>360</v>
      </c>
      <c r="F602" s="2" t="s">
        <v>15</v>
      </c>
      <c r="G602" s="2" t="s">
        <v>1694</v>
      </c>
      <c r="H602" s="2" t="s">
        <v>126</v>
      </c>
      <c r="I602" s="2" t="str">
        <f>IFERROR(__xludf.DUMMYFUNCTION("GOOGLETRANSLATE(C602,""fr"",""en"")"),"Completely abusive approach. Reviews no subscription file or dematerialized or other. No signature.
Yet I receive 1 insured card and an opinion to take.
This abusive approach is to be denounced. April to avoid absolutely.")</f>
        <v>Completely abusive approach. Reviews no subscription file or dematerialized or other. No signature.
Yet I receive 1 insured card and an opinion to take.
This abusive approach is to be denounced. April to avoid absolutely.</v>
      </c>
    </row>
    <row r="603" ht="15.75" customHeight="1">
      <c r="B603" s="2" t="s">
        <v>1695</v>
      </c>
      <c r="C603" s="2" t="s">
        <v>1696</v>
      </c>
      <c r="D603" s="2" t="s">
        <v>1591</v>
      </c>
      <c r="E603" s="2" t="s">
        <v>360</v>
      </c>
      <c r="F603" s="2" t="s">
        <v>15</v>
      </c>
      <c r="G603" s="2" t="s">
        <v>1697</v>
      </c>
      <c r="H603" s="2" t="s">
        <v>126</v>
      </c>
      <c r="I603" s="2" t="str">
        <f>IFERROR(__xludf.DUMMYFUNCTION("GOOGLETRANSLATE(C603,""fr"",""en"")"),"Super mutual
In terms of value for money Super, this is based on our means, our function.
JR is nothing to say about this mutual. Thank you")</f>
        <v>Super mutual
In terms of value for money Super, this is based on our means, our function.
JR is nothing to say about this mutual. Thank you</v>
      </c>
    </row>
    <row r="604" ht="15.75" customHeight="1">
      <c r="B604" s="2" t="s">
        <v>1698</v>
      </c>
      <c r="C604" s="2" t="s">
        <v>1699</v>
      </c>
      <c r="D604" s="2" t="s">
        <v>1591</v>
      </c>
      <c r="E604" s="2" t="s">
        <v>360</v>
      </c>
      <c r="F604" s="2" t="s">
        <v>15</v>
      </c>
      <c r="G604" s="2" t="s">
        <v>1700</v>
      </c>
      <c r="H604" s="2" t="s">
        <v>630</v>
      </c>
      <c r="I604" s="2" t="str">
        <f>IFERROR(__xludf.DUMMYFUNCTION("GOOGLETRANSLATE(C604,""fr"",""en"")"),"Following my separation and then the death of my husband, I had to change my April contract. So everything started from scratch. However, for the perspective that I only use moderately I refuse to apply the price reserved for former customers. Besides, I "&amp;"am 100% for medical costs so I don't cost them. No negotiations possible after years of contract for 2 and the premium is expensive 133 euros per month!")</f>
        <v>Following my separation and then the death of my husband, I had to change my April contract. So everything started from scratch. However, for the perspective that I only use moderately I refuse to apply the price reserved for former customers. Besides, I am 100% for medical costs so I don't cost them. No negotiations possible after years of contract for 2 and the premium is expensive 133 euros per month!</v>
      </c>
    </row>
    <row r="605" ht="15.75" customHeight="1">
      <c r="B605" s="2" t="s">
        <v>1701</v>
      </c>
      <c r="C605" s="2" t="s">
        <v>1702</v>
      </c>
      <c r="D605" s="2" t="s">
        <v>1591</v>
      </c>
      <c r="E605" s="2" t="s">
        <v>360</v>
      </c>
      <c r="F605" s="2" t="s">
        <v>15</v>
      </c>
      <c r="G605" s="2" t="s">
        <v>1703</v>
      </c>
      <c r="H605" s="2" t="s">
        <v>630</v>
      </c>
      <c r="I605" s="2" t="str">
        <f>IFERROR(__xludf.DUMMYFUNCTION("GOOGLETRANSLATE(C605,""fr"",""en"")"),"The Vienna (Isère) agency having been closed, it was impossible for me to reach a person on the phone capable of providing me with my green card who should have been sent to me at least 15 days before the deadline and to date I have still received nothing"&amp;". I called the 2 issues that are registered Emon Contract and one is a platform located abroad and they told me that they could do nothing and the other is a number in Lyon that I I also called and I had the same answer. By insisting a bit of the person w"&amp;"ho answered me in fact and had to send me my documents by email and mail. To date I have still received nothing. So I do quotes to take another insurance. So I do not recommend this insurance at all.")</f>
        <v>The Vienna (Isère) agency having been closed, it was impossible for me to reach a person on the phone capable of providing me with my green card who should have been sent to me at least 15 days before the deadline and to date I have still received nothing. I called the 2 issues that are registered Emon Contract and one is a platform located abroad and they told me that they could do nothing and the other is a number in Lyon that I I also called and I had the same answer. By insisting a bit of the person who answered me in fact and had to send me my documents by email and mail. To date I have still received nothing. So I do quotes to take another insurance. So I do not recommend this insurance at all.</v>
      </c>
    </row>
    <row r="606" ht="15.75" customHeight="1">
      <c r="B606" s="2" t="s">
        <v>1704</v>
      </c>
      <c r="C606" s="2" t="s">
        <v>1705</v>
      </c>
      <c r="D606" s="2" t="s">
        <v>1591</v>
      </c>
      <c r="E606" s="2" t="s">
        <v>360</v>
      </c>
      <c r="F606" s="2" t="s">
        <v>15</v>
      </c>
      <c r="G606" s="2" t="s">
        <v>1706</v>
      </c>
      <c r="H606" s="2" t="s">
        <v>630</v>
      </c>
      <c r="I606" s="2" t="str">
        <f>IFERROR(__xludf.DUMMYFUNCTION("GOOGLETRANSLATE(C606,""fr"",""en"")"),"Hello.
I have been a April customer for 4 or 5 years for my additional health. I pay 320 euros per month, you read that right. One day I receive an April advertisement to make an additional health, fun quote. I make the simulation, for the same guarantee"&amp;"s I am offered a price of 198 euros monthly.
I write to customer service who already answers me with an automatic email ""We will answer you within 2 months"" ... Stunning .. I have just received a response from the ""Health Customer Relationship"" and h"&amp;"ere is what I said:
""I regret not being able to give a favorable follow -up to your request to revise contributions and this after a study of the file.
Rest assured that these are calculated as accurately as possible. I regret the late processing of yo"&amp;"ur request. ""
I will of course go see elsewhere where the prices are half cheaper.
This world is crazy !!")</f>
        <v>Hello.
I have been a April customer for 4 or 5 years for my additional health. I pay 320 euros per month, you read that right. One day I receive an April advertisement to make an additional health, fun quote. I make the simulation, for the same guarantees I am offered a price of 198 euros monthly.
I write to customer service who already answers me with an automatic email "We will answer you within 2 months" ... Stunning .. I have just received a response from the "Health Customer Relationship" and here is what I said:
"I regret not being able to give a favorable follow -up to your request to revise contributions and this after a study of the file.
Rest assured that these are calculated as accurately as possible. I regret the late processing of your request. "
I will of course go see elsewhere where the prices are half cheaper.
This world is crazy !!</v>
      </c>
    </row>
    <row r="607" ht="15.75" customHeight="1">
      <c r="B607" s="2" t="s">
        <v>1707</v>
      </c>
      <c r="C607" s="2" t="s">
        <v>1708</v>
      </c>
      <c r="D607" s="2" t="s">
        <v>1591</v>
      </c>
      <c r="E607" s="2" t="s">
        <v>360</v>
      </c>
      <c r="F607" s="2" t="s">
        <v>15</v>
      </c>
      <c r="G607" s="2" t="s">
        <v>1709</v>
      </c>
      <c r="H607" s="2" t="s">
        <v>630</v>
      </c>
      <c r="I607" s="2" t="str">
        <f>IFERROR(__xludf.DUMMYFUNCTION("GOOGLETRANSLATE(C607,""fr"",""en"")"),"Good company of these 2 years of me of this group but 2021 very expensive not to be of me yet and to have received a message that day saying below 70th /and having made a termination with a little delay but to do This request for a credit card in January "&amp;"2021 not useful to call me if these costs exceeds 68EU on 12 months very expensive above /")</f>
        <v>Good company of these 2 years of me of this group but 2021 very expensive not to be of me yet and to have received a message that day saying below 70th /and having made a termination with a little delay but to do This request for a credit card in January 2021 not useful to call me if these costs exceeds 68EU on 12 months very expensive above /</v>
      </c>
    </row>
    <row r="608" ht="15.75" customHeight="1">
      <c r="B608" s="2" t="s">
        <v>1710</v>
      </c>
      <c r="C608" s="2" t="s">
        <v>1711</v>
      </c>
      <c r="D608" s="2" t="s">
        <v>1591</v>
      </c>
      <c r="E608" s="2" t="s">
        <v>360</v>
      </c>
      <c r="F608" s="2" t="s">
        <v>15</v>
      </c>
      <c r="G608" s="2" t="s">
        <v>1712</v>
      </c>
      <c r="H608" s="2" t="s">
        <v>630</v>
      </c>
      <c r="I608" s="2" t="str">
        <f>IFERROR(__xludf.DUMMYFUNCTION("GOOGLETRANSLATE(C608,""fr"",""en"")"),"Very good value for money and reimbursed quickly and answer to any questions to the quick and very competing and friendly phone ras I recommend this mutual")</f>
        <v>Very good value for money and reimbursed quickly and answer to any questions to the quick and very competing and friendly phone ras I recommend this mutual</v>
      </c>
    </row>
    <row r="609" ht="15.75" customHeight="1">
      <c r="B609" s="2" t="s">
        <v>1713</v>
      </c>
      <c r="C609" s="2" t="s">
        <v>1714</v>
      </c>
      <c r="D609" s="2" t="s">
        <v>1591</v>
      </c>
      <c r="E609" s="2" t="s">
        <v>360</v>
      </c>
      <c r="F609" s="2" t="s">
        <v>15</v>
      </c>
      <c r="G609" s="2" t="s">
        <v>1715</v>
      </c>
      <c r="H609" s="2" t="s">
        <v>130</v>
      </c>
      <c r="I609" s="2" t="str">
        <f>IFERROR(__xludf.DUMMYFUNCTION("GOOGLETRANSLATE(C609,""fr"",""en"")"),"I am very unhappy with this mutual which does not forget the monthly samples but which reimburses when it has time and even not at all. I have been waiting for a refund since July ????")</f>
        <v>I am very unhappy with this mutual which does not forget the monthly samples but which reimburses when it has time and even not at all. I have been waiting for a refund since July ????</v>
      </c>
    </row>
    <row r="610" ht="15.75" customHeight="1">
      <c r="B610" s="2" t="s">
        <v>1716</v>
      </c>
      <c r="C610" s="2" t="s">
        <v>1717</v>
      </c>
      <c r="D610" s="2" t="s">
        <v>1591</v>
      </c>
      <c r="E610" s="2" t="s">
        <v>360</v>
      </c>
      <c r="F610" s="2" t="s">
        <v>15</v>
      </c>
      <c r="G610" s="2" t="s">
        <v>1718</v>
      </c>
      <c r="H610" s="2" t="s">
        <v>281</v>
      </c>
      <c r="I610" s="2" t="str">
        <f>IFERROR(__xludf.DUMMYFUNCTION("GOOGLETRANSLATE(C610,""fr"",""en"")"),"Mutual that I do not recommend. Random management fees are levied with each reimbursement of this mutual. Never the same amount for the mutual share of € 7 50 of a medical visit.")</f>
        <v>Mutual that I do not recommend. Random management fees are levied with each reimbursement of this mutual. Never the same amount for the mutual share of € 7 50 of a medical visit.</v>
      </c>
    </row>
    <row r="611" ht="15.75" customHeight="1">
      <c r="B611" s="2" t="s">
        <v>1719</v>
      </c>
      <c r="C611" s="2" t="s">
        <v>1720</v>
      </c>
      <c r="D611" s="2" t="s">
        <v>1591</v>
      </c>
      <c r="E611" s="2" t="s">
        <v>360</v>
      </c>
      <c r="F611" s="2" t="s">
        <v>15</v>
      </c>
      <c r="G611" s="2" t="s">
        <v>1721</v>
      </c>
      <c r="H611" s="2" t="s">
        <v>281</v>
      </c>
      <c r="I611" s="2" t="str">
        <f>IFERROR(__xludf.DUMMYFUNCTION("GOOGLETRANSLATE(C611,""fr"",""en"")"),"No clarity in terms of reimbursements. SOID Saying a reduction of 8%. In departure from the contract. But 2 euros DEBOTE for each act (doctor 2, € pharmacy 2 euros less on each reimbursement.")</f>
        <v>No clarity in terms of reimbursements. SOID Saying a reduction of 8%. In departure from the contract. But 2 euros DEBOTE for each act (doctor 2, € pharmacy 2 euros less on each reimbursement.</v>
      </c>
    </row>
    <row r="612" ht="15.75" customHeight="1">
      <c r="B612" s="2" t="s">
        <v>1722</v>
      </c>
      <c r="C612" s="2" t="s">
        <v>1723</v>
      </c>
      <c r="D612" s="2" t="s">
        <v>1591</v>
      </c>
      <c r="E612" s="2" t="s">
        <v>360</v>
      </c>
      <c r="F612" s="2" t="s">
        <v>15</v>
      </c>
      <c r="G612" s="2" t="s">
        <v>1499</v>
      </c>
      <c r="H612" s="2" t="s">
        <v>661</v>
      </c>
      <c r="I612" s="2" t="str">
        <f>IFERROR(__xludf.DUMMYFUNCTION("GOOGLETRANSLATE(C612,""fr"",""en"")"),"Insurance below everything. Who reimburses what she wants when she wants. What is more insurance that reimburses on invoice or not. As if when you get sick you ask for an invoice. We pay and await reimbursement. Fortunately, the SS does not do the same th"&amp;"ing because hello deforestation! We are far from the 48 hours of the contract. To have them that they call the Holy Father and when we have them it is blah blah blah and nothing at the end. I block my next monthly payment and I terminate in stride.")</f>
        <v>Insurance below everything. Who reimburses what she wants when she wants. What is more insurance that reimburses on invoice or not. As if when you get sick you ask for an invoice. We pay and await reimbursement. Fortunately, the SS does not do the same thing because hello deforestation! We are far from the 48 hours of the contract. To have them that they call the Holy Father and when we have them it is blah blah blah and nothing at the end. I block my next monthly payment and I terminate in stride.</v>
      </c>
    </row>
    <row r="613" ht="15.75" customHeight="1">
      <c r="B613" s="2" t="s">
        <v>1724</v>
      </c>
      <c r="C613" s="2" t="s">
        <v>1725</v>
      </c>
      <c r="D613" s="2" t="s">
        <v>1591</v>
      </c>
      <c r="E613" s="2" t="s">
        <v>360</v>
      </c>
      <c r="F613" s="2" t="s">
        <v>15</v>
      </c>
      <c r="G613" s="2" t="s">
        <v>1726</v>
      </c>
      <c r="H613" s="2" t="s">
        <v>684</v>
      </c>
      <c r="I613" s="2" t="str">
        <f>IFERROR(__xludf.DUMMYFUNCTION("GOOGLETRANSLATE(C613,""fr"",""en"")"),"I have been insured since July 2019, and I can say that this mutual is not better than the others.
I ask, at the end of November 2019, via my insured space, to switch from level 4 (75.83 euros/month) to level 2 (44.06 euros/month). I note, in January 2"&amp;"020, that my request is not taken into account since I am continued to take the amount corresponding to level 4. I contact my interlocutor from the proassur firm who asserts me that we will correct this error And reimburse me the difference. I see later t"&amp;"hat I am still taken from the 75 euros and qq. I oppose this levy, and I immediately receive a call from the financial service asking me to settle my subscription while specifying that this call is recorded. I say that I refuse to pay the subscription unt"&amp;"il my request to switch from level 4 to level 2 is not taken into account, and as long as I am not reimbursed for the difference. I try to reach the phone the management of my contract; Neither the mutual or the proassur office responds. I then send compl"&amp;"aint messages, which remain without follow -up.
A few weeks later, I receive a postal letter from the mutual insurance company telling me that my request was not taken into account. I make several complaints again, with the mutual and the proassur cabine"&amp;"t. I receive another letter saying that my request was finally taken into account, provided that I pay the contributions of the months from January to March, and that the transition from level 4 to level 2 can only be effective from From April, when it wa"&amp;"s agreed quite the opposite!
I receive today, on April 02, 2020, several calls from the financial service telling me that I am put in notice and that without payment of my contributions my file will go into litigation !!!
")</f>
        <v>I have been insured since July 2019, and I can say that this mutual is not better than the others.
I ask, at the end of November 2019, via my insured space, to switch from level 4 (75.83 euros/month) to level 2 (44.06 euros/month). I note, in January 2020, that my request is not taken into account since I am continued to take the amount corresponding to level 4. I contact my interlocutor from the proassur firm who asserts me that we will correct this error And reimburse me the difference. I see later that I am still taken from the 75 euros and qq. I oppose this levy, and I immediately receive a call from the financial service asking me to settle my subscription while specifying that this call is recorded. I say that I refuse to pay the subscription until my request to switch from level 4 to level 2 is not taken into account, and as long as I am not reimbursed for the difference. I try to reach the phone the management of my contract; Neither the mutual or the proassur office responds. I then send complaint messages, which remain without follow -up.
A few weeks later, I receive a postal letter from the mutual insurance company telling me that my request was not taken into account. I make several complaints again, with the mutual and the proassur cabinet. I receive another letter saying that my request was finally taken into account, provided that I pay the contributions of the months from January to March, and that the transition from level 4 to level 2 can only be effective from From April, when it was agreed quite the opposite!
I receive today, on April 02, 2020, several calls from the financial service telling me that I am put in notice and that without payment of my contributions my file will go into litigation !!!
</v>
      </c>
    </row>
    <row r="614" ht="15.75" customHeight="1">
      <c r="B614" s="2" t="s">
        <v>1727</v>
      </c>
      <c r="C614" s="2" t="s">
        <v>1728</v>
      </c>
      <c r="D614" s="2" t="s">
        <v>1591</v>
      </c>
      <c r="E614" s="2" t="s">
        <v>360</v>
      </c>
      <c r="F614" s="2" t="s">
        <v>15</v>
      </c>
      <c r="G614" s="2" t="s">
        <v>709</v>
      </c>
      <c r="H614" s="2" t="s">
        <v>704</v>
      </c>
      <c r="I614" s="2" t="str">
        <f>IFERROR(__xludf.DUMMYFUNCTION("GOOGLETRANSLATE(C614,""fr"",""en"")"),"Contacts with a very warm departure and welcoming open and clear attention it is only the beginning hang
")</f>
        <v>Contacts with a very warm departure and welcoming open and clear attention it is only the beginning hang
</v>
      </c>
    </row>
    <row r="615" ht="15.75" customHeight="1">
      <c r="B615" s="2" t="s">
        <v>1729</v>
      </c>
      <c r="C615" s="2" t="s">
        <v>1730</v>
      </c>
      <c r="D615" s="2" t="s">
        <v>1591</v>
      </c>
      <c r="E615" s="2" t="s">
        <v>360</v>
      </c>
      <c r="F615" s="2" t="s">
        <v>15</v>
      </c>
      <c r="G615" s="2" t="s">
        <v>715</v>
      </c>
      <c r="H615" s="2" t="s">
        <v>704</v>
      </c>
      <c r="I615" s="2" t="str">
        <f>IFERROR(__xludf.DUMMYFUNCTION("GOOGLETRANSLATE(C615,""fr"",""en"")"),"I explained to my interlocutor at April that I need specialists and interventions for my knee. He assured me that the cover option he recommended for me will be adapted to my care needs and that I will be completely reimbursed. However, obviously, he had "&amp;"not taken this need into account, because for the first appointment with my doctor for my knee, there was a lot for me to settle. In addition, he put the option for me to pay for the management fees, without explaining the consequence of this option. This"&amp;" option decreases reimbursement with each visit to the doctor, pharmacy, dentists, or even to glasses stores or other health providers. By adding this to the poor knee Specialist coverage April ended up repaying only 8% of the service. With this option, i"&amp;"t will be impossible for me to have the care intervention that I need to need, and without that, I risk being disabled! I was sold a coverage at a low price, but without meeting my needs, I ended up losing confidence and I wonder what other in the coverag"&amp;"e sold is not correspond to what was promised by phone !! I ask for a termination, because it is important to have confidence to insure my, but also to have a mutual that meets my care needs at an affordable price. I ask for a termination, because for the"&amp;" price, the coverage is not great. I was informed that it will be complicated! So, I have to fight to get out of this contract which does not meet my needs and which is already very expensive.")</f>
        <v>I explained to my interlocutor at April that I need specialists and interventions for my knee. He assured me that the cover option he recommended for me will be adapted to my care needs and that I will be completely reimbursed. However, obviously, he had not taken this need into account, because for the first appointment with my doctor for my knee, there was a lot for me to settle. In addition, he put the option for me to pay for the management fees, without explaining the consequence of this option. This option decreases reimbursement with each visit to the doctor, pharmacy, dentists, or even to glasses stores or other health providers. By adding this to the poor knee Specialist coverage April ended up repaying only 8% of the service. With this option, it will be impossible for me to have the care intervention that I need to need, and without that, I risk being disabled! I was sold a coverage at a low price, but without meeting my needs, I ended up losing confidence and I wonder what other in the coverage sold is not correspond to what was promised by phone !! I ask for a termination, because it is important to have confidence to insure my, but also to have a mutual that meets my care needs at an affordable price. I ask for a termination, because for the price, the coverage is not great. I was informed that it will be complicated! So, I have to fight to get out of this contract which does not meet my needs and which is already very expensive.</v>
      </c>
    </row>
    <row r="616" ht="15.75" customHeight="1">
      <c r="B616" s="2" t="s">
        <v>1731</v>
      </c>
      <c r="C616" s="2" t="s">
        <v>1732</v>
      </c>
      <c r="D616" s="2" t="s">
        <v>1591</v>
      </c>
      <c r="E616" s="2" t="s">
        <v>360</v>
      </c>
      <c r="F616" s="2" t="s">
        <v>15</v>
      </c>
      <c r="G616" s="2" t="s">
        <v>1733</v>
      </c>
      <c r="H616" s="2" t="s">
        <v>161</v>
      </c>
      <c r="I616" s="2" t="str">
        <f>IFERROR(__xludf.DUMMYFUNCTION("GOOGLETRANSLATE(C616,""fr"",""en"")"),"Registered with the Mutual Pets I have so far had no problem. But for some time since no response to my email. Inhoigable today by Tel. Delay in reimbursements. Not clear call for contributions")</f>
        <v>Registered with the Mutual Pets I have so far had no problem. But for some time since no response to my email. Inhoigable today by Tel. Delay in reimbursements. Not clear call for contributions</v>
      </c>
    </row>
    <row r="617" ht="15.75" customHeight="1">
      <c r="B617" s="2" t="s">
        <v>1734</v>
      </c>
      <c r="C617" s="2" t="s">
        <v>1735</v>
      </c>
      <c r="D617" s="2" t="s">
        <v>1591</v>
      </c>
      <c r="E617" s="2" t="s">
        <v>360</v>
      </c>
      <c r="F617" s="2" t="s">
        <v>15</v>
      </c>
      <c r="G617" s="2" t="s">
        <v>1736</v>
      </c>
      <c r="H617" s="2" t="s">
        <v>249</v>
      </c>
      <c r="I617" s="2" t="str">
        <f>IFERROR(__xludf.DUMMYFUNCTION("GOOGLETRANSLATE(C617,""fr"",""en"")"),"A cataling this mutual, responds next to the plate when it comes to reimbursement. Culture the file even though they tell us that an element is missing and therefore obliges us to make a request rather than adding the document to the file and the best is "&amp;"that the document ask already provided. An unacceptable long -term processing period (20 days to have a shameful response).
I do not recommend it to you at all and I will quickly tell them goodbye.")</f>
        <v>A cataling this mutual, responds next to the plate when it comes to reimbursement. Culture the file even though they tell us that an element is missing and therefore obliges us to make a request rather than adding the document to the file and the best is that the document ask already provided. An unacceptable long -term processing period (20 days to have a shameful response).
I do not recommend it to you at all and I will quickly tell them goodbye.</v>
      </c>
    </row>
    <row r="618" ht="15.75" customHeight="1">
      <c r="B618" s="2" t="s">
        <v>1737</v>
      </c>
      <c r="C618" s="2" t="s">
        <v>1738</v>
      </c>
      <c r="D618" s="2" t="s">
        <v>1591</v>
      </c>
      <c r="E618" s="2" t="s">
        <v>360</v>
      </c>
      <c r="F618" s="2" t="s">
        <v>15</v>
      </c>
      <c r="G618" s="2" t="s">
        <v>1739</v>
      </c>
      <c r="H618" s="2" t="s">
        <v>249</v>
      </c>
      <c r="I618" s="2" t="str">
        <f>IFERROR(__xludf.DUMMYFUNCTION("GOOGLETRANSLATE(C618,""fr"",""en"")"),"Hello so if I understood correctly if I use my vital or third party card paying several times in the month to adjust my generalist, the pharmacy, radios or analyzes I would have cumulative management fees at the end of the month or not?")</f>
        <v>Hello so if I understood correctly if I use my vital or third party card paying several times in the month to adjust my generalist, the pharmacy, radios or analyzes I would have cumulative management fees at the end of the month or not?</v>
      </c>
    </row>
    <row r="619" ht="15.75" customHeight="1">
      <c r="B619" s="2" t="s">
        <v>1740</v>
      </c>
      <c r="C619" s="2" t="s">
        <v>1741</v>
      </c>
      <c r="D619" s="2" t="s">
        <v>1591</v>
      </c>
      <c r="E619" s="2" t="s">
        <v>360</v>
      </c>
      <c r="F619" s="2" t="s">
        <v>15</v>
      </c>
      <c r="G619" s="2" t="s">
        <v>1742</v>
      </c>
      <c r="H619" s="2" t="s">
        <v>747</v>
      </c>
      <c r="I619" s="2" t="str">
        <f>IFERROR(__xludf.DUMMYFUNCTION("GOOGLETRANSLATE(C619,""fr"",""en"")"),"Excellent administrative functioning, but retired, watch out for pricing changes !!")</f>
        <v>Excellent administrative functioning, but retired, watch out for pricing changes !!</v>
      </c>
    </row>
    <row r="620" ht="15.75" customHeight="1">
      <c r="B620" s="2" t="s">
        <v>1743</v>
      </c>
      <c r="C620" s="2" t="s">
        <v>1744</v>
      </c>
      <c r="D620" s="2" t="s">
        <v>1591</v>
      </c>
      <c r="E620" s="2" t="s">
        <v>360</v>
      </c>
      <c r="F620" s="2" t="s">
        <v>15</v>
      </c>
      <c r="G620" s="2" t="s">
        <v>1745</v>
      </c>
      <c r="H620" s="2" t="s">
        <v>747</v>
      </c>
      <c r="I620" s="2" t="str">
        <f>IFERROR(__xludf.DUMMYFUNCTION("GOOGLETRANSLATE(C620,""fr"",""en"")"),"How to say a comment? If not that it is a not serious mutual")</f>
        <v>How to say a comment? If not that it is a not serious mutual</v>
      </c>
    </row>
    <row r="621" ht="15.75" customHeight="1">
      <c r="B621" s="2" t="s">
        <v>1746</v>
      </c>
      <c r="C621" s="2" t="s">
        <v>1747</v>
      </c>
      <c r="D621" s="2" t="s">
        <v>1591</v>
      </c>
      <c r="E621" s="2" t="s">
        <v>360</v>
      </c>
      <c r="F621" s="2" t="s">
        <v>15</v>
      </c>
      <c r="G621" s="2" t="s">
        <v>1748</v>
      </c>
      <c r="H621" s="2" t="s">
        <v>747</v>
      </c>
      <c r="I621" s="2" t="str">
        <f>IFERROR(__xludf.DUMMYFUNCTION("GOOGLETRANSLATE(C621,""fr"",""en"")"),"Everything is done so as not to be able to terminate easily, schedule transmitted late. No need to call for help, the advisers are against you.")</f>
        <v>Everything is done so as not to be able to terminate easily, schedule transmitted late. No need to call for help, the advisers are against you.</v>
      </c>
    </row>
    <row r="622" ht="15.75" customHeight="1">
      <c r="B622" s="2" t="s">
        <v>1749</v>
      </c>
      <c r="C622" s="2" t="s">
        <v>1750</v>
      </c>
      <c r="D622" s="2" t="s">
        <v>1591</v>
      </c>
      <c r="E622" s="2" t="s">
        <v>360</v>
      </c>
      <c r="F622" s="2" t="s">
        <v>15</v>
      </c>
      <c r="G622" s="2" t="s">
        <v>1751</v>
      </c>
      <c r="H622" s="2" t="s">
        <v>872</v>
      </c>
      <c r="I622" s="2" t="str">
        <f>IFERROR(__xludf.DUMMYFUNCTION("GOOGLETRANSLATE(C622,""fr"",""en"")"),"I had to leave April to regret to adhere to the mutual chosen by my employer. I highly recommend.")</f>
        <v>I had to leave April to regret to adhere to the mutual chosen by my employer. I highly recommend.</v>
      </c>
    </row>
    <row r="623" ht="15.75" customHeight="1">
      <c r="B623" s="2" t="s">
        <v>1752</v>
      </c>
      <c r="C623" s="2" t="s">
        <v>1753</v>
      </c>
      <c r="D623" s="2" t="s">
        <v>1591</v>
      </c>
      <c r="E623" s="2" t="s">
        <v>360</v>
      </c>
      <c r="F623" s="2" t="s">
        <v>15</v>
      </c>
      <c r="G623" s="2" t="s">
        <v>924</v>
      </c>
      <c r="H623" s="2" t="s">
        <v>21</v>
      </c>
      <c r="I623" s="2" t="str">
        <f>IFERROR(__xludf.DUMMYFUNCTION("GOOGLETRANSLATE(C623,""fr"",""en"")"),"Attractive for guarantees and the price compared to other mutuals. On the other hand, April passes quickly on the ""EURO EURO"" clause. With each telework, 2 euros in fees, which means that the reimbursements concerning you are always practically zero. Wh"&amp;"at is strong is that the remote transmission was designed to save paper. I change my mutual as soon as possible !!!")</f>
        <v>Attractive for guarantees and the price compared to other mutuals. On the other hand, April passes quickly on the "EURO EURO" clause. With each telework, 2 euros in fees, which means that the reimbursements concerning you are always practically zero. What is strong is that the remote transmission was designed to save paper. I change my mutual as soon as possible !!!</v>
      </c>
    </row>
    <row r="624" ht="15.75" customHeight="1">
      <c r="B624" s="2" t="s">
        <v>1754</v>
      </c>
      <c r="C624" s="2" t="s">
        <v>1755</v>
      </c>
      <c r="D624" s="2" t="s">
        <v>1591</v>
      </c>
      <c r="E624" s="2" t="s">
        <v>360</v>
      </c>
      <c r="F624" s="2" t="s">
        <v>15</v>
      </c>
      <c r="G624" s="2" t="s">
        <v>1756</v>
      </c>
      <c r="H624" s="2" t="s">
        <v>253</v>
      </c>
      <c r="I624" s="2" t="str">
        <f>IFERROR(__xludf.DUMMYFUNCTION("GOOGLETRANSLATE(C624,""fr"",""en"")"),"Since I sent a more response letter from their part neither email nor phone
And I just learned that they did not pay 990th in my pitchilization
The hospital has just told me that after multiple reality at April it's me to pay
I'm going to be April to p"&amp;"ay and they will do it")</f>
        <v>Since I sent a more response letter from their part neither email nor phone
And I just learned that they did not pay 990th in my pitchilization
The hospital has just told me that after multiple reality at April it's me to pay
I'm going to be April to pay and they will do it</v>
      </c>
    </row>
    <row r="625" ht="15.75" customHeight="1">
      <c r="B625" s="2" t="s">
        <v>1757</v>
      </c>
      <c r="C625" s="2" t="s">
        <v>1758</v>
      </c>
      <c r="D625" s="2" t="s">
        <v>1591</v>
      </c>
      <c r="E625" s="2" t="s">
        <v>360</v>
      </c>
      <c r="F625" s="2" t="s">
        <v>15</v>
      </c>
      <c r="G625" s="2" t="s">
        <v>1018</v>
      </c>
      <c r="H625" s="2" t="s">
        <v>253</v>
      </c>
      <c r="I625" s="2" t="str">
        <f>IFERROR(__xludf.DUMMYFUNCTION("GOOGLETRANSLATE(C625,""fr"",""en"")"),"Slowness processing of processing to collect one more monthly payment. He finds your phone just when you cut the samples. And this hides behind their rules bravo april they assures")</f>
        <v>Slowness processing of processing to collect one more monthly payment. He finds your phone just when you cut the samples. And this hides behind their rules bravo april they assures</v>
      </c>
    </row>
    <row r="626" ht="15.75" customHeight="1">
      <c r="B626" s="2" t="s">
        <v>1759</v>
      </c>
      <c r="C626" s="2" t="s">
        <v>1760</v>
      </c>
      <c r="D626" s="2" t="s">
        <v>1591</v>
      </c>
      <c r="E626" s="2" t="s">
        <v>360</v>
      </c>
      <c r="F626" s="2" t="s">
        <v>15</v>
      </c>
      <c r="G626" s="2" t="s">
        <v>1761</v>
      </c>
      <c r="H626" s="2" t="s">
        <v>253</v>
      </c>
      <c r="I626" s="2" t="str">
        <f>IFERROR(__xludf.DUMMYFUNCTION("GOOGLETRANSLATE(C626,""fr"",""en"")"),"To flee if you can. In bad faith, ready to do anything so as not to reimburse. Even allow themselves to require confidential medical information that they have no right to ask. Does not pay without ever bothering to make the customer shameful")</f>
        <v>To flee if you can. In bad faith, ready to do anything so as not to reimburse. Even allow themselves to require confidential medical information that they have no right to ask. Does not pay without ever bothering to make the customer shameful</v>
      </c>
    </row>
    <row r="627" ht="15.75" customHeight="1">
      <c r="B627" s="2" t="s">
        <v>1762</v>
      </c>
      <c r="C627" s="2" t="s">
        <v>1763</v>
      </c>
      <c r="D627" s="2" t="s">
        <v>1591</v>
      </c>
      <c r="E627" s="2" t="s">
        <v>360</v>
      </c>
      <c r="F627" s="2" t="s">
        <v>15</v>
      </c>
      <c r="G627" s="2" t="s">
        <v>1761</v>
      </c>
      <c r="H627" s="2" t="s">
        <v>253</v>
      </c>
      <c r="I627" s="2" t="str">
        <f>IFERROR(__xludf.DUMMYFUNCTION("GOOGLETRANSLATE(C627,""fr"",""en"")"),"Quality of communication, especially digital, which leaves something to be desired. The price which was attractive during canvassing is revalued very strongly later: in 2017 + 17 % compared to 2016 (1st year at April) and the 2018 price undergoes a new in"&amp;"crease of 6.62 %, much more than the average national which would be 2 to 3 %. It goes without saying that if 2019 should be of the same vein, I will not hesitate to make the competition play.")</f>
        <v>Quality of communication, especially digital, which leaves something to be desired. The price which was attractive during canvassing is revalued very strongly later: in 2017 + 17 % compared to 2016 (1st year at April) and the 2018 price undergoes a new increase of 6.62 %, much more than the average national which would be 2 to 3 %. It goes without saying that if 2019 should be of the same vein, I will not hesitate to make the competition play.</v>
      </c>
    </row>
    <row r="628" ht="15.75" customHeight="1">
      <c r="B628" s="2" t="s">
        <v>1764</v>
      </c>
      <c r="C628" s="2" t="s">
        <v>1765</v>
      </c>
      <c r="D628" s="2" t="s">
        <v>1591</v>
      </c>
      <c r="E628" s="2" t="s">
        <v>360</v>
      </c>
      <c r="F628" s="2" t="s">
        <v>15</v>
      </c>
      <c r="G628" s="2" t="s">
        <v>1766</v>
      </c>
      <c r="H628" s="2" t="s">
        <v>257</v>
      </c>
      <c r="I628" s="2" t="str">
        <f>IFERROR(__xludf.DUMMYFUNCTION("GOOGLETRANSLATE(C628,""fr"",""en"")"),"Do not answer on the phone, mail, emails .... as for repayments they arrive late, or never. TO FLEE ! They pay someone to answer you on this site here but do not follow up either. I have 2 friends who came to complain here .... at least I posted Internet "&amp;"users")</f>
        <v>Do not answer on the phone, mail, emails .... as for repayments they arrive late, or never. TO FLEE ! They pay someone to answer you on this site here but do not follow up either. I have 2 friends who came to complain here .... at least I posted Internet users</v>
      </c>
    </row>
    <row r="629" ht="15.75" customHeight="1">
      <c r="B629" s="2" t="s">
        <v>1767</v>
      </c>
      <c r="C629" s="2" t="s">
        <v>1768</v>
      </c>
      <c r="D629" s="2" t="s">
        <v>1591</v>
      </c>
      <c r="E629" s="2" t="s">
        <v>360</v>
      </c>
      <c r="F629" s="2" t="s">
        <v>15</v>
      </c>
      <c r="G629" s="2" t="s">
        <v>1769</v>
      </c>
      <c r="H629" s="2" t="s">
        <v>257</v>
      </c>
      <c r="I629" s="2" t="str">
        <f>IFERROR(__xludf.DUMMYFUNCTION("GOOGLETRANSLATE(C629,""fr"",""en"")"),"To flee ! Time -consuming termination procedure.
The recovery service (to claim money) more reactive than service in itself.
Follow the opinions made the skill.")</f>
        <v>To flee ! Time -consuming termination procedure.
The recovery service (to claim money) more reactive than service in itself.
Follow the opinions made the skill.</v>
      </c>
    </row>
    <row r="630" ht="15.75" customHeight="1">
      <c r="B630" s="2" t="s">
        <v>1770</v>
      </c>
      <c r="C630" s="2" t="s">
        <v>1771</v>
      </c>
      <c r="D630" s="2" t="s">
        <v>1591</v>
      </c>
      <c r="E630" s="2" t="s">
        <v>360</v>
      </c>
      <c r="F630" s="2" t="s">
        <v>15</v>
      </c>
      <c r="G630" s="2" t="s">
        <v>1772</v>
      </c>
      <c r="H630" s="2" t="s">
        <v>184</v>
      </c>
      <c r="I630" s="2" t="str">
        <f>IFERROR(__xludf.DUMMYFUNCTION("GOOGLETRANSLATE(C630,""fr"",""en"")"),"I just asked for the intervention of the district court. April refuses to pay me the compensation due I had to submit to the doctor expert April on convocation on July 16 3 months after the accident expertise Baclée no consultation or so little with a doc"&amp;"tor who does not listen to you April says he should give a Response 1 month after the expertise I was relaunched by recommended April I received a photocopy of this expertise full of false information at the end of September 2018 5 months after the accide"&amp;"nt I detail all the indisputable dysfunctions that I noted any answer a letter In October 2018 who announces that April gives himself 30 days to reflect on the situation I offer people who encounter this type of problem to contact me by email fosse-pascal"&amp;"@orange.fr")</f>
        <v>I just asked for the intervention of the district court. April refuses to pay me the compensation due I had to submit to the doctor expert April on convocation on July 16 3 months after the accident expertise Baclée no consultation or so little with a doctor who does not listen to you April says he should give a Response 1 month after the expertise I was relaunched by recommended April I received a photocopy of this expertise full of false information at the end of September 2018 5 months after the accident I detail all the indisputable dysfunctions that I noted any answer a letter In October 2018 who announces that April gives himself 30 days to reflect on the situation I offer people who encounter this type of problem to contact me by email fosse-pascal@orange.fr</v>
      </c>
    </row>
    <row r="631" ht="15.75" customHeight="1">
      <c r="B631" s="2" t="s">
        <v>1773</v>
      </c>
      <c r="C631" s="2" t="s">
        <v>1774</v>
      </c>
      <c r="D631" s="2" t="s">
        <v>1591</v>
      </c>
      <c r="E631" s="2" t="s">
        <v>360</v>
      </c>
      <c r="F631" s="2" t="s">
        <v>15</v>
      </c>
      <c r="G631" s="2" t="s">
        <v>1775</v>
      </c>
      <c r="H631" s="2" t="s">
        <v>41</v>
      </c>
      <c r="I631" s="2" t="str">
        <f>IFERROR(__xludf.DUMMYFUNCTION("GOOGLETRANSLATE(C631,""fr"",""en"")"),"I pay 110 €/month, abroad. Depending on the procedure, I took the photos of my medical invoices with my phone, then I shipped the documents via their application.
The next day I received as an answer: ""not reimbursed because we do not have the medical c"&amp;"onfidentiality certificate""
I would have clearly preferred to be able to send them all my documents by computer, without going through their reimbursement application which does not specify that it is necessary to ship the medical certificate of confide"&amp;"ntiality (and which made me waste my time). I am not surprised at what happens to me, I found curious people to send medical documents simply with my laptop to be reimbursed without shipping medical certificate.
I learn the reimbursement procedure by ser"&amp;"endipity ??
Besides, be aware that I have swelling in the neck and doctors want to make me pass a scanner and an emergency biopsy. When in doubt I canceled, because I prefer to spend my time and my money to please myself now! ??")</f>
        <v>I pay 110 €/month, abroad. Depending on the procedure, I took the photos of my medical invoices with my phone, then I shipped the documents via their application.
The next day I received as an answer: "not reimbursed because we do not have the medical confidentiality certificate"
I would have clearly preferred to be able to send them all my documents by computer, without going through their reimbursement application which does not specify that it is necessary to ship the medical certificate of confidentiality (and which made me waste my time). I am not surprised at what happens to me, I found curious people to send medical documents simply with my laptop to be reimbursed without shipping medical certificate.
I learn the reimbursement procedure by serendipity ??
Besides, be aware that I have swelling in the neck and doctors want to make me pass a scanner and an emergency biopsy. When in doubt I canceled, because I prefer to spend my time and my money to please myself now! ??</v>
      </c>
    </row>
    <row r="632" ht="15.75" customHeight="1">
      <c r="B632" s="2" t="s">
        <v>1776</v>
      </c>
      <c r="C632" s="2" t="s">
        <v>1777</v>
      </c>
      <c r="D632" s="2" t="s">
        <v>1591</v>
      </c>
      <c r="E632" s="2" t="s">
        <v>360</v>
      </c>
      <c r="F632" s="2" t="s">
        <v>15</v>
      </c>
      <c r="G632" s="2" t="s">
        <v>1778</v>
      </c>
      <c r="H632" s="2" t="s">
        <v>1040</v>
      </c>
      <c r="I632" s="2" t="str">
        <f>IFERROR(__xludf.DUMMYFUNCTION("GOOGLETRANSLATE(C632,""fr"",""en"")"),"A real hassle. Do not want to reimburse orthodentia costs while between me and my employer we pay more than € 200 per month. I clearly advise against.")</f>
        <v>A real hassle. Do not want to reimburse orthodentia costs while between me and my employer we pay more than € 200 per month. I clearly advise against.</v>
      </c>
    </row>
    <row r="633" ht="15.75" customHeight="1">
      <c r="B633" s="2" t="s">
        <v>1779</v>
      </c>
      <c r="C633" s="2" t="s">
        <v>1780</v>
      </c>
      <c r="D633" s="2" t="s">
        <v>1591</v>
      </c>
      <c r="E633" s="2" t="s">
        <v>360</v>
      </c>
      <c r="F633" s="2" t="s">
        <v>15</v>
      </c>
      <c r="G633" s="2" t="s">
        <v>296</v>
      </c>
      <c r="H633" s="2" t="s">
        <v>297</v>
      </c>
      <c r="I633" s="2" t="str">
        <f>IFERROR(__xludf.DUMMYFUNCTION("GOOGLETRANSLATE(C633,""fr"",""en"")"),"I am very happy with this mutual level guaranteed level reimbursement I am satisfied with customer service They generally answer fairly quickly")</f>
        <v>I am very happy with this mutual level guaranteed level reimbursement I am satisfied with customer service They generally answer fairly quickly</v>
      </c>
    </row>
    <row r="634" ht="15.75" customHeight="1">
      <c r="B634" s="2" t="s">
        <v>1781</v>
      </c>
      <c r="C634" s="2" t="s">
        <v>1782</v>
      </c>
      <c r="D634" s="2" t="s">
        <v>1591</v>
      </c>
      <c r="E634" s="2" t="s">
        <v>360</v>
      </c>
      <c r="F634" s="2" t="s">
        <v>15</v>
      </c>
      <c r="G634" s="2" t="s">
        <v>1783</v>
      </c>
      <c r="H634" s="2" t="s">
        <v>1113</v>
      </c>
      <c r="I634" s="2" t="str">
        <f>IFERROR(__xludf.DUMMYFUNCTION("GOOGLETRANSLATE(C634,""fr"",""en"")"),"To flee. Do not reimburse your care, only know how to puncture in your account and the day there is the slightest glitch, it sends you bailiff letters, telephonic harassment and seized in your account regardless of your situation. And you find yourself no"&amp;"t even being able to treat for months to come. One of my biggest error in my life.")</f>
        <v>To flee. Do not reimburse your care, only know how to puncture in your account and the day there is the slightest glitch, it sends you bailiff letters, telephonic harassment and seized in your account regardless of your situation. And you find yourself not even being able to treat for months to come. One of my biggest error in my life.</v>
      </c>
    </row>
    <row r="635" ht="15.75" customHeight="1">
      <c r="B635" s="2" t="s">
        <v>1784</v>
      </c>
      <c r="C635" s="2" t="s">
        <v>1785</v>
      </c>
      <c r="D635" s="2" t="s">
        <v>1591</v>
      </c>
      <c r="E635" s="2" t="s">
        <v>360</v>
      </c>
      <c r="F635" s="2" t="s">
        <v>15</v>
      </c>
      <c r="G635" s="2" t="s">
        <v>1113</v>
      </c>
      <c r="H635" s="2" t="s">
        <v>1113</v>
      </c>
      <c r="I635" s="2" t="str">
        <f>IFERROR(__xludf.DUMMYFUNCTION("GOOGLETRANSLATE(C635,""fr"",""en"")"),"Broker with more than dubious methods")</f>
        <v>Broker with more than dubious methods</v>
      </c>
    </row>
    <row r="636" ht="15.75" customHeight="1">
      <c r="B636" s="2" t="s">
        <v>1786</v>
      </c>
      <c r="C636" s="2" t="s">
        <v>1787</v>
      </c>
      <c r="D636" s="2" t="s">
        <v>1591</v>
      </c>
      <c r="E636" s="2" t="s">
        <v>360</v>
      </c>
      <c r="F636" s="2" t="s">
        <v>15</v>
      </c>
      <c r="G636" s="2" t="s">
        <v>1788</v>
      </c>
      <c r="H636" s="2" t="s">
        <v>49</v>
      </c>
      <c r="I636" s="2" t="str">
        <f>IFERROR(__xludf.DUMMYFUNCTION("GOOGLETRANSLATE(C636,""fr"",""en"")"),"I have a contract that I already pay € 93 per month and I was informed of an increase at 103 or 108 € for an evolutive 6 My deadline will be in February I will terminate and go to AGPM")</f>
        <v>I have a contract that I already pay € 93 per month and I was informed of an increase at 103 or 108 € for an evolutive 6 My deadline will be in February I will terminate and go to AGPM</v>
      </c>
    </row>
    <row r="637" ht="15.75" customHeight="1">
      <c r="B637" s="2" t="s">
        <v>1789</v>
      </c>
      <c r="C637" s="2" t="s">
        <v>1790</v>
      </c>
      <c r="D637" s="2" t="s">
        <v>1591</v>
      </c>
      <c r="E637" s="2" t="s">
        <v>360</v>
      </c>
      <c r="F637" s="2" t="s">
        <v>15</v>
      </c>
      <c r="G637" s="2" t="s">
        <v>1791</v>
      </c>
      <c r="H637" s="2" t="s">
        <v>212</v>
      </c>
      <c r="I637" s="2" t="str">
        <f>IFERROR(__xludf.DUMMYFUNCTION("GOOGLETRANSLATE(C637,""fr"",""en"")"),"Customer service to avoid! Hang up on the nose of his insured !!")</f>
        <v>Customer service to avoid! Hang up on the nose of his insured !!</v>
      </c>
    </row>
    <row r="638" ht="15.75" customHeight="1">
      <c r="B638" s="2" t="s">
        <v>1792</v>
      </c>
      <c r="C638" s="2" t="s">
        <v>1793</v>
      </c>
      <c r="D638" s="2" t="s">
        <v>1591</v>
      </c>
      <c r="E638" s="2" t="s">
        <v>360</v>
      </c>
      <c r="F638" s="2" t="s">
        <v>15</v>
      </c>
      <c r="G638" s="2" t="s">
        <v>1794</v>
      </c>
      <c r="H638" s="2" t="s">
        <v>212</v>
      </c>
      <c r="I638" s="2" t="str">
        <f>IFERROR(__xludf.DUMMYFUNCTION("GOOGLETRANSLATE(C638,""fr"",""en"")"),"My mother signed a complementary health contract at € 100 per month per phone, without really realizing it since she made a stroke. I explained the case to them when the termination period was widely exceeded, and they canceled the contract before startin"&amp;"g. Bravo and thank you to them.")</f>
        <v>My mother signed a complementary health contract at € 100 per month per phone, without really realizing it since she made a stroke. I explained the case to them when the termination period was widely exceeded, and they canceled the contract before starting. Bravo and thank you to them.</v>
      </c>
    </row>
    <row r="639" ht="15.75" customHeight="1">
      <c r="B639" s="2" t="s">
        <v>1795</v>
      </c>
      <c r="C639" s="2" t="s">
        <v>1796</v>
      </c>
      <c r="D639" s="2" t="s">
        <v>1591</v>
      </c>
      <c r="E639" s="2" t="s">
        <v>360</v>
      </c>
      <c r="F639" s="2" t="s">
        <v>15</v>
      </c>
      <c r="G639" s="2" t="s">
        <v>52</v>
      </c>
      <c r="H639" s="2" t="s">
        <v>53</v>
      </c>
      <c r="I639" s="2" t="str">
        <f>IFERROR(__xludf.DUMMYFUNCTION("GOOGLETRANSLATE(C639,""fr"",""en"")"),"catastrophic this company.
Increase 35% over one year.
Lamentable customer service.")</f>
        <v>catastrophic this company.
Increase 35% over one year.
Lamentable customer service.</v>
      </c>
    </row>
    <row r="640" ht="15.75" customHeight="1">
      <c r="B640" s="2" t="s">
        <v>1797</v>
      </c>
      <c r="C640" s="2" t="s">
        <v>1798</v>
      </c>
      <c r="D640" s="2" t="s">
        <v>1591</v>
      </c>
      <c r="E640" s="2" t="s">
        <v>360</v>
      </c>
      <c r="F640" s="2" t="s">
        <v>15</v>
      </c>
      <c r="G640" s="2" t="s">
        <v>1799</v>
      </c>
      <c r="H640" s="2" t="s">
        <v>219</v>
      </c>
      <c r="I640" s="2" t="str">
        <f>IFERROR(__xludf.DUMMYFUNCTION("GOOGLETRANSLATE(C640,""fr"",""en"")"),"Hello they are very long, to answer for quotes and do not answer. Not at requests when you have information.")</f>
        <v>Hello they are very long, to answer for quotes and do not answer. Not at requests when you have information.</v>
      </c>
    </row>
    <row r="641" ht="15.75" customHeight="1">
      <c r="B641" s="2" t="s">
        <v>1800</v>
      </c>
      <c r="C641" s="2" t="s">
        <v>1801</v>
      </c>
      <c r="D641" s="2" t="s">
        <v>1591</v>
      </c>
      <c r="E641" s="2" t="s">
        <v>360</v>
      </c>
      <c r="F641" s="2" t="s">
        <v>15</v>
      </c>
      <c r="G641" s="2" t="s">
        <v>1802</v>
      </c>
      <c r="H641" s="2" t="s">
        <v>1133</v>
      </c>
      <c r="I641" s="2" t="str">
        <f>IFERROR(__xludf.DUMMYFUNCTION("GOOGLETRANSLATE(C641,""fr"",""en"")"),"Without any scruples to graze by such and then at home for the elderly as my mother, 92, in order to take out a future contract and terminate their more advantageous mutual. I speak of abuse of weakness !! ASHAMED!")</f>
        <v>Without any scruples to graze by such and then at home for the elderly as my mother, 92, in order to take out a future contract and terminate their more advantageous mutual. I speak of abuse of weakness !! ASHAMED!</v>
      </c>
    </row>
    <row r="642" ht="15.75" customHeight="1">
      <c r="B642" s="2" t="s">
        <v>1803</v>
      </c>
      <c r="C642" s="2" t="s">
        <v>1804</v>
      </c>
      <c r="D642" s="2" t="s">
        <v>1591</v>
      </c>
      <c r="E642" s="2" t="s">
        <v>360</v>
      </c>
      <c r="F642" s="2" t="s">
        <v>15</v>
      </c>
      <c r="G642" s="2" t="s">
        <v>1805</v>
      </c>
      <c r="H642" s="2" t="s">
        <v>1806</v>
      </c>
      <c r="I642" s="2" t="str">
        <f>IFERROR(__xludf.DUMMYFUNCTION("GOOGLETRANSLATE(C642,""fr"",""en"")"),"This mutual insurance company refuses family portability is sent me the following text ""The maintenance of this coverage will not be able to benefit your beneficiaries, in particular your spouse and your children who cannot indeed claim the benefit of ar"&amp;"ticle 4 of the Evin law ""while in the text of the law quoted by April it is clearly marked that the conditions of exchange not: (the former employees) they benefit temporarily from the maintenance of these guarantees.")</f>
        <v>This mutual insurance company refuses family portability is sent me the following text "The maintenance of this coverage will not be able to benefit your beneficiaries, in particular your spouse and your children who cannot indeed claim the benefit of article 4 of the Evin law "while in the text of the law quoted by April it is clearly marked that the conditions of exchange not: (the former employees) they benefit temporarily from the maintenance of these guarantees.</v>
      </c>
    </row>
    <row r="643" ht="15.75" customHeight="1">
      <c r="B643" s="2" t="s">
        <v>1807</v>
      </c>
      <c r="C643" s="2" t="s">
        <v>1808</v>
      </c>
      <c r="D643" s="2" t="s">
        <v>1591</v>
      </c>
      <c r="E643" s="2" t="s">
        <v>360</v>
      </c>
      <c r="F643" s="2" t="s">
        <v>15</v>
      </c>
      <c r="G643" s="2" t="s">
        <v>1809</v>
      </c>
      <c r="H643" s="2" t="s">
        <v>1806</v>
      </c>
      <c r="I643" s="2" t="str">
        <f>IFERROR(__xludf.DUMMYFUNCTION("GOOGLETRANSLATE(C643,""fr"",""en"")"),"April is a good health mutual insurance company if you do not have a health problem.
For the rest, I advise to avoid them.
I have to have an operation in three weeks, and I still do not know what the amount of their care will be, despite two reminde"&amp;"rs to which they did not respond or even sent an acknowledgment of receipt.
In addition, their simulator gives me a derisory reimbursement, even though I am supposed to be reimbursed at 180 % of the BR of the Secu.
In short, I pay almost 40 euros pe"&amp;"r month for blurred and insufficient guarantees, with disappointing customer service.
This will also lead me to terminate this mutual insurance company at the next deadline.")</f>
        <v>April is a good health mutual insurance company if you do not have a health problem.
For the rest, I advise to avoid them.
I have to have an operation in three weeks, and I still do not know what the amount of their care will be, despite two reminders to which they did not respond or even sent an acknowledgment of receipt.
In addition, their simulator gives me a derisory reimbursement, even though I am supposed to be reimbursed at 180 % of the BR of the Secu.
In short, I pay almost 40 euros per month for blurred and insufficient guarantees, with disappointing customer service.
This will also lead me to terminate this mutual insurance company at the next deadline.</v>
      </c>
    </row>
    <row r="644" ht="15.75" customHeight="1">
      <c r="B644" s="2" t="s">
        <v>1810</v>
      </c>
      <c r="C644" s="2" t="s">
        <v>1811</v>
      </c>
      <c r="D644" s="2" t="s">
        <v>1591</v>
      </c>
      <c r="E644" s="2" t="s">
        <v>360</v>
      </c>
      <c r="F644" s="2" t="s">
        <v>15</v>
      </c>
      <c r="G644" s="2" t="s">
        <v>1812</v>
      </c>
      <c r="H644" s="2" t="s">
        <v>353</v>
      </c>
      <c r="I644" s="2" t="str">
        <f>IFERROR(__xludf.DUMMYFUNCTION("GOOGLETRANSLATE(C644,""fr"",""en"")"),"We see in April letters and emails that our password is recalled regularly, clear!
The complaint service has been informed but does not see the problem! It is a serious breach of customer data security. A shame in 2017.")</f>
        <v>We see in April letters and emails that our password is recalled regularly, clear!
The complaint service has been informed but does not see the problem! It is a serious breach of customer data security. A shame in 2017.</v>
      </c>
    </row>
    <row r="645" ht="15.75" customHeight="1">
      <c r="B645" s="2" t="s">
        <v>1813</v>
      </c>
      <c r="C645" s="2" t="s">
        <v>1814</v>
      </c>
      <c r="D645" s="2" t="s">
        <v>1591</v>
      </c>
      <c r="E645" s="2" t="s">
        <v>360</v>
      </c>
      <c r="F645" s="2" t="s">
        <v>15</v>
      </c>
      <c r="G645" s="2" t="s">
        <v>1815</v>
      </c>
      <c r="H645" s="2" t="s">
        <v>353</v>
      </c>
      <c r="I645" s="2" t="str">
        <f>IFERROR(__xludf.DUMMYFUNCTION("GOOGLETRANSLATE(C645,""fr"",""en"")"),"Flee this insurance which has no ethics: subscription of a health mutual to elderly people who already have one ... and more with electronic signature while the person does not have the internet or laptop. . We wonder how they do it !!!")</f>
        <v>Flee this insurance which has no ethics: subscription of a health mutual to elderly people who already have one ... and more with electronic signature while the person does not have the internet or laptop. . We wonder how they do it !!!</v>
      </c>
    </row>
    <row r="646" ht="15.75" customHeight="1">
      <c r="B646" s="2" t="s">
        <v>1816</v>
      </c>
      <c r="C646" s="2" t="s">
        <v>1817</v>
      </c>
      <c r="D646" s="2" t="s">
        <v>1591</v>
      </c>
      <c r="E646" s="2" t="s">
        <v>360</v>
      </c>
      <c r="F646" s="2" t="s">
        <v>15</v>
      </c>
      <c r="G646" s="2" t="s">
        <v>1818</v>
      </c>
      <c r="H646" s="2" t="s">
        <v>353</v>
      </c>
      <c r="I646" s="2" t="str">
        <f>IFERROR(__xludf.DUMMYFUNCTION("GOOGLETRANSLATE(C646,""fr"",""en"")"),"a question
By signing a mutual health contract on December 31. The insurance company can apply an increase on January 1 if possible an answer by email jaemartin@yahou.fr")</f>
        <v>a question
By signing a mutual health contract on December 31. The insurance company can apply an increase on January 1 if possible an answer by email jaemartin@yahou.fr</v>
      </c>
    </row>
    <row r="647" ht="15.75" customHeight="1">
      <c r="B647" s="2" t="s">
        <v>1819</v>
      </c>
      <c r="C647" s="2" t="s">
        <v>1820</v>
      </c>
      <c r="D647" s="2" t="s">
        <v>1591</v>
      </c>
      <c r="E647" s="2" t="s">
        <v>360</v>
      </c>
      <c r="F647" s="2" t="s">
        <v>15</v>
      </c>
      <c r="G647" s="2" t="s">
        <v>1821</v>
      </c>
      <c r="H647" s="2" t="s">
        <v>234</v>
      </c>
      <c r="I647" s="2" t="str">
        <f>IFERROR(__xludf.DUMMYFUNCTION("GOOGLETRANSLATE(C647,""fr"",""en"")"),"Insurance to ban - we have this insurance, because contracted by the company therefore compulsory (what a pity !!)")</f>
        <v>Insurance to ban - we have this insurance, because contracted by the company therefore compulsory (what a pity !!)</v>
      </c>
    </row>
    <row r="648" ht="15.75" customHeight="1">
      <c r="B648" s="2" t="s">
        <v>1822</v>
      </c>
      <c r="C648" s="2" t="s">
        <v>1823</v>
      </c>
      <c r="D648" s="2" t="s">
        <v>1591</v>
      </c>
      <c r="E648" s="2" t="s">
        <v>360</v>
      </c>
      <c r="F648" s="2" t="s">
        <v>15</v>
      </c>
      <c r="G648" s="2" t="s">
        <v>1824</v>
      </c>
      <c r="H648" s="2" t="s">
        <v>234</v>
      </c>
      <c r="I648" s="2" t="str">
        <f>IFERROR(__xludf.DUMMYFUNCTION("GOOGLETRANSLATE(C648,""fr"",""en"")"),"Morning,
I just read in the opinions that Pril is not subject to the Chatel law ??? Whether there are age groups that apply to the contract when the salesperson has just told me that no ... Is it just for subscription or every year?
I find all the relat"&amp;"ively opaque proposals: we must think about asking the right questions to the right person!
To retirement on January 1, 2017, I was thinking of subscribing to it
But what about the right contract and the right person.
The ""broker"" always seems perfec"&amp;"t at the time of subscription, except that it is no longer he who manages behind, if I understood correctly through the various opinions read here ???
April to do offices in France, depends on French legislation in the event of a problem ???
Who can inf"&amp;"orm me quickly?
Thanks in advance
")</f>
        <v>Morning,
I just read in the opinions that Pril is not subject to the Chatel law ??? Whether there are age groups that apply to the contract when the salesperson has just told me that no ... Is it just for subscription or every year?
I find all the relatively opaque proposals: we must think about asking the right questions to the right person!
To retirement on January 1, 2017, I was thinking of subscribing to it
But what about the right contract and the right person.
The "broker" always seems perfect at the time of subscription, except that it is no longer he who manages behind, if I understood correctly through the various opinions read here ???
April to do offices in France, depends on French legislation in the event of a problem ???
Who can inform me quickly?
Thanks in advance
</v>
      </c>
    </row>
    <row r="649" ht="15.75" customHeight="1">
      <c r="B649" s="2" t="s">
        <v>1825</v>
      </c>
      <c r="C649" s="2" t="s">
        <v>1826</v>
      </c>
      <c r="D649" s="2" t="s">
        <v>1827</v>
      </c>
      <c r="E649" s="2" t="s">
        <v>360</v>
      </c>
      <c r="F649" s="2" t="s">
        <v>15</v>
      </c>
      <c r="G649" s="2" t="s">
        <v>1828</v>
      </c>
      <c r="H649" s="2" t="s">
        <v>105</v>
      </c>
      <c r="I649" s="2" t="str">
        <f>IFERROR(__xludf.DUMMYFUNCTION("GOOGLETRANSLATE(C649,""fr"",""en"")"),"I strongly advise against too much telephone, too much service, too much black it is not going quickly except to have signed and then you are blocked 1 years I do not recommend.")</f>
        <v>I strongly advise against too much telephone, too much service, too much black it is not going quickly except to have signed and then you are blocked 1 years I do not recommend.</v>
      </c>
    </row>
    <row r="650" ht="15.75" customHeight="1">
      <c r="B650" s="2" t="s">
        <v>1829</v>
      </c>
      <c r="C650" s="2" t="s">
        <v>1830</v>
      </c>
      <c r="D650" s="2" t="s">
        <v>1827</v>
      </c>
      <c r="E650" s="2" t="s">
        <v>360</v>
      </c>
      <c r="F650" s="2" t="s">
        <v>15</v>
      </c>
      <c r="G650" s="2" t="s">
        <v>1831</v>
      </c>
      <c r="H650" s="2" t="s">
        <v>1187</v>
      </c>
      <c r="I650" s="2" t="str">
        <f>IFERROR(__xludf.DUMMYFUNCTION("GOOGLETRANSLATE(C650,""fr"",""en"")"),"A real disaster with this mutual that I took on 01/01/2021. Refunds are made after 3 to 4 weeks compared to the date of reimbursement of health insurance, although remote transmission is in place, but provided you have revived several times. I of course t"&amp;"erminated at 12/31/2021. TO AVOID !!!!")</f>
        <v>A real disaster with this mutual that I took on 01/01/2021. Refunds are made after 3 to 4 weeks compared to the date of reimbursement of health insurance, although remote transmission is in place, but provided you have revived several times. I of course terminated at 12/31/2021. TO AVOID !!!!</v>
      </c>
    </row>
    <row r="651" ht="15.75" customHeight="1">
      <c r="B651" s="2" t="s">
        <v>1832</v>
      </c>
      <c r="C651" s="2" t="s">
        <v>1833</v>
      </c>
      <c r="D651" s="2" t="s">
        <v>1827</v>
      </c>
      <c r="E651" s="2" t="s">
        <v>360</v>
      </c>
      <c r="F651" s="2" t="s">
        <v>15</v>
      </c>
      <c r="G651" s="2" t="s">
        <v>1834</v>
      </c>
      <c r="H651" s="2" t="s">
        <v>1187</v>
      </c>
      <c r="I651" s="2" t="str">
        <f>IFERROR(__xludf.DUMMYFUNCTION("GOOGLETRANSLATE(C651,""fr"",""en"")"),"Very attentive and very responsive. I recommend this insurance. Customer service is very easily reachable and immediately settles a complaint")</f>
        <v>Very attentive and very responsive. I recommend this insurance. Customer service is very easily reachable and immediately settles a complaint</v>
      </c>
    </row>
    <row r="652" ht="15.75" customHeight="1">
      <c r="B652" s="2" t="s">
        <v>1835</v>
      </c>
      <c r="C652" s="2" t="s">
        <v>1836</v>
      </c>
      <c r="D652" s="2" t="s">
        <v>1827</v>
      </c>
      <c r="E652" s="2" t="s">
        <v>360</v>
      </c>
      <c r="F652" s="2" t="s">
        <v>15</v>
      </c>
      <c r="G652" s="2" t="s">
        <v>1837</v>
      </c>
      <c r="H652" s="2" t="s">
        <v>397</v>
      </c>
      <c r="I652" s="2" t="str">
        <f>IFERROR(__xludf.DUMMYFUNCTION("GOOGLETRANSLATE(C652,""fr"",""en"")"),"I had Emeline on the phone for a remote transmission problem and she was able to inform me on what was wrong and about the process to follow. I am very satisfied.")</f>
        <v>I had Emeline on the phone for a remote transmission problem and she was able to inform me on what was wrong and about the process to follow. I am very satisfied.</v>
      </c>
    </row>
    <row r="653" ht="15.75" customHeight="1">
      <c r="B653" s="2" t="s">
        <v>1838</v>
      </c>
      <c r="C653" s="2" t="s">
        <v>1839</v>
      </c>
      <c r="D653" s="2" t="s">
        <v>1827</v>
      </c>
      <c r="E653" s="2" t="s">
        <v>360</v>
      </c>
      <c r="F653" s="2" t="s">
        <v>15</v>
      </c>
      <c r="G653" s="2" t="s">
        <v>1840</v>
      </c>
      <c r="H653" s="2" t="s">
        <v>362</v>
      </c>
      <c r="I653" s="2" t="str">
        <f>IFERROR(__xludf.DUMMYFUNCTION("GOOGLETRANSLATE(C653,""fr"",""en"")"),"Hello, we were received by Ramata, who gave us full satisfaction on all the questions we asked him as well as all the information requested.
Very pleasant contact with this person. Thank you. Chauveau")</f>
        <v>Hello, we were received by Ramata, who gave us full satisfaction on all the questions we asked him as well as all the information requested.
Very pleasant contact with this person. Thank you. Chauveau</v>
      </c>
    </row>
    <row r="654" ht="15.75" customHeight="1">
      <c r="B654" s="2" t="s">
        <v>1841</v>
      </c>
      <c r="C654" s="2" t="s">
        <v>1842</v>
      </c>
      <c r="D654" s="2" t="s">
        <v>1827</v>
      </c>
      <c r="E654" s="2" t="s">
        <v>360</v>
      </c>
      <c r="F654" s="2" t="s">
        <v>15</v>
      </c>
      <c r="G654" s="2" t="s">
        <v>1602</v>
      </c>
      <c r="H654" s="2" t="s">
        <v>362</v>
      </c>
      <c r="I654" s="2" t="str">
        <f>IFERROR(__xludf.DUMMYFUNCTION("GOOGLETRANSLATE(C654,""fr"",""en"")"),"This day October 28 I have telephonized for a request for care I was in contact with Sokhna that I thank? I was very satisfied with its welcome the information I have had and its effectiveness
Thank you a lot")</f>
        <v>This day October 28 I have telephonized for a request for care I was in contact with Sokhna that I thank? I was very satisfied with its welcome the information I have had and its effectiveness
Thank you a lot</v>
      </c>
    </row>
    <row r="655" ht="15.75" customHeight="1">
      <c r="B655" s="2" t="s">
        <v>1843</v>
      </c>
      <c r="C655" s="2" t="s">
        <v>1844</v>
      </c>
      <c r="D655" s="2" t="s">
        <v>1827</v>
      </c>
      <c r="E655" s="2" t="s">
        <v>360</v>
      </c>
      <c r="F655" s="2" t="s">
        <v>15</v>
      </c>
      <c r="G655" s="2" t="s">
        <v>1602</v>
      </c>
      <c r="H655" s="2" t="s">
        <v>362</v>
      </c>
      <c r="I655" s="2" t="str">
        <f>IFERROR(__xludf.DUMMYFUNCTION("GOOGLETRANSLATE(C655,""fr"",""en"")"),"hello
Founded by Rawane, with kindness, responded to my requests about reimbursements that were late.
His answers were clear.")</f>
        <v>hello
Founded by Rawane, with kindness, responded to my requests about reimbursements that were late.
His answers were clear.</v>
      </c>
    </row>
    <row r="656" ht="15.75" customHeight="1">
      <c r="B656" s="2" t="s">
        <v>1845</v>
      </c>
      <c r="C656" s="2" t="s">
        <v>1846</v>
      </c>
      <c r="D656" s="2" t="s">
        <v>1827</v>
      </c>
      <c r="E656" s="2" t="s">
        <v>360</v>
      </c>
      <c r="F656" s="2" t="s">
        <v>15</v>
      </c>
      <c r="G656" s="2" t="s">
        <v>361</v>
      </c>
      <c r="H656" s="2" t="s">
        <v>362</v>
      </c>
      <c r="I656" s="2" t="str">
        <f>IFERROR(__xludf.DUMMYFUNCTION("GOOGLETRANSLATE(C656,""fr"",""en"")"),"Mr Daouda was attentive to my requests and took the time to answer me correctly as well as to explain myself how to use the reimbursement request service without losing patience.")</f>
        <v>Mr Daouda was attentive to my requests and took the time to answer me correctly as well as to explain myself how to use the reimbursement request service without losing patience.</v>
      </c>
    </row>
    <row r="657" ht="15.75" customHeight="1">
      <c r="B657" s="2" t="s">
        <v>1847</v>
      </c>
      <c r="C657" s="2" t="s">
        <v>1848</v>
      </c>
      <c r="D657" s="2" t="s">
        <v>1827</v>
      </c>
      <c r="E657" s="2" t="s">
        <v>360</v>
      </c>
      <c r="F657" s="2" t="s">
        <v>15</v>
      </c>
      <c r="G657" s="2" t="s">
        <v>1614</v>
      </c>
      <c r="H657" s="2" t="s">
        <v>362</v>
      </c>
      <c r="I657" s="2" t="str">
        <f>IFERROR(__xludf.DUMMYFUNCTION("GOOGLETRANSLATE(C657,""fr"",""en"")"),"The reimbursements practiced by Neoliane did not satisfy me, however, with each call, the interlocutors are very courteous and polished in particular Daouda that I had on the phone today and who knew how to inform me very professional with a lot of patien"&amp;"ce. Thank you Daouda.")</f>
        <v>The reimbursements practiced by Neoliane did not satisfy me, however, with each call, the interlocutors are very courteous and polished in particular Daouda that I had on the phone today and who knew how to inform me very professional with a lot of patience. Thank you Daouda.</v>
      </c>
    </row>
    <row r="658" ht="15.75" customHeight="1">
      <c r="B658" s="2" t="s">
        <v>1849</v>
      </c>
      <c r="C658" s="2" t="s">
        <v>1850</v>
      </c>
      <c r="D658" s="2" t="s">
        <v>1827</v>
      </c>
      <c r="E658" s="2" t="s">
        <v>360</v>
      </c>
      <c r="F658" s="2" t="s">
        <v>15</v>
      </c>
      <c r="G658" s="2" t="s">
        <v>1623</v>
      </c>
      <c r="H658" s="2" t="s">
        <v>362</v>
      </c>
      <c r="I658" s="2" t="str">
        <f>IFERROR(__xludf.DUMMYFUNCTION("GOOGLETRANSLATE(C658,""fr"",""en"")"),"I am satisfied with the guarantees proposed by the mutual. Having contacted customer service on several occasions, the interlocutors are always attentive to requests and offer suitable solutions. Thanks to them for their professionalism.")</f>
        <v>I am satisfied with the guarantees proposed by the mutual. Having contacted customer service on several occasions, the interlocutors are always attentive to requests and offer suitable solutions. Thanks to them for their professionalism.</v>
      </c>
    </row>
    <row r="659" ht="15.75" customHeight="1">
      <c r="B659" s="2" t="s">
        <v>1851</v>
      </c>
      <c r="C659" s="2" t="s">
        <v>1852</v>
      </c>
      <c r="D659" s="2" t="s">
        <v>1827</v>
      </c>
      <c r="E659" s="2" t="s">
        <v>360</v>
      </c>
      <c r="F659" s="2" t="s">
        <v>15</v>
      </c>
      <c r="G659" s="2" t="s">
        <v>1623</v>
      </c>
      <c r="H659" s="2" t="s">
        <v>362</v>
      </c>
      <c r="I659" s="2" t="str">
        <f>IFERROR(__xludf.DUMMYFUNCTION("GOOGLETRANSLATE(C659,""fr"",""en"")"),"Neoliane, it is a mutual that serves nothing, I registered with Neoliane on the first month they made a normal levy, the second month they are deducted double what my proposed, are not even reimbursing the costs of medicine, he pharmacies they refused thi"&amp;"s mutual, so they tried to join them on the phone it does not even answer, it is a mutual to avoid because these serious steps,")</f>
        <v>Neoliane, it is a mutual that serves nothing, I registered with Neoliane on the first month they made a normal levy, the second month they are deducted double what my proposed, are not even reimbursing the costs of medicine, he pharmacies they refused this mutual, so they tried to join them on the phone it does not even answer, it is a mutual to avoid because these serious steps,</v>
      </c>
    </row>
    <row r="660" ht="15.75" customHeight="1">
      <c r="B660" s="2" t="s">
        <v>1853</v>
      </c>
      <c r="C660" s="2" t="s">
        <v>1854</v>
      </c>
      <c r="D660" s="2" t="s">
        <v>1827</v>
      </c>
      <c r="E660" s="2" t="s">
        <v>360</v>
      </c>
      <c r="F660" s="2" t="s">
        <v>15</v>
      </c>
      <c r="G660" s="2" t="s">
        <v>1628</v>
      </c>
      <c r="H660" s="2" t="s">
        <v>362</v>
      </c>
      <c r="I660" s="2" t="str">
        <f>IFERROR(__xludf.DUMMYFUNCTION("GOOGLETRANSLATE(C660,""fr"",""en"")"),"Very satisfied with the response of Diallo Ave Amability and knowing how to make it fun to be in communications with competent staff again thank you")</f>
        <v>Very satisfied with the response of Diallo Ave Amability and knowing how to make it fun to be in communications with competent staff again thank you</v>
      </c>
    </row>
    <row r="661" ht="15.75" customHeight="1">
      <c r="B661" s="2" t="s">
        <v>1855</v>
      </c>
      <c r="C661" s="2" t="s">
        <v>1856</v>
      </c>
      <c r="D661" s="2" t="s">
        <v>1827</v>
      </c>
      <c r="E661" s="2" t="s">
        <v>360</v>
      </c>
      <c r="F661" s="2" t="s">
        <v>15</v>
      </c>
      <c r="G661" s="2" t="s">
        <v>1628</v>
      </c>
      <c r="H661" s="2" t="s">
        <v>362</v>
      </c>
      <c r="I661" s="2" t="str">
        <f>IFERROR(__xludf.DUMMYFUNCTION("GOOGLETRANSLATE(C661,""fr"",""en"")"),"Emeline was extra with kindness of understanding and problem solving, just like her colleague that I had had before, in the same day.
Thank you ladies for your patience and co -isser
good luck")</f>
        <v>Emeline was extra with kindness of understanding and problem solving, just like her colleague that I had had before, in the same day.
Thank you ladies for your patience and co -isser
good luck</v>
      </c>
    </row>
    <row r="662" ht="15.75" customHeight="1">
      <c r="B662" s="2" t="s">
        <v>1857</v>
      </c>
      <c r="C662" s="2" t="s">
        <v>1858</v>
      </c>
      <c r="D662" s="2" t="s">
        <v>1827</v>
      </c>
      <c r="E662" s="2" t="s">
        <v>360</v>
      </c>
      <c r="F662" s="2" t="s">
        <v>15</v>
      </c>
      <c r="G662" s="2" t="s">
        <v>367</v>
      </c>
      <c r="H662" s="2" t="s">
        <v>362</v>
      </c>
      <c r="I662" s="2" t="str">
        <f>IFERROR(__xludf.DUMMYFUNCTION("GOOGLETRANSLATE(C662,""fr"",""en"")"),"My opinion on Emeline
Very nice home
Very clear explanation
Good listening quality
On the insurer, there is nothing particular except a remark concerning the management of dental care")</f>
        <v>My opinion on Emeline
Very nice home
Very clear explanation
Good listening quality
On the insurer, there is nothing particular except a remark concerning the management of dental care</v>
      </c>
    </row>
    <row r="663" ht="15.75" customHeight="1">
      <c r="B663" s="2" t="s">
        <v>1859</v>
      </c>
      <c r="C663" s="2" t="s">
        <v>1860</v>
      </c>
      <c r="D663" s="2" t="s">
        <v>1827</v>
      </c>
      <c r="E663" s="2" t="s">
        <v>360</v>
      </c>
      <c r="F663" s="2" t="s">
        <v>15</v>
      </c>
      <c r="G663" s="2" t="s">
        <v>367</v>
      </c>
      <c r="H663" s="2" t="s">
        <v>362</v>
      </c>
      <c r="I663" s="2" t="str">
        <f>IFERROR(__xludf.DUMMYFUNCTION("GOOGLETRANSLATE(C663,""fr"",""en"")"),"Having a problem of termination about another insurer, I would like to thank Neoliane in advance as well as Ms. Khadidiatou in order to clarify this dispute.")</f>
        <v>Having a problem of termination about another insurer, I would like to thank Neoliane in advance as well as Ms. Khadidiatou in order to clarify this dispute.</v>
      </c>
    </row>
    <row r="664" ht="15.75" customHeight="1">
      <c r="B664" s="2" t="s">
        <v>1861</v>
      </c>
      <c r="C664" s="2" t="s">
        <v>1862</v>
      </c>
      <c r="D664" s="2" t="s">
        <v>1827</v>
      </c>
      <c r="E664" s="2" t="s">
        <v>360</v>
      </c>
      <c r="F664" s="2" t="s">
        <v>15</v>
      </c>
      <c r="G664" s="2" t="s">
        <v>374</v>
      </c>
      <c r="H664" s="2" t="s">
        <v>362</v>
      </c>
      <c r="I664" s="2" t="str">
        <f>IFERROR(__xludf.DUMMYFUNCTION("GOOGLETRANSLATE(C664,""fr"",""en"")"),"I have been a customer since July 2020. First experience in September 2020, a disastrous request for an optician partner Carte blanche guaranteed Prysme. The assurance made me go around in circles for two months, without reimbursing the option of the PRYS"&amp;"ME warranty. Today the problem is repeated. There are still not up to you to submit the list of opticians to your region for the same guarantee. Now the reason is the change in logitality that does not allow you to find the list of opticians and this sinc"&amp;"e January 202. The solution is to go around opticians to what you find one. Second, they scratched my children from the contract without having informed me or even sent me the reasons since this year. But the request for feature in early January 2021, the"&amp;"y were well in registration. On my account nothing changed, they are still in regist. No one feels responsible, only words. Insurance to avoid if you don't want problems. Unheard of for 40 years.")</f>
        <v>I have been a customer since July 2020. First experience in September 2020, a disastrous request for an optician partner Carte blanche guaranteed Prysme. The assurance made me go around in circles for two months, without reimbursing the option of the PRYSME warranty. Today the problem is repeated. There are still not up to you to submit the list of opticians to your region for the same guarantee. Now the reason is the change in logitality that does not allow you to find the list of opticians and this since January 202. The solution is to go around opticians to what you find one. Second, they scratched my children from the contract without having informed me or even sent me the reasons since this year. But the request for feature in early January 2021, they were well in registration. On my account nothing changed, they are still in regist. No one feels responsible, only words. Insurance to avoid if you don't want problems. Unheard of for 40 years.</v>
      </c>
    </row>
    <row r="665" ht="15.75" customHeight="1">
      <c r="B665" s="2" t="s">
        <v>1863</v>
      </c>
      <c r="C665" s="2" t="s">
        <v>1864</v>
      </c>
      <c r="D665" s="2" t="s">
        <v>1827</v>
      </c>
      <c r="E665" s="2" t="s">
        <v>360</v>
      </c>
      <c r="F665" s="2" t="s">
        <v>15</v>
      </c>
      <c r="G665" s="2" t="s">
        <v>377</v>
      </c>
      <c r="H665" s="2" t="s">
        <v>362</v>
      </c>
      <c r="I665" s="2" t="str">
        <f>IFERROR(__xludf.DUMMYFUNCTION("GOOGLETRANSLATE(C665,""fr"",""en"")"),"Very quickly put in relation
Competent person who answered my questions.
I thank Maria for her professionalism and her kindness on the phone
")</f>
        <v>Very quickly put in relation
Competent person who answered my questions.
I thank Maria for her professionalism and her kindness on the phone
</v>
      </c>
    </row>
    <row r="666" ht="15.75" customHeight="1">
      <c r="B666" s="2" t="s">
        <v>1865</v>
      </c>
      <c r="C666" s="2" t="s">
        <v>1866</v>
      </c>
      <c r="D666" s="2" t="s">
        <v>1827</v>
      </c>
      <c r="E666" s="2" t="s">
        <v>360</v>
      </c>
      <c r="F666" s="2" t="s">
        <v>15</v>
      </c>
      <c r="G666" s="2" t="s">
        <v>380</v>
      </c>
      <c r="H666" s="2" t="s">
        <v>362</v>
      </c>
      <c r="I666" s="2" t="str">
        <f>IFERROR(__xludf.DUMMYFUNCTION("GOOGLETRANSLATE(C666,""fr"",""en"")")," Received by ""Maria"", for my first telephone request, I am satisfied with the answers provided to my request, and the kindness and kindness of this person. Thank you so much.")</f>
        <v> Received by "Maria", for my first telephone request, I am satisfied with the answers provided to my request, and the kindness and kindness of this person. Thank you so much.</v>
      </c>
    </row>
    <row r="667" ht="15.75" customHeight="1">
      <c r="B667" s="2" t="s">
        <v>1867</v>
      </c>
      <c r="C667" s="2" t="s">
        <v>1868</v>
      </c>
      <c r="D667" s="2" t="s">
        <v>1827</v>
      </c>
      <c r="E667" s="2" t="s">
        <v>360</v>
      </c>
      <c r="F667" s="2" t="s">
        <v>15</v>
      </c>
      <c r="G667" s="2" t="s">
        <v>383</v>
      </c>
      <c r="H667" s="2" t="s">
        <v>362</v>
      </c>
      <c r="I667" s="2" t="str">
        <f>IFERROR(__xludf.DUMMYFUNCTION("GOOGLETRANSLATE(C667,""fr"",""en"")"),"Good interpersonal skills with the customer who regularizes me with the first connection and currently waiting for an adjustment for my sample.
Mention in Aboubakar.
")</f>
        <v>Good interpersonal skills with the customer who regularizes me with the first connection and currently waiting for an adjustment for my sample.
Mention in Aboubakar.
</v>
      </c>
    </row>
    <row r="668" ht="15.75" customHeight="1">
      <c r="B668" s="2" t="s">
        <v>1869</v>
      </c>
      <c r="C668" s="2" t="s">
        <v>1870</v>
      </c>
      <c r="D668" s="2" t="s">
        <v>1827</v>
      </c>
      <c r="E668" s="2" t="s">
        <v>360</v>
      </c>
      <c r="F668" s="2" t="s">
        <v>15</v>
      </c>
      <c r="G668" s="2" t="s">
        <v>383</v>
      </c>
      <c r="H668" s="2" t="s">
        <v>362</v>
      </c>
      <c r="I668" s="2" t="str">
        <f>IFERROR(__xludf.DUMMYFUNCTION("GOOGLETRANSLATE(C668,""fr"",""en"")"),"Very warm telephone
Very competent advisor
A little lost to transmit a document everything went well
New member from January 2022")</f>
        <v>Very warm telephone
Very competent advisor
A little lost to transmit a document everything went well
New member from January 2022</v>
      </c>
    </row>
    <row r="669" ht="15.75" customHeight="1">
      <c r="B669" s="2" t="s">
        <v>1871</v>
      </c>
      <c r="C669" s="2" t="s">
        <v>1872</v>
      </c>
      <c r="D669" s="2" t="s">
        <v>1827</v>
      </c>
      <c r="E669" s="2" t="s">
        <v>360</v>
      </c>
      <c r="F669" s="2" t="s">
        <v>15</v>
      </c>
      <c r="G669" s="2" t="s">
        <v>386</v>
      </c>
      <c r="H669" s="2" t="s">
        <v>362</v>
      </c>
      <c r="I669" s="2" t="str">
        <f>IFERROR(__xludf.DUMMYFUNCTION("GOOGLETRANSLATE(C669,""fr"",""en"")"),"Hello ,
I needed information concerning my neoliane health contract for my queue Léa Tim Tim Tim who has just been 18 years old, my interlocutor Mariama took care of my request and explained to me what I had to do, thank you.")</f>
        <v>Hello ,
I needed information concerning my neoliane health contract for my queue Léa Tim Tim Tim who has just been 18 years old, my interlocutor Mariama took care of my request and explained to me what I had to do, thank you.</v>
      </c>
    </row>
    <row r="670" ht="15.75" customHeight="1">
      <c r="B670" s="2" t="s">
        <v>1873</v>
      </c>
      <c r="C670" s="2" t="s">
        <v>1874</v>
      </c>
      <c r="D670" s="2" t="s">
        <v>1827</v>
      </c>
      <c r="E670" s="2" t="s">
        <v>360</v>
      </c>
      <c r="F670" s="2" t="s">
        <v>15</v>
      </c>
      <c r="G670" s="2" t="s">
        <v>386</v>
      </c>
      <c r="H670" s="2" t="s">
        <v>362</v>
      </c>
      <c r="I670" s="2" t="str">
        <f>IFERROR(__xludf.DUMMYFUNCTION("GOOGLETRANSLATE(C670,""fr"",""en"")"),"Fall receives a score of 5/5 on my part for our telephone interview and results
I am totally satisfied with his competence and his kindness")</f>
        <v>Fall receives a score of 5/5 on my part for our telephone interview and results
I am totally satisfied with his competence and his kindness</v>
      </c>
    </row>
    <row r="671" ht="15.75" customHeight="1">
      <c r="B671" s="2" t="s">
        <v>1875</v>
      </c>
      <c r="C671" s="2" t="s">
        <v>1876</v>
      </c>
      <c r="D671" s="2" t="s">
        <v>1827</v>
      </c>
      <c r="E671" s="2" t="s">
        <v>360</v>
      </c>
      <c r="F671" s="2" t="s">
        <v>15</v>
      </c>
      <c r="G671" s="2" t="s">
        <v>391</v>
      </c>
      <c r="H671" s="2" t="s">
        <v>362</v>
      </c>
      <c r="I671" s="2" t="str">
        <f>IFERROR(__xludf.DUMMYFUNCTION("GOOGLETRANSLATE(C671,""fr"",""en"")"),"After calling for information concerning my reimbursements that I ""had not still had a lady calling Mariama who answered me well and was very welcoming")</f>
        <v>After calling for information concerning my reimbursements that I "had not still had a lady calling Mariama who answered me well and was very welcoming</v>
      </c>
    </row>
    <row r="672" ht="15.75" customHeight="1">
      <c r="B672" s="2" t="s">
        <v>1877</v>
      </c>
      <c r="C672" s="2" t="s">
        <v>1878</v>
      </c>
      <c r="D672" s="2" t="s">
        <v>1827</v>
      </c>
      <c r="E672" s="2" t="s">
        <v>360</v>
      </c>
      <c r="F672" s="2" t="s">
        <v>15</v>
      </c>
      <c r="G672" s="2" t="s">
        <v>391</v>
      </c>
      <c r="H672" s="2" t="s">
        <v>362</v>
      </c>
      <c r="I672" s="2" t="str">
        <f>IFERROR(__xludf.DUMMYFUNCTION("GOOGLETRANSLATE(C672,""fr"",""en"")"),"Following my telephone interview of this day concerning my membership with Néoliane, I warmly thank Nabil who gave me complete satisfaction when I asked, he answered all the questions that I had submitted to him.
Thank you for listening and your professi"&amp;"onalism.
Fouzia Tamimy")</f>
        <v>Following my telephone interview of this day concerning my membership with Néoliane, I warmly thank Nabil who gave me complete satisfaction when I asked, he answered all the questions that I had submitted to him.
Thank you for listening and your professionalism.
Fouzia Tamimy</v>
      </c>
    </row>
    <row r="673" ht="15.75" customHeight="1">
      <c r="B673" s="2" t="s">
        <v>1879</v>
      </c>
      <c r="C673" s="2" t="s">
        <v>1880</v>
      </c>
      <c r="D673" s="2" t="s">
        <v>1827</v>
      </c>
      <c r="E673" s="2" t="s">
        <v>360</v>
      </c>
      <c r="F673" s="2" t="s">
        <v>15</v>
      </c>
      <c r="G673" s="2" t="s">
        <v>394</v>
      </c>
      <c r="H673" s="2" t="s">
        <v>362</v>
      </c>
      <c r="I673" s="2" t="str">
        <f>IFERROR(__xludf.DUMMYFUNCTION("GOOGLETRANSLATE(C673,""fr"",""en"")"),"Hello ,
In order to find out if my dental care has been refunded this morning, this morning, unable to connect. So I allow myself to contact you by phone. My call is quickly taken into account by Sokhna, who with a lot of patience (because I am not a sch"&amp;"olar on the Internet), manages to solve this problem. She seemed very friendly and very professional to me. Then she informed me about the advance of this file.
 Another big thank you to this person!
   Michel")</f>
        <v>Hello ,
In order to find out if my dental care has been refunded this morning, this morning, unable to connect. So I allow myself to contact you by phone. My call is quickly taken into account by Sokhna, who with a lot of patience (because I am not a scholar on the Internet), manages to solve this problem. She seemed very friendly and very professional to me. Then she informed me about the advance of this file.
 Another big thank you to this person!
   Michel</v>
      </c>
    </row>
    <row r="674" ht="15.75" customHeight="1">
      <c r="B674" s="2" t="s">
        <v>1881</v>
      </c>
      <c r="C674" s="2" t="s">
        <v>1882</v>
      </c>
      <c r="D674" s="2" t="s">
        <v>1827</v>
      </c>
      <c r="E674" s="2" t="s">
        <v>360</v>
      </c>
      <c r="F674" s="2" t="s">
        <v>15</v>
      </c>
      <c r="G674" s="2" t="s">
        <v>394</v>
      </c>
      <c r="H674" s="2" t="s">
        <v>362</v>
      </c>
      <c r="I674" s="2" t="str">
        <f>IFERROR(__xludf.DUMMYFUNCTION("GOOGLETRANSLATE(C674,""fr"",""en"")"),"This morning, I was dealing in Nasrine who was charming, courteous and efficient. She knew how to answer my questions and encouraged me to ask others to which she gave clear and precise answers.")</f>
        <v>This morning, I was dealing in Nasrine who was charming, courteous and efficient. She knew how to answer my questions and encouraged me to ask others to which she gave clear and precise answers.</v>
      </c>
    </row>
    <row r="675" ht="15.75" customHeight="1">
      <c r="B675" s="2" t="s">
        <v>1883</v>
      </c>
      <c r="C675" s="2" t="s">
        <v>1884</v>
      </c>
      <c r="D675" s="2" t="s">
        <v>1827</v>
      </c>
      <c r="E675" s="2" t="s">
        <v>360</v>
      </c>
      <c r="F675" s="2" t="s">
        <v>15</v>
      </c>
      <c r="G675" s="2" t="s">
        <v>402</v>
      </c>
      <c r="H675" s="2" t="s">
        <v>362</v>
      </c>
      <c r="I675" s="2" t="str">
        <f>IFERROR(__xludf.DUMMYFUNCTION("GOOGLETRANSLATE(C675,""fr"",""en"")"),"I was well informed during my telephone communication with Mr. Rawane. It was very pleasant and attentive when applying for information.")</f>
        <v>I was well informed during my telephone communication with Mr. Rawane. It was very pleasant and attentive when applying for information.</v>
      </c>
    </row>
    <row r="676" ht="15.75" customHeight="1">
      <c r="B676" s="2" t="s">
        <v>1885</v>
      </c>
      <c r="C676" s="2" t="s">
        <v>1886</v>
      </c>
      <c r="D676" s="2" t="s">
        <v>1827</v>
      </c>
      <c r="E676" s="2" t="s">
        <v>360</v>
      </c>
      <c r="F676" s="2" t="s">
        <v>15</v>
      </c>
      <c r="G676" s="2" t="s">
        <v>402</v>
      </c>
      <c r="H676" s="2" t="s">
        <v>362</v>
      </c>
      <c r="I676" s="2" t="str">
        <f>IFERROR(__xludf.DUMMYFUNCTION("GOOGLETRANSLATE(C676,""fr"",""en"")"),"I have my mutual insurance company and I have been a member since today to Neoliane for a health interns contract. I called to have my member number. Daouda, my interlocutor responded very well to my request. I cannot decide on reimbursements, deadlines o"&amp;"r other because not yet concerned. But I would not fail to do so whether it is good or bad.
The 4 stars concern today's exchange.")</f>
        <v>I have my mutual insurance company and I have been a member since today to Neoliane for a health interns contract. I called to have my member number. Daouda, my interlocutor responded very well to my request. I cannot decide on reimbursements, deadlines or other because not yet concerned. But I would not fail to do so whether it is good or bad.
The 4 stars concern today's exchange.</v>
      </c>
    </row>
    <row r="677" ht="15.75" customHeight="1">
      <c r="B677" s="2" t="s">
        <v>1887</v>
      </c>
      <c r="C677" s="2" t="s">
        <v>1888</v>
      </c>
      <c r="D677" s="2" t="s">
        <v>1827</v>
      </c>
      <c r="E677" s="2" t="s">
        <v>360</v>
      </c>
      <c r="F677" s="2" t="s">
        <v>15</v>
      </c>
      <c r="G677" s="2" t="s">
        <v>362</v>
      </c>
      <c r="H677" s="2" t="s">
        <v>70</v>
      </c>
      <c r="I677" s="2" t="str">
        <f>IFERROR(__xludf.DUMMYFUNCTION("GOOGLETRANSLATE(C677,""fr"",""en"")"),"Personally I am very happy with their services. When I have a problem I just have to call them and they answer my questions and solve the problem. Their forms are easy to understand and fill. A big thank you to Fall for his diligence. She is very friendly"&amp;" and attentive.")</f>
        <v>Personally I am very happy with their services. When I have a problem I just have to call them and they answer my questions and solve the problem. Their forms are easy to understand and fill. A big thank you to Fall for his diligence. She is very friendly and attentive.</v>
      </c>
    </row>
    <row r="678" ht="15.75" customHeight="1">
      <c r="B678" s="2" t="s">
        <v>1889</v>
      </c>
      <c r="C678" s="2" t="s">
        <v>1890</v>
      </c>
      <c r="D678" s="2" t="s">
        <v>1827</v>
      </c>
      <c r="E678" s="2" t="s">
        <v>360</v>
      </c>
      <c r="F678" s="2" t="s">
        <v>15</v>
      </c>
      <c r="G678" s="2" t="s">
        <v>1209</v>
      </c>
      <c r="H678" s="2" t="s">
        <v>397</v>
      </c>
      <c r="I678" s="2" t="str">
        <f>IFERROR(__xludf.DUMMYFUNCTION("GOOGLETRANSLATE(C678,""fr"",""en"")"),"After my telephone contact with the moved advisor, I was able to carry out my steps in order to set up remote transmission with the CPAM.
She was kind and very explicit for the steps to be taken on the Neoliane site.")</f>
        <v>After my telephone contact with the moved advisor, I was able to carry out my steps in order to set up remote transmission with the CPAM.
She was kind and very explicit for the steps to be taken on the Neoliane site.</v>
      </c>
    </row>
    <row r="679" ht="15.75" customHeight="1">
      <c r="B679" s="2" t="s">
        <v>1891</v>
      </c>
      <c r="C679" s="2" t="s">
        <v>1892</v>
      </c>
      <c r="D679" s="2" t="s">
        <v>1827</v>
      </c>
      <c r="E679" s="2" t="s">
        <v>360</v>
      </c>
      <c r="F679" s="2" t="s">
        <v>15</v>
      </c>
      <c r="G679" s="2" t="s">
        <v>1209</v>
      </c>
      <c r="H679" s="2" t="s">
        <v>397</v>
      </c>
      <c r="I679" s="2" t="str">
        <f>IFERROR(__xludf.DUMMYFUNCTION("GOOGLETRANSLATE(C679,""fr"",""en"")"),"Finally a mutual insurance company that can be contacted in this case Georges who was attentive and gave me the right procedure concerning my request confirming that it is always very complicated. Computer scientists should have a panel of elderly people "&amp;"to ensure that their developments are suitable for the latter.")</f>
        <v>Finally a mutual insurance company that can be contacted in this case Georges who was attentive and gave me the right procedure concerning my request confirming that it is always very complicated. Computer scientists should have a panel of elderly people to ensure that their developments are suitable for the latter.</v>
      </c>
    </row>
    <row r="680" ht="15.75" customHeight="1">
      <c r="B680" s="2" t="s">
        <v>1893</v>
      </c>
      <c r="C680" s="2" t="s">
        <v>1894</v>
      </c>
      <c r="D680" s="2" t="s">
        <v>1827</v>
      </c>
      <c r="E680" s="2" t="s">
        <v>360</v>
      </c>
      <c r="F680" s="2" t="s">
        <v>15</v>
      </c>
      <c r="G680" s="2" t="s">
        <v>1212</v>
      </c>
      <c r="H680" s="2" t="s">
        <v>277</v>
      </c>
      <c r="I680" s="2" t="str">
        <f>IFERROR(__xludf.DUMMYFUNCTION("GOOGLETRANSLATE(C680,""fr"",""en"")"),"Following the telephone call, Rawane met me well to my expectations and was attentive to my requests. Since the care of my hospitalization could not be done on the site, he took all the information in order to carry out the process himself.")</f>
        <v>Following the telephone call, Rawane met me well to my expectations and was attentive to my requests. Since the care of my hospitalization could not be done on the site, he took all the information in order to carry out the process himself.</v>
      </c>
    </row>
    <row r="681" ht="15.75" customHeight="1">
      <c r="B681" s="2" t="s">
        <v>1895</v>
      </c>
      <c r="C681" s="2" t="s">
        <v>1896</v>
      </c>
      <c r="D681" s="2" t="s">
        <v>1827</v>
      </c>
      <c r="E681" s="2" t="s">
        <v>360</v>
      </c>
      <c r="F681" s="2" t="s">
        <v>15</v>
      </c>
      <c r="G681" s="2" t="s">
        <v>1897</v>
      </c>
      <c r="H681" s="2" t="s">
        <v>66</v>
      </c>
      <c r="I681" s="2" t="str">
        <f>IFERROR(__xludf.DUMMYFUNCTION("GOOGLETRANSLATE(C681,""fr"",""en"")"),"No responsiveness !! You have to ask a question twice ... and moreover the answer is often negative. What is this mutual benefit from? In addition, long deadlines to be reimbursed when you are ... I leave it as soon as I can. Many junctions during members"&amp;"hip, but the rest of the services is bad.")</f>
        <v>No responsiveness !! You have to ask a question twice ... and moreover the answer is often negative. What is this mutual benefit from? In addition, long deadlines to be reimbursed when you are ... I leave it as soon as I can. Many junctions during membership, but the rest of the services is bad.</v>
      </c>
    </row>
    <row r="682" ht="15.75" customHeight="1">
      <c r="B682" s="2" t="s">
        <v>1898</v>
      </c>
      <c r="C682" s="2" t="s">
        <v>1899</v>
      </c>
      <c r="D682" s="2" t="s">
        <v>1827</v>
      </c>
      <c r="E682" s="2" t="s">
        <v>360</v>
      </c>
      <c r="F682" s="2" t="s">
        <v>15</v>
      </c>
      <c r="G682" s="2" t="s">
        <v>426</v>
      </c>
      <c r="H682" s="2" t="s">
        <v>397</v>
      </c>
      <c r="I682" s="2" t="str">
        <f>IFERROR(__xludf.DUMMYFUNCTION("GOOGLETRANSLATE(C682,""fr"",""en"")"),"Contacted by phone 2 days ago by a collaborator in Neoliane, she boasted me the merits of a provident contract, on the grounds that soon, the reimbursement costs of hospitalization would be drastically reduced. At the end of her presentation, she asked me"&amp;" for my Iban. Surprised by this precipitation, I told him to talk to my insurer about it above all commitment. I had the right to be copiously ""yelling"", telling myself that she did not understand my reluctance. In short, suspicion is essential. To flee"&amp;"!!!")</f>
        <v>Contacted by phone 2 days ago by a collaborator in Neoliane, she boasted me the merits of a provident contract, on the grounds that soon, the reimbursement costs of hospitalization would be drastically reduced. At the end of her presentation, she asked me for my Iban. Surprised by this precipitation, I told him to talk to my insurer about it above all commitment. I had the right to be copiously "yelling", telling myself that she did not understand my reluctance. In short, suspicion is essential. To flee!!!</v>
      </c>
    </row>
    <row r="683" ht="15.75" customHeight="1">
      <c r="B683" s="2" t="s">
        <v>1900</v>
      </c>
      <c r="C683" s="2" t="s">
        <v>1901</v>
      </c>
      <c r="D683" s="2" t="s">
        <v>1827</v>
      </c>
      <c r="E683" s="2" t="s">
        <v>360</v>
      </c>
      <c r="F683" s="2" t="s">
        <v>15</v>
      </c>
      <c r="G683" s="2" t="s">
        <v>1902</v>
      </c>
      <c r="H683" s="2" t="s">
        <v>397</v>
      </c>
      <c r="I683" s="2" t="str">
        <f>IFERROR(__xludf.DUMMYFUNCTION("GOOGLETRANSLATE(C683,""fr"",""en"")"),"Nickel telephone canvassing but as for the reimbursements we are far from what was announced, nothing is taken into account. . Person is able to turn for complaints.
1128 euros for a year I would have done better to invest in a more beneficial trip for h"&amp;"ealth. I am quoting to quickly leave the")</f>
        <v>Nickel telephone canvassing but as for the reimbursements we are far from what was announced, nothing is taken into account. . Person is able to turn for complaints.
1128 euros for a year I would have done better to invest in a more beneficial trip for health. I am quoting to quickly leave the</v>
      </c>
    </row>
    <row r="684" ht="15.75" customHeight="1">
      <c r="B684" s="2" t="s">
        <v>1903</v>
      </c>
      <c r="C684" s="2" t="s">
        <v>1904</v>
      </c>
      <c r="D684" s="2" t="s">
        <v>1827</v>
      </c>
      <c r="E684" s="2" t="s">
        <v>360</v>
      </c>
      <c r="F684" s="2" t="s">
        <v>15</v>
      </c>
      <c r="G684" s="2" t="s">
        <v>1902</v>
      </c>
      <c r="H684" s="2" t="s">
        <v>397</v>
      </c>
      <c r="I684" s="2" t="str">
        <f>IFERROR(__xludf.DUMMYFUNCTION("GOOGLETRANSLATE(C684,""fr"",""en"")"),"Concerns Neoliane Santeco H1, I was well reimbursed for an ambulatory surgery, following telephone communication with Marianna which was pleasant, thank you.")</f>
        <v>Concerns Neoliane Santeco H1, I was well reimbursed for an ambulatory surgery, following telephone communication with Marianna which was pleasant, thank you.</v>
      </c>
    </row>
    <row r="685" ht="15.75" customHeight="1">
      <c r="B685" s="2" t="s">
        <v>1905</v>
      </c>
      <c r="C685" s="2" t="s">
        <v>1906</v>
      </c>
      <c r="D685" s="2" t="s">
        <v>1827</v>
      </c>
      <c r="E685" s="2" t="s">
        <v>360</v>
      </c>
      <c r="F685" s="2" t="s">
        <v>15</v>
      </c>
      <c r="G685" s="2" t="s">
        <v>1907</v>
      </c>
      <c r="H685" s="2" t="s">
        <v>105</v>
      </c>
      <c r="I685" s="2" t="str">
        <f>IFERROR(__xludf.DUMMYFUNCTION("GOOGLETRANSLATE(C685,""fr"",""en"")"),"I do not recommend this broker .... because it's been almost 6 months that I am waiting for my paid third party card ... I am taken by boat ... Care to you ... ????")</f>
        <v>I do not recommend this broker .... because it's been almost 6 months that I am waiting for my paid third party card ... I am taken by boat ... Care to you ... ????</v>
      </c>
    </row>
    <row r="686" ht="15.75" customHeight="1">
      <c r="B686" s="2" t="s">
        <v>1908</v>
      </c>
      <c r="C686" s="2" t="s">
        <v>1909</v>
      </c>
      <c r="D686" s="2" t="s">
        <v>1827</v>
      </c>
      <c r="E686" s="2" t="s">
        <v>360</v>
      </c>
      <c r="F686" s="2" t="s">
        <v>15</v>
      </c>
      <c r="G686" s="2" t="s">
        <v>432</v>
      </c>
      <c r="H686" s="2" t="s">
        <v>397</v>
      </c>
      <c r="I686" s="2" t="str">
        <f>IFERROR(__xludf.DUMMYFUNCTION("GOOGLETRANSLATE(C686,""fr"",""en"")"),"It has been 15 days since I send emails and phone calls to point out that on my member number, my identity is wrong.
In fact they left the identity of the previous member.
I only contact with very nice but incompetent advisers")</f>
        <v>It has been 15 days since I send emails and phone calls to point out that on my member number, my identity is wrong.
In fact they left the identity of the previous member.
I only contact with very nice but incompetent advisers</v>
      </c>
    </row>
    <row r="687" ht="15.75" customHeight="1">
      <c r="B687" s="2" t="s">
        <v>1910</v>
      </c>
      <c r="C687" s="2" t="s">
        <v>1911</v>
      </c>
      <c r="D687" s="2" t="s">
        <v>1827</v>
      </c>
      <c r="E687" s="2" t="s">
        <v>360</v>
      </c>
      <c r="F687" s="2" t="s">
        <v>15</v>
      </c>
      <c r="G687" s="2" t="s">
        <v>1912</v>
      </c>
      <c r="H687" s="2" t="s">
        <v>397</v>
      </c>
      <c r="I687" s="2" t="str">
        <f>IFERROR(__xludf.DUMMYFUNCTION("GOOGLETRANSLATE(C687,""fr"",""en"")"),"My connection problem since 01/09/2021 was solved by Nabil my telephone interlocutor this day this gentleman is a great professional who knows his job perfectly thank you very much")</f>
        <v>My connection problem since 01/09/2021 was solved by Nabil my telephone interlocutor this day this gentleman is a great professional who knows his job perfectly thank you very much</v>
      </c>
    </row>
    <row r="688" ht="15.75" customHeight="1">
      <c r="B688" s="2" t="s">
        <v>1913</v>
      </c>
      <c r="C688" s="2" t="s">
        <v>1914</v>
      </c>
      <c r="D688" s="2" t="s">
        <v>1827</v>
      </c>
      <c r="E688" s="2" t="s">
        <v>360</v>
      </c>
      <c r="F688" s="2" t="s">
        <v>15</v>
      </c>
      <c r="G688" s="2" t="s">
        <v>1912</v>
      </c>
      <c r="H688" s="2" t="s">
        <v>70</v>
      </c>
      <c r="I688" s="2" t="str">
        <f>IFERROR(__xludf.DUMMYFUNCTION("GOOGLETRANSLATE(C688,""fr"",""en"")"),"Mutual lacking cruelly of seriousness both in file monitoring and at the reactivity level ... Mail not received, incredibly long time in the
Monitoring of information and refunds !!!!
To flee +++++")</f>
        <v>Mutual lacking cruelly of seriousness both in file monitoring and at the reactivity level ... Mail not received, incredibly long time in the
Monitoring of information and refunds !!!!
To flee +++++</v>
      </c>
    </row>
    <row r="689" ht="15.75" customHeight="1">
      <c r="B689" s="2" t="s">
        <v>1915</v>
      </c>
      <c r="C689" s="2" t="s">
        <v>1916</v>
      </c>
      <c r="D689" s="2" t="s">
        <v>1827</v>
      </c>
      <c r="E689" s="2" t="s">
        <v>360</v>
      </c>
      <c r="F689" s="2" t="s">
        <v>15</v>
      </c>
      <c r="G689" s="2" t="s">
        <v>1917</v>
      </c>
      <c r="H689" s="2" t="s">
        <v>397</v>
      </c>
      <c r="I689" s="2" t="str">
        <f>IFERROR(__xludf.DUMMYFUNCTION("GOOGLETRANSLATE(C689,""fr"",""en"")"),"With Aminata Advisor, very good telephone contact, person who knew how to inform me and who sought the requested information. Thank you for your understanding")</f>
        <v>With Aminata Advisor, very good telephone contact, person who knew how to inform me and who sought the requested information. Thank you for your understanding</v>
      </c>
    </row>
    <row r="690" ht="15.75" customHeight="1">
      <c r="B690" s="2" t="s">
        <v>1918</v>
      </c>
      <c r="C690" s="2" t="s">
        <v>1919</v>
      </c>
      <c r="D690" s="2" t="s">
        <v>1827</v>
      </c>
      <c r="E690" s="2" t="s">
        <v>360</v>
      </c>
      <c r="F690" s="2" t="s">
        <v>15</v>
      </c>
      <c r="G690" s="2" t="s">
        <v>1917</v>
      </c>
      <c r="H690" s="2" t="s">
        <v>397</v>
      </c>
      <c r="I690" s="2" t="str">
        <f>IFERROR(__xludf.DUMMYFUNCTION("GOOGLETRANSLATE(C690,""fr"",""en"")"),"Following the phone with advisor Madame Mariama, very well received, kind, resolved my request.
I am very happy with the dialogue.
Matias Domingos")</f>
        <v>Following the phone with advisor Madame Mariama, very well received, kind, resolved my request.
I am very happy with the dialogue.
Matias Domingos</v>
      </c>
    </row>
    <row r="691" ht="15.75" customHeight="1">
      <c r="B691" s="2" t="s">
        <v>1920</v>
      </c>
      <c r="C691" s="2" t="s">
        <v>1921</v>
      </c>
      <c r="D691" s="2" t="s">
        <v>1827</v>
      </c>
      <c r="E691" s="2" t="s">
        <v>360</v>
      </c>
      <c r="F691" s="2" t="s">
        <v>15</v>
      </c>
      <c r="G691" s="2" t="s">
        <v>1922</v>
      </c>
      <c r="H691" s="2" t="s">
        <v>397</v>
      </c>
      <c r="I691" s="2" t="str">
        <f>IFERROR(__xludf.DUMMYFUNCTION("GOOGLETRANSLATE(C691,""fr"",""en"")"),"I am a new customer and therefore I can only give my opinion on the price that I find excellent compared to my former insurer. Besides, I can say that I had a great welcome by the adviser Pope who answered my questions and who helped me create my ""person"&amp;"al space"" on the net.")</f>
        <v>I am a new customer and therefore I can only give my opinion on the price that I find excellent compared to my former insurer. Besides, I can say that I had a great welcome by the adviser Pope who answered my questions and who helped me create my "personal space" on the net.</v>
      </c>
    </row>
    <row r="692" ht="15.75" customHeight="1">
      <c r="B692" s="2" t="s">
        <v>1923</v>
      </c>
      <c r="C692" s="2" t="s">
        <v>1924</v>
      </c>
      <c r="D692" s="2" t="s">
        <v>1827</v>
      </c>
      <c r="E692" s="2" t="s">
        <v>360</v>
      </c>
      <c r="F692" s="2" t="s">
        <v>15</v>
      </c>
      <c r="G692" s="2" t="s">
        <v>1925</v>
      </c>
      <c r="H692" s="2" t="s">
        <v>397</v>
      </c>
      <c r="I692" s="2" t="str">
        <f>IFERROR(__xludf.DUMMYFUNCTION("GOOGLETRANSLATE(C692,""fr"",""en"")")," Hello, very difficult to connect too much change on the site, not very clear refund table lacking details.
Cordially")</f>
        <v> Hello, very difficult to connect too much change on the site, not very clear refund table lacking details.
Cordially</v>
      </c>
    </row>
    <row r="693" ht="15.75" customHeight="1">
      <c r="B693" s="2" t="s">
        <v>1926</v>
      </c>
      <c r="C693" s="2" t="s">
        <v>1927</v>
      </c>
      <c r="D693" s="2" t="s">
        <v>1827</v>
      </c>
      <c r="E693" s="2" t="s">
        <v>360</v>
      </c>
      <c r="F693" s="2" t="s">
        <v>15</v>
      </c>
      <c r="G693" s="2" t="s">
        <v>445</v>
      </c>
      <c r="H693" s="2" t="s">
        <v>397</v>
      </c>
      <c r="I693" s="2" t="str">
        <f>IFERROR(__xludf.DUMMYFUNCTION("GOOGLETRANSLATE(C693,""fr"",""en"")"),"I would like to thank Georges that I had on the phone today for his kindness, patience, efficiency and professionalism.
It is very pleasant to have interlocutors of this style.
Have a good day
Best regards")</f>
        <v>I would like to thank Georges that I had on the phone today for his kindness, patience, efficiency and professionalism.
It is very pleasant to have interlocutors of this style.
Have a good day
Best regards</v>
      </c>
    </row>
    <row r="694" ht="15.75" customHeight="1">
      <c r="B694" s="2" t="s">
        <v>1928</v>
      </c>
      <c r="C694" s="2" t="s">
        <v>1929</v>
      </c>
      <c r="D694" s="2" t="s">
        <v>1827</v>
      </c>
      <c r="E694" s="2" t="s">
        <v>360</v>
      </c>
      <c r="F694" s="2" t="s">
        <v>15</v>
      </c>
      <c r="G694" s="2" t="s">
        <v>1930</v>
      </c>
      <c r="H694" s="2" t="s">
        <v>66</v>
      </c>
      <c r="I694" s="2" t="str">
        <f>IFERROR(__xludf.DUMMYFUNCTION("GOOGLETRANSLATE(C694,""fr"",""en"")"),"I contacted Néoliane following a double billing and my Widad advisor knew how to bring me the necessary answers. She was very professional, responsive and attentive. The PB is resolved now. I'm satisfied.")</f>
        <v>I contacted Néoliane following a double billing and my Widad advisor knew how to bring me the necessary answers. She was very professional, responsive and attentive. The PB is resolved now. I'm satisfied.</v>
      </c>
    </row>
    <row r="695" ht="15.75" customHeight="1">
      <c r="B695" s="2" t="s">
        <v>1931</v>
      </c>
      <c r="C695" s="2" t="s">
        <v>1932</v>
      </c>
      <c r="D695" s="2" t="s">
        <v>1827</v>
      </c>
      <c r="E695" s="2" t="s">
        <v>360</v>
      </c>
      <c r="F695" s="2" t="s">
        <v>15</v>
      </c>
      <c r="G695" s="2" t="s">
        <v>1933</v>
      </c>
      <c r="H695" s="2" t="s">
        <v>66</v>
      </c>
      <c r="I695" s="2" t="str">
        <f>IFERROR(__xludf.DUMMYFUNCTION("GOOGLETRANSLATE(C695,""fr"",""en"")"),"Thank you very much Lissa for your patience and for your clear explanation. I hope that my next interlocutor/trice will be like Lissa. Regards Peizhen")</f>
        <v>Thank you very much Lissa for your patience and for your clear explanation. I hope that my next interlocutor/trice will be like Lissa. Regards Peizhen</v>
      </c>
    </row>
    <row r="696" ht="15.75" customHeight="1">
      <c r="B696" s="2" t="s">
        <v>1934</v>
      </c>
      <c r="C696" s="2" t="s">
        <v>1935</v>
      </c>
      <c r="D696" s="2" t="s">
        <v>1827</v>
      </c>
      <c r="E696" s="2" t="s">
        <v>360</v>
      </c>
      <c r="F696" s="2" t="s">
        <v>15</v>
      </c>
      <c r="G696" s="2" t="s">
        <v>1936</v>
      </c>
      <c r="H696" s="2" t="s">
        <v>66</v>
      </c>
      <c r="I696" s="2" t="str">
        <f>IFERROR(__xludf.DUMMYFUNCTION("GOOGLETRANSLATE(C696,""fr"",""en"")"),"I had a lot of difficulty contacting Neoliane by phone for a question of reimbursement of medical analysis costs. In addition, Néoliane's documents, in my possession, do not specify the contact details of an interlocutor. I ended up contacting Georges in "&amp;"Nice who was able to answer all my questions and gave me the address where to send my letters. This address was not indicated on the Neoliane documents.")</f>
        <v>I had a lot of difficulty contacting Neoliane by phone for a question of reimbursement of medical analysis costs. In addition, Néoliane's documents, in my possession, do not specify the contact details of an interlocutor. I ended up contacting Georges in Nice who was able to answer all my questions and gave me the address where to send my letters. This address was not indicated on the Neoliane documents.</v>
      </c>
    </row>
    <row r="697" ht="15.75" customHeight="1">
      <c r="B697" s="2" t="s">
        <v>1937</v>
      </c>
      <c r="C697" s="2" t="s">
        <v>1938</v>
      </c>
      <c r="D697" s="2" t="s">
        <v>1827</v>
      </c>
      <c r="E697" s="2" t="s">
        <v>360</v>
      </c>
      <c r="F697" s="2" t="s">
        <v>15</v>
      </c>
      <c r="G697" s="2" t="s">
        <v>454</v>
      </c>
      <c r="H697" s="2" t="s">
        <v>66</v>
      </c>
      <c r="I697" s="2" t="str">
        <f>IFERROR(__xludf.DUMMYFUNCTION("GOOGLETRANSLATE(C697,""fr"",""en"")"),"Very welcome from my interlocutor Georges, kind of good information, and smile, yes the smile, the smile gets along on the phone thank you and have a good day")</f>
        <v>Very welcome from my interlocutor Georges, kind of good information, and smile, yes the smile, the smile gets along on the phone thank you and have a good day</v>
      </c>
    </row>
    <row r="698" ht="15.75" customHeight="1">
      <c r="B698" s="2" t="s">
        <v>1939</v>
      </c>
      <c r="C698" s="2" t="s">
        <v>1940</v>
      </c>
      <c r="D698" s="2" t="s">
        <v>1827</v>
      </c>
      <c r="E698" s="2" t="s">
        <v>360</v>
      </c>
      <c r="F698" s="2" t="s">
        <v>15</v>
      </c>
      <c r="G698" s="2" t="s">
        <v>1941</v>
      </c>
      <c r="H698" s="2" t="s">
        <v>66</v>
      </c>
      <c r="I698" s="2" t="str">
        <f>IFERROR(__xludf.DUMMYFUNCTION("GOOGLETRANSLATE(C698,""fr"",""en"")"),"I went through Infocea I had the Mutual Neoliane by the commercial who told me good to that she trusted on the other hand at the reimbursement level nothing you try to join the salesperson who does not answer you can send emails the answer 15 days after u"&amp;"nanswered I strongly advise against")</f>
        <v>I went through Infocea I had the Mutual Neoliane by the commercial who told me good to that she trusted on the other hand at the reimbursement level nothing you try to join the salesperson who does not answer you can send emails the answer 15 days after unanswered I strongly advise against</v>
      </c>
    </row>
    <row r="699" ht="15.75" customHeight="1">
      <c r="B699" s="2" t="s">
        <v>1942</v>
      </c>
      <c r="C699" s="2" t="s">
        <v>1943</v>
      </c>
      <c r="D699" s="2" t="s">
        <v>1827</v>
      </c>
      <c r="E699" s="2" t="s">
        <v>360</v>
      </c>
      <c r="F699" s="2" t="s">
        <v>15</v>
      </c>
      <c r="G699" s="2" t="s">
        <v>1944</v>
      </c>
      <c r="H699" s="2" t="s">
        <v>66</v>
      </c>
      <c r="I699" s="2" t="str">
        <f>IFERROR(__xludf.DUMMYFUNCTION("GOOGLETRANSLATE(C699,""fr"",""en"")"),"Rawane was excellent, as much in the service requested
that in the kindness and quality of this service.
I sincerely thank him for his kindness
and his competence.
Big thanks to him")</f>
        <v>Rawane was excellent, as much in the service requested
that in the kindness and quality of this service.
I sincerely thank him for his kindness
and his competence.
Big thanks to him</v>
      </c>
    </row>
    <row r="700" ht="15.75" customHeight="1">
      <c r="B700" s="2" t="s">
        <v>1945</v>
      </c>
      <c r="C700" s="2" t="s">
        <v>1946</v>
      </c>
      <c r="D700" s="2" t="s">
        <v>1827</v>
      </c>
      <c r="E700" s="2" t="s">
        <v>360</v>
      </c>
      <c r="F700" s="2" t="s">
        <v>15</v>
      </c>
      <c r="G700" s="2" t="s">
        <v>1226</v>
      </c>
      <c r="H700" s="2" t="s">
        <v>66</v>
      </c>
      <c r="I700" s="2" t="str">
        <f>IFERROR(__xludf.DUMMYFUNCTION("GOOGLETRANSLATE(C700,""fr"",""en"")"),"Hello: I have been insured since 2017 and every year my subscription increases by more than € 10 per month without compensation for reimbursement, on the contrary because since January 1, she has no longer rebounded homeopathic drugs, what important benef"&amp;"its for all mutuals. And especially when there is a significant refund for optical equipment, you have to wait more than a month before being reimbursed, the same thing for the cataract operation, more than two months before being reimbursed, and recently"&amp;" For a dental prosthesis I had to wait more than a month before being reimbursed, and especially each time I had to send 4 emails, plus 4 telephone calls requesting the reimbursement and their answers: (let's go you It will have it early next week, we mus"&amp;"t check before reimbursing you, let's go you will have it in 72 hours, or I bring up your request to be processed urgently and I Pass ...) I have never had a payment incident, but conversely when you advance money for optics, cataracts or dental prosthese"&amp;"s, reimbursements are a obstacle course, moreover It is impossible to communicate on their site because it is constantly blocked to request a refund or for f area a complaint) only solution to them. Only one positive point, the small current reimbursement"&amp;"s of pharmacy or consultations are reimbursed within 48 hours after remote transmission, it is very good for those who have no health problem, to note we are a couple taken to 100% load by the SS and we currently pay more than € 182 per month, judge yours"&amp;"elf before joining this health insurance.")</f>
        <v>Hello: I have been insured since 2017 and every year my subscription increases by more than € 10 per month without compensation for reimbursement, on the contrary because since January 1, she has no longer rebounded homeopathic drugs, what important benefits for all mutuals. And especially when there is a significant refund for optical equipment, you have to wait more than a month before being reimbursed, the same thing for the cataract operation, more than two months before being reimbursed, and recently For a dental prosthesis I had to wait more than a month before being reimbursed, and especially each time I had to send 4 emails, plus 4 telephone calls requesting the reimbursement and their answers: (let's go you It will have it early next week, we must check before reimbursing you, let's go you will have it in 72 hours, or I bring up your request to be processed urgently and I Pass ...) I have never had a payment incident, but conversely when you advance money for optics, cataracts or dental prostheses, reimbursements are a obstacle course, moreover It is impossible to communicate on their site because it is constantly blocked to request a refund or for f area a complaint) only solution to them. Only one positive point, the small current reimbursements of pharmacy or consultations are reimbursed within 48 hours after remote transmission, it is very good for those who have no health problem, to note we are a couple taken to 100% load by the SS and we currently pay more than € 182 per month, judge yourself before joining this health insurance.</v>
      </c>
    </row>
    <row r="701" ht="15.75" customHeight="1">
      <c r="B701" s="2" t="s">
        <v>1947</v>
      </c>
      <c r="C701" s="2" t="s">
        <v>1948</v>
      </c>
      <c r="D701" s="2" t="s">
        <v>1827</v>
      </c>
      <c r="E701" s="2" t="s">
        <v>360</v>
      </c>
      <c r="F701" s="2" t="s">
        <v>15</v>
      </c>
      <c r="G701" s="2" t="s">
        <v>1229</v>
      </c>
      <c r="H701" s="2" t="s">
        <v>66</v>
      </c>
      <c r="I701" s="2" t="str">
        <f>IFERROR(__xludf.DUMMYFUNCTION("GOOGLETRANSLATE(C701,""fr"",""en"")"),"Good evening
Following my telephone call I thank Larbi for the information given on my contract and for his advice concerning a future hospitalization.")</f>
        <v>Good evening
Following my telephone call I thank Larbi for the information given on my contract and for his advice concerning a future hospitalization.</v>
      </c>
    </row>
    <row r="702" ht="15.75" customHeight="1">
      <c r="B702" s="2" t="s">
        <v>1949</v>
      </c>
      <c r="C702" s="2" t="s">
        <v>1950</v>
      </c>
      <c r="D702" s="2" t="s">
        <v>1827</v>
      </c>
      <c r="E702" s="2" t="s">
        <v>360</v>
      </c>
      <c r="F702" s="2" t="s">
        <v>15</v>
      </c>
      <c r="G702" s="2" t="s">
        <v>1951</v>
      </c>
      <c r="H702" s="2" t="s">
        <v>66</v>
      </c>
      <c r="I702" s="2" t="str">
        <f>IFERROR(__xludf.DUMMYFUNCTION("GOOGLETRANSLATE(C702,""fr"",""en"")"),"Emeline was perfect! Her explanations have been detailed and very clear, thank you for her patience and professionalism it is a pleasure to communicate with a counselor like Ell")</f>
        <v>Emeline was perfect! Her explanations have been detailed and very clear, thank you for her patience and professionalism it is a pleasure to communicate with a counselor like Ell</v>
      </c>
    </row>
    <row r="703" ht="15.75" customHeight="1">
      <c r="B703" s="2" t="s">
        <v>1952</v>
      </c>
      <c r="C703" s="2" t="s">
        <v>1953</v>
      </c>
      <c r="D703" s="2" t="s">
        <v>1827</v>
      </c>
      <c r="E703" s="2" t="s">
        <v>360</v>
      </c>
      <c r="F703" s="2" t="s">
        <v>15</v>
      </c>
      <c r="G703" s="2" t="s">
        <v>1238</v>
      </c>
      <c r="H703" s="2" t="s">
        <v>70</v>
      </c>
      <c r="I703" s="2" t="str">
        <f>IFERROR(__xludf.DUMMYFUNCTION("GOOGLETRANSLATE(C703,""fr"",""en"")"),"Bravo to Alimatou the only nice and competent advisor I have been dealing for a long time congratulations to her and above all keep it because this is increasingly rare")</f>
        <v>Bravo to Alimatou the only nice and competent advisor I have been dealing for a long time congratulations to her and above all keep it because this is increasingly rare</v>
      </c>
    </row>
    <row r="704" ht="15.75" customHeight="1">
      <c r="B704" s="2" t="s">
        <v>1954</v>
      </c>
      <c r="C704" s="2" t="s">
        <v>1955</v>
      </c>
      <c r="D704" s="2" t="s">
        <v>1827</v>
      </c>
      <c r="E704" s="2" t="s">
        <v>360</v>
      </c>
      <c r="F704" s="2" t="s">
        <v>15</v>
      </c>
      <c r="G704" s="2" t="s">
        <v>1956</v>
      </c>
      <c r="H704" s="2" t="s">
        <v>70</v>
      </c>
      <c r="I704" s="2" t="str">
        <f>IFERROR(__xludf.DUMMYFUNCTION("GOOGLETRANSLATE(C704,""fr"",""en"")"),"Good customer relations on the part of Emeline who responded to my request concerning a pending refund since June 12 professionally and quickly.
Thanks to her.
")</f>
        <v>Good customer relations on the part of Emeline who responded to my request concerning a pending refund since June 12 professionally and quickly.
Thanks to her.
</v>
      </c>
    </row>
    <row r="705" ht="15.75" customHeight="1">
      <c r="B705" s="2" t="s">
        <v>1957</v>
      </c>
      <c r="C705" s="2" t="s">
        <v>1958</v>
      </c>
      <c r="D705" s="2" t="s">
        <v>1827</v>
      </c>
      <c r="E705" s="2" t="s">
        <v>360</v>
      </c>
      <c r="F705" s="2" t="s">
        <v>15</v>
      </c>
      <c r="G705" s="2" t="s">
        <v>69</v>
      </c>
      <c r="H705" s="2" t="s">
        <v>70</v>
      </c>
      <c r="I705" s="2" t="str">
        <f>IFERROR(__xludf.DUMMYFUNCTION("GOOGLETRANSLATE(C705,""fr"",""en"")"),"Received on the phone excellent interlocutor precisely patient I am fully satisfied with her help it is rare to be able to be assisted by such a competent and patient person thank you again")</f>
        <v>Received on the phone excellent interlocutor precisely patient I am fully satisfied with her help it is rare to be able to be assisted by such a competent and patient person thank you again</v>
      </c>
    </row>
    <row r="706" ht="15.75" customHeight="1">
      <c r="B706" s="2" t="s">
        <v>1959</v>
      </c>
      <c r="C706" s="2" t="s">
        <v>1960</v>
      </c>
      <c r="D706" s="2" t="s">
        <v>1827</v>
      </c>
      <c r="E706" s="2" t="s">
        <v>360</v>
      </c>
      <c r="F706" s="2" t="s">
        <v>15</v>
      </c>
      <c r="G706" s="2" t="s">
        <v>491</v>
      </c>
      <c r="H706" s="2" t="s">
        <v>70</v>
      </c>
      <c r="I706" s="2" t="str">
        <f>IFERROR(__xludf.DUMMYFUNCTION("GOOGLETRANSLATE(C706,""fr"",""en"")"),"I am very satisfied with Emeline who sharpened me to transmit a document. I thank her for her patience, her kindness and her kindness because I had trouble finding what she asked me. That she continues in this way because she will always be thanks.")</f>
        <v>I am very satisfied with Emeline who sharpened me to transmit a document. I thank her for her patience, her kindness and her kindness because I had trouble finding what she asked me. That she continues in this way because she will always be thanks.</v>
      </c>
    </row>
    <row r="707" ht="15.75" customHeight="1">
      <c r="B707" s="2" t="s">
        <v>1961</v>
      </c>
      <c r="C707" s="2" t="s">
        <v>1962</v>
      </c>
      <c r="D707" s="2" t="s">
        <v>1827</v>
      </c>
      <c r="E707" s="2" t="s">
        <v>360</v>
      </c>
      <c r="F707" s="2" t="s">
        <v>15</v>
      </c>
      <c r="G707" s="2" t="s">
        <v>1963</v>
      </c>
      <c r="H707" s="2" t="s">
        <v>70</v>
      </c>
      <c r="I707" s="2" t="str">
        <f>IFERROR(__xludf.DUMMYFUNCTION("GOOGLETRANSLATE(C707,""fr"",""en"")"),"TO FLEE !!! It is shameful to see such disastrous practices today !! I called on a broker to find a better mutual insurance company than the one I had, hitherto impeccable, I give my reimbursement rates from my old mutual to the broker so that he finds me"&amp;" a better mutual. He offers me Neoliane by explaining me the reimbursement rates, especially of orthodontics, namely 200% for a monthly rate almost equivalent to what I paid for my old mutual for a reimbursement rate equivalent to 125% of the SECU base. A"&amp;"nd there the surprise during my first reimbursement of orthodontic expenses I only have half of reimbursements and yes the 200% are actually only 100% because they take into account the reimbursement of social security I never have seen that !!! All the m"&amp;"utuals I made had the refund from the security base and not in addition to it !! The broker could have specified during the quote ... I hope to be able to terminate this mutual as soon as possible !!")</f>
        <v>TO FLEE !!! It is shameful to see such disastrous practices today !! I called on a broker to find a better mutual insurance company than the one I had, hitherto impeccable, I give my reimbursement rates from my old mutual to the broker so that he finds me a better mutual. He offers me Neoliane by explaining me the reimbursement rates, especially of orthodontics, namely 200% for a monthly rate almost equivalent to what I paid for my old mutual for a reimbursement rate equivalent to 125% of the SECU base. And there the surprise during my first reimbursement of orthodontic expenses I only have half of reimbursements and yes the 200% are actually only 100% because they take into account the reimbursement of social security I never have seen that !!! All the mutuals I made had the refund from the security base and not in addition to it !! The broker could have specified during the quote ... I hope to be able to terminate this mutual as soon as possible !!</v>
      </c>
    </row>
    <row r="708" ht="15.75" customHeight="1">
      <c r="B708" s="2" t="s">
        <v>1964</v>
      </c>
      <c r="C708" s="2" t="s">
        <v>1965</v>
      </c>
      <c r="D708" s="2" t="s">
        <v>1827</v>
      </c>
      <c r="E708" s="2" t="s">
        <v>360</v>
      </c>
      <c r="F708" s="2" t="s">
        <v>15</v>
      </c>
      <c r="G708" s="2" t="s">
        <v>1966</v>
      </c>
      <c r="H708" s="2" t="s">
        <v>70</v>
      </c>
      <c r="I708" s="2" t="str">
        <f>IFERROR(__xludf.DUMMYFUNCTION("GOOGLETRANSLATE(C708,""fr"",""en"")"),"I am not at all satisfied with Neoliane. In fact I should have stayed at my old mutual insurance company. Refunds are long overdue despite the social security count. In addition, advice to new members, set all of your consultation or otherwise ask an invo"&amp;"ice if you just pay the third party. Otherwise Neoliane without proof does not reimburse you. The secure statement is not enough for them that I will not stay at home. Nedelle since May 2021 and disappointed")</f>
        <v>I am not at all satisfied with Neoliane. In fact I should have stayed at my old mutual insurance company. Refunds are long overdue despite the social security count. In addition, advice to new members, set all of your consultation or otherwise ask an invoice if you just pay the third party. Otherwise Neoliane without proof does not reimburse you. The secure statement is not enough for them that I will not stay at home. Nedelle since May 2021 and disappointed</v>
      </c>
    </row>
    <row r="709" ht="15.75" customHeight="1">
      <c r="B709" s="2" t="s">
        <v>1967</v>
      </c>
      <c r="C709" s="2" t="s">
        <v>1968</v>
      </c>
      <c r="D709" s="2" t="s">
        <v>1827</v>
      </c>
      <c r="E709" s="2" t="s">
        <v>360</v>
      </c>
      <c r="F709" s="2" t="s">
        <v>15</v>
      </c>
      <c r="G709" s="2" t="s">
        <v>1969</v>
      </c>
      <c r="H709" s="2" t="s">
        <v>70</v>
      </c>
      <c r="I709" s="2" t="str">
        <f>IFERROR(__xludf.DUMMYFUNCTION("GOOGLETRANSLATE(C709,""fr"",""en"")"),"Neoliane almost systematically responds to the recurring criticisms made to him by the following argument: ""Hello XXXX, I am sorry and informs you that Néoliane does not practice any direct canvassing."". A little too easy to return the ball to the broke"&amp;"rs that sell ... Neoliane products. Néoliane is able to impose the methods for the sale of its contracts on the brokers. However, for several years, it seems that Néoliane does not really seek to do so, since aggressive and misleading commercial practices"&amp;" persist. Neoliane, the ball is in your camp, you have to act now if you want to regain the confidence of your potential customers.")</f>
        <v>Neoliane almost systematically responds to the recurring criticisms made to him by the following argument: "Hello XXXX, I am sorry and informs you that Néoliane does not practice any direct canvassing.". A little too easy to return the ball to the brokers that sell ... Neoliane products. Néoliane is able to impose the methods for the sale of its contracts on the brokers. However, for several years, it seems that Néoliane does not really seek to do so, since aggressive and misleading commercial practices persist. Neoliane, the ball is in your camp, you have to act now if you want to regain the confidence of your potential customers.</v>
      </c>
    </row>
    <row r="710" ht="15.75" customHeight="1">
      <c r="B710" s="2" t="s">
        <v>1970</v>
      </c>
      <c r="C710" s="2" t="s">
        <v>1971</v>
      </c>
      <c r="D710" s="2" t="s">
        <v>1827</v>
      </c>
      <c r="E710" s="2" t="s">
        <v>360</v>
      </c>
      <c r="F710" s="2" t="s">
        <v>15</v>
      </c>
      <c r="G710" s="2" t="s">
        <v>70</v>
      </c>
      <c r="H710" s="2" t="s">
        <v>70</v>
      </c>
      <c r="I710" s="2" t="str">
        <f>IFERROR(__xludf.DUMMYFUNCTION("GOOGLETRANSLATE(C710,""fr"",""en"")"),"I needed the very professional third -party and Maria card to send it to me quickly with all the information I needed. Thank you for your kindness")</f>
        <v>I needed the very professional third -party and Maria card to send it to me quickly with all the information I needed. Thank you for your kindness</v>
      </c>
    </row>
    <row r="711" ht="15.75" customHeight="1">
      <c r="B711" s="2" t="s">
        <v>1972</v>
      </c>
      <c r="C711" s="2" t="s">
        <v>1973</v>
      </c>
      <c r="D711" s="2" t="s">
        <v>1827</v>
      </c>
      <c r="E711" s="2" t="s">
        <v>360</v>
      </c>
      <c r="F711" s="2" t="s">
        <v>15</v>
      </c>
      <c r="G711" s="2" t="s">
        <v>1974</v>
      </c>
      <c r="H711" s="2" t="s">
        <v>74</v>
      </c>
      <c r="I711" s="2" t="str">
        <f>IFERROR(__xludf.DUMMYFUNCTION("GOOGLETRANSLATE(C711,""fr"",""en"")"),"Following the loss of my insured card, I contacted Neoliane, and in the hour I had a copy of my mutual card, thanks to Maria.
I wanted to make it known
In a world where contacts with administrations are often too impersonal, I find it reassuring to have"&amp;" in telephone contact a person in the flesh and not a robot")</f>
        <v>Following the loss of my insured card, I contacted Neoliane, and in the hour I had a copy of my mutual card, thanks to Maria.
I wanted to make it known
In a world where contacts with administrations are often too impersonal, I find it reassuring to have in telephone contact a person in the flesh and not a robot</v>
      </c>
    </row>
    <row r="712" ht="15.75" customHeight="1">
      <c r="B712" s="2" t="s">
        <v>1975</v>
      </c>
      <c r="C712" s="2" t="s">
        <v>1976</v>
      </c>
      <c r="D712" s="2" t="s">
        <v>1827</v>
      </c>
      <c r="E712" s="2" t="s">
        <v>360</v>
      </c>
      <c r="F712" s="2" t="s">
        <v>15</v>
      </c>
      <c r="G712" s="2" t="s">
        <v>502</v>
      </c>
      <c r="H712" s="2" t="s">
        <v>74</v>
      </c>
      <c r="I712" s="2" t="str">
        <f>IFERROR(__xludf.DUMMYFUNCTION("GOOGLETRANSLATE(C712,""fr"",""en"")"),"During my call I was taken care of by Émeline which was of a remarkable speed very attentive and very great professionalism
Kind and pleasant she was able to quickly solve my problem")</f>
        <v>During my call I was taken care of by Émeline which was of a remarkable speed very attentive and very great professionalism
Kind and pleasant she was able to quickly solve my problem</v>
      </c>
    </row>
    <row r="713" ht="15.75" customHeight="1">
      <c r="B713" s="2" t="s">
        <v>1977</v>
      </c>
      <c r="C713" s="2" t="s">
        <v>1978</v>
      </c>
      <c r="D713" s="2" t="s">
        <v>1827</v>
      </c>
      <c r="E713" s="2" t="s">
        <v>360</v>
      </c>
      <c r="F713" s="2" t="s">
        <v>15</v>
      </c>
      <c r="G713" s="2" t="s">
        <v>1979</v>
      </c>
      <c r="H713" s="2" t="s">
        <v>74</v>
      </c>
      <c r="I713" s="2" t="str">
        <f>IFERROR(__xludf.DUMMYFUNCTION("GOOGLETRANSLATE(C713,""fr"",""en"")"),"Good evening,
I have just solved an account creation problem in a masterful way. Thanks to Maria who quickly understood this I wanted to do, took charge of the creation of my account. It only took a few minutes and I thank him very much. Maria answered a"&amp;"ll my questions without hesitation. If I had to appeal again to Neoliane, I will allow myself to ask Maria as an interlocutor.
Cordially")</f>
        <v>Good evening,
I have just solved an account creation problem in a masterful way. Thanks to Maria who quickly understood this I wanted to do, took charge of the creation of my account. It only took a few minutes and I thank him very much. Maria answered all my questions without hesitation. If I had to appeal again to Neoliane, I will allow myself to ask Maria as an interlocutor.
Cordially</v>
      </c>
    </row>
    <row r="714" ht="15.75" customHeight="1">
      <c r="B714" s="2" t="s">
        <v>1980</v>
      </c>
      <c r="C714" s="2" t="s">
        <v>1981</v>
      </c>
      <c r="D714" s="2" t="s">
        <v>1827</v>
      </c>
      <c r="E714" s="2" t="s">
        <v>360</v>
      </c>
      <c r="F714" s="2" t="s">
        <v>15</v>
      </c>
      <c r="G714" s="2" t="s">
        <v>1982</v>
      </c>
      <c r="H714" s="2" t="s">
        <v>74</v>
      </c>
      <c r="I714" s="2" t="str">
        <f>IFERROR(__xludf.DUMMYFUNCTION("GOOGLETRANSLATE(C714,""fr"",""en"")"),"Hello, following my telephone interview with Widad, I had all the information I needed. She is very friendly and very professional. Thank you.")</f>
        <v>Hello, following my telephone interview with Widad, I had all the information I needed. She is very friendly and very professional. Thank you.</v>
      </c>
    </row>
    <row r="715" ht="15.75" customHeight="1">
      <c r="B715" s="2" t="s">
        <v>1983</v>
      </c>
      <c r="C715" s="2" t="s">
        <v>1984</v>
      </c>
      <c r="D715" s="2" t="s">
        <v>1827</v>
      </c>
      <c r="E715" s="2" t="s">
        <v>360</v>
      </c>
      <c r="F715" s="2" t="s">
        <v>15</v>
      </c>
      <c r="G715" s="2" t="s">
        <v>1985</v>
      </c>
      <c r="H715" s="2" t="s">
        <v>74</v>
      </c>
      <c r="I715" s="2" t="str">
        <f>IFERROR(__xludf.DUMMYFUNCTION("GOOGLETRANSLATE(C715,""fr"",""en"")"),"I was very satisfied with the professional competence of the person I had on the phone on June 16, 2021 around 11:30 a.m. Indeed, I had an urgent problem to settle which was very important. Problem of overlap of two complementary mutuals which prevented m"&amp;"e from being reimbursed by my complementary Néoliane who was in competition with my former mutual ""Pop Sante"". Teletransmission problem with Néoliane Health. Grise using this person who resolved this problem of remote transmission with Social Security a"&amp;"nd the reimbursement of April 08, 2021 of the medical examination at my doctor who was not reimbursed by your Management fund. Thank you Emeline by your kindness, for your patience to solve these two problems that arisen me. Please accept, Emeline, my sin"&amp;"cere greetings. Philippe Serenne")</f>
        <v>I was very satisfied with the professional competence of the person I had on the phone on June 16, 2021 around 11:30 a.m. Indeed, I had an urgent problem to settle which was very important. Problem of overlap of two complementary mutuals which prevented me from being reimbursed by my complementary Néoliane who was in competition with my former mutual "Pop Sante". Teletransmission problem with Néoliane Health. Grise using this person who resolved this problem of remote transmission with Social Security and the reimbursement of April 08, 2021 of the medical examination at my doctor who was not reimbursed by your Management fund. Thank you Emeline by your kindness, for your patience to solve these two problems that arisen me. Please accept, Emeline, my sincere greetings. Philippe Serenne</v>
      </c>
    </row>
    <row r="716" ht="15.75" customHeight="1">
      <c r="B716" s="2" t="s">
        <v>1986</v>
      </c>
      <c r="C716" s="2" t="s">
        <v>1987</v>
      </c>
      <c r="D716" s="2" t="s">
        <v>1827</v>
      </c>
      <c r="E716" s="2" t="s">
        <v>360</v>
      </c>
      <c r="F716" s="2" t="s">
        <v>15</v>
      </c>
      <c r="G716" s="2" t="s">
        <v>505</v>
      </c>
      <c r="H716" s="2" t="s">
        <v>74</v>
      </c>
      <c r="I716" s="2" t="str">
        <f>IFERROR(__xludf.DUMMYFUNCTION("GOOGLETRANSLATE(C716,""fr"",""en"")"),"Dam is a very kind and very devoted person with his clents but unfortunately she has not chosen good society although for some time I must admit that things have been well continued")</f>
        <v>Dam is a very kind and very devoted person with his clents but unfortunately she has not chosen good society although for some time I must admit that things have been well continued</v>
      </c>
    </row>
    <row r="717" ht="15.75" customHeight="1">
      <c r="B717" s="2" t="s">
        <v>1988</v>
      </c>
      <c r="C717" s="2" t="s">
        <v>1989</v>
      </c>
      <c r="D717" s="2" t="s">
        <v>1827</v>
      </c>
      <c r="E717" s="2" t="s">
        <v>360</v>
      </c>
      <c r="F717" s="2" t="s">
        <v>15</v>
      </c>
      <c r="G717" s="2" t="s">
        <v>1990</v>
      </c>
      <c r="H717" s="2" t="s">
        <v>74</v>
      </c>
      <c r="I717" s="2" t="str">
        <f>IFERROR(__xludf.DUMMYFUNCTION("GOOGLETRANSLATE(C717,""fr"",""en"")"),"I was approached today by a Neoliane counselor who claims to call me from a credit organization to which I joined for payment facilities.
The lady has a speech flow as one cannot place one. When I ask her to send me the brochure to think about it with a "&amp;"restful head she tells me that it is useless because I am not interested. Thing that I confirmed for once and there ... she hangs up on me !!!
Gentlemen, I don't know where you are advising you but you can be sure that I will never come to your home. Nei"&amp;"ther me nor those who ask me for advice ...")</f>
        <v>I was approached today by a Neoliane counselor who claims to call me from a credit organization to which I joined for payment facilities.
The lady has a speech flow as one cannot place one. When I ask her to send me the brochure to think about it with a restful head she tells me that it is useless because I am not interested. Thing that I confirmed for once and there ... she hangs up on me !!!
Gentlemen, I don't know where you are advising you but you can be sure that I will never come to your home. Neither me nor those who ask me for advice ...</v>
      </c>
    </row>
    <row r="718" ht="15.75" customHeight="1">
      <c r="B718" s="2" t="s">
        <v>1991</v>
      </c>
      <c r="C718" s="2" t="s">
        <v>1992</v>
      </c>
      <c r="D718" s="2" t="s">
        <v>1827</v>
      </c>
      <c r="E718" s="2" t="s">
        <v>360</v>
      </c>
      <c r="F718" s="2" t="s">
        <v>15</v>
      </c>
      <c r="G718" s="2" t="s">
        <v>315</v>
      </c>
      <c r="H718" s="2" t="s">
        <v>74</v>
      </c>
      <c r="I718" s="2" t="str">
        <f>IFERROR(__xludf.DUMMYFUNCTION("GOOGLETRANSLATE(C718,""fr"",""en"")"),"I had the pleasure of asking for information from Maria she was very professional and what is pleasant extremely kind and very clear about the subjects tackling Bravo to Maria")</f>
        <v>I had the pleasure of asking for information from Maria she was very professional and what is pleasant extremely kind and very clear about the subjects tackling Bravo to Maria</v>
      </c>
    </row>
    <row r="719" ht="15.75" customHeight="1">
      <c r="B719" s="2" t="s">
        <v>1993</v>
      </c>
      <c r="C719" s="2" t="s">
        <v>1994</v>
      </c>
      <c r="D719" s="2" t="s">
        <v>1827</v>
      </c>
      <c r="E719" s="2" t="s">
        <v>360</v>
      </c>
      <c r="F719" s="2" t="s">
        <v>15</v>
      </c>
      <c r="G719" s="2" t="s">
        <v>516</v>
      </c>
      <c r="H719" s="2" t="s">
        <v>74</v>
      </c>
      <c r="I719" s="2" t="str">
        <f>IFERROR(__xludf.DUMMYFUNCTION("GOOGLETRANSLATE(C719,""fr"",""en"")"),"Very disappointed !
Registration made via an online comparator, correct price but which increases without my wise over the years. No worries with reimbursements (after I go to the doctor once a year)
On the other hand, a real obstacle course to terminat"&amp;"e I discover that I have a double provident contract that I do not remember having subscribed to registration, a contract which is only terminated the beautiful business annually! And for the mutual termination supposed to be simple managed by my new mutu"&amp;"al I discover that I am always taken when it was done a month and a half ago! They lack a document that my new mutual insurance sends during the day and there I discover that I have to wait a month (without being really sure!) I am turned in circles when "&amp;"I call!
To flee !")</f>
        <v>Very disappointed !
Registration made via an online comparator, correct price but which increases without my wise over the years. No worries with reimbursements (after I go to the doctor once a year)
On the other hand, a real obstacle course to terminate I discover that I have a double provident contract that I do not remember having subscribed to registration, a contract which is only terminated the beautiful business annually! And for the mutual termination supposed to be simple managed by my new mutual I discover that I am always taken when it was done a month and a half ago! They lack a document that my new mutual insurance sends during the day and there I discover that I have to wait a month (without being really sure!) I am turned in circles when I call!
To flee !</v>
      </c>
    </row>
    <row r="720" ht="15.75" customHeight="1">
      <c r="B720" s="2" t="s">
        <v>1995</v>
      </c>
      <c r="C720" s="2" t="s">
        <v>1996</v>
      </c>
      <c r="D720" s="2" t="s">
        <v>1827</v>
      </c>
      <c r="E720" s="2" t="s">
        <v>360</v>
      </c>
      <c r="F720" s="2" t="s">
        <v>15</v>
      </c>
      <c r="G720" s="2" t="s">
        <v>74</v>
      </c>
      <c r="H720" s="2" t="s">
        <v>74</v>
      </c>
      <c r="I720" s="2" t="str">
        <f>IFERROR(__xludf.DUMMYFUNCTION("GOOGLETRANSLATE(C720,""fr"",""en"")"),"Following my phone call today your Nisrine advisor has shown a lot of patience towards me and answered all my questions in a very professional manner.
My request was relating to my customer area and to take stock of my refunds. I have been a customer at "&amp;"home since the beginning of the year and this welcome does not regret my choice.")</f>
        <v>Following my phone call today your Nisrine advisor has shown a lot of patience towards me and answered all my questions in a very professional manner.
My request was relating to my customer area and to take stock of my refunds. I have been a customer at home since the beginning of the year and this welcome does not regret my choice.</v>
      </c>
    </row>
    <row r="721" ht="15.75" customHeight="1">
      <c r="B721" s="2" t="s">
        <v>1997</v>
      </c>
      <c r="C721" s="2" t="s">
        <v>1998</v>
      </c>
      <c r="D721" s="2" t="s">
        <v>1827</v>
      </c>
      <c r="E721" s="2" t="s">
        <v>360</v>
      </c>
      <c r="F721" s="2" t="s">
        <v>15</v>
      </c>
      <c r="G721" s="2" t="s">
        <v>526</v>
      </c>
      <c r="H721" s="2" t="s">
        <v>84</v>
      </c>
      <c r="I721" s="2" t="str">
        <f>IFERROR(__xludf.DUMMYFUNCTION("GOOGLETRANSLATE(C721,""fr"",""en"")"),"Contract subscribed in December harassment of my grandmother on the phone. Huge care problem despite the corresponding guarantees. My grandmother asks to be well taken care of yes before she pays 47 euro other mutual there she has been at 87 euro in the e"&amp;"nd for 5 months I have been low because my grandmother was expensive dentist invoices 675 euro receive a call yesterday saying no We reimburse nothing we had to do the 100 % free the worst is the harassment to subscribe my after it comes to the ball")</f>
        <v>Contract subscribed in December harassment of my grandmother on the phone. Huge care problem despite the corresponding guarantees. My grandmother asks to be well taken care of yes before she pays 47 euro other mutual there she has been at 87 euro in the end for 5 months I have been low because my grandmother was expensive dentist invoices 675 euro receive a call yesterday saying no We reimburse nothing we had to do the 100 % free the worst is the harassment to subscribe my after it comes to the ball</v>
      </c>
    </row>
    <row r="722" ht="15.75" customHeight="1">
      <c r="B722" s="2" t="s">
        <v>1999</v>
      </c>
      <c r="C722" s="2" t="s">
        <v>2000</v>
      </c>
      <c r="D722" s="2" t="s">
        <v>1827</v>
      </c>
      <c r="E722" s="2" t="s">
        <v>360</v>
      </c>
      <c r="F722" s="2" t="s">
        <v>15</v>
      </c>
      <c r="G722" s="2" t="s">
        <v>83</v>
      </c>
      <c r="H722" s="2" t="s">
        <v>84</v>
      </c>
      <c r="I722" s="2" t="str">
        <f>IFERROR(__xludf.DUMMYFUNCTION("GOOGLETRANSLATE(C722,""fr"",""en"")"),"New member since 1/01/21, for the moment it is difficult for me to be objective, as for the prices, they are average for correct services, a small downside for the acts of which you advance the costs ( 5 to 6 weeks) to be reimbursed !!!!!!! on the other h"&amp;"and I appreciate the adherent space: clear, monitoring of requests ...")</f>
        <v>New member since 1/01/21, for the moment it is difficult for me to be objective, as for the prices, they are average for correct services, a small downside for the acts of which you advance the costs ( 5 to 6 weeks) to be reimbursed !!!!!!! on the other hand I appreciate the adherent space: clear, monitoring of requests ...</v>
      </c>
    </row>
    <row r="723" ht="15.75" customHeight="1">
      <c r="B723" s="2" t="s">
        <v>2001</v>
      </c>
      <c r="C723" s="2" t="s">
        <v>2002</v>
      </c>
      <c r="D723" s="2" t="s">
        <v>1827</v>
      </c>
      <c r="E723" s="2" t="s">
        <v>360</v>
      </c>
      <c r="F723" s="2" t="s">
        <v>15</v>
      </c>
      <c r="G723" s="2" t="s">
        <v>531</v>
      </c>
      <c r="H723" s="2" t="s">
        <v>84</v>
      </c>
      <c r="I723" s="2" t="str">
        <f>IFERROR(__xludf.DUMMYFUNCTION("GOOGLETRANSLATE(C723,""fr"",""en"")"),"Today, I had Léa on the phone: I conversed with a charming young woman, with a bewitching, and perfectly competent voice, who took me out of an insoluble computer problem for me.
I send a very big thank you to this person !!")</f>
        <v>Today, I had Léa on the phone: I conversed with a charming young woman, with a bewitching, and perfectly competent voice, who took me out of an insoluble computer problem for me.
I send a very big thank you to this person !!</v>
      </c>
    </row>
    <row r="724" ht="15.75" customHeight="1">
      <c r="B724" s="2" t="s">
        <v>2003</v>
      </c>
      <c r="C724" s="2" t="s">
        <v>2004</v>
      </c>
      <c r="D724" s="2" t="s">
        <v>1827</v>
      </c>
      <c r="E724" s="2" t="s">
        <v>360</v>
      </c>
      <c r="F724" s="2" t="s">
        <v>15</v>
      </c>
      <c r="G724" s="2" t="s">
        <v>531</v>
      </c>
      <c r="H724" s="2" t="s">
        <v>84</v>
      </c>
      <c r="I724" s="2" t="str">
        <f>IFERROR(__xludf.DUMMYFUNCTION("GOOGLETRANSLATE(C724,""fr"",""en"")"),"Very bad mutual. Does not reimburse anything. Obligation to take 100% health service if you want to get into your expenses. But this is not always possible so it remains to be paid if you want to heal yourself properly. When I subscribe I was made to be s"&amp;"himmer Find in a situation where I have to choose a priority in my choice of care I need .. Neoliane = mutual for rich seniors .. that does not run the streets ... Avoid ...")</f>
        <v>Very bad mutual. Does not reimburse anything. Obligation to take 100% health service if you want to get into your expenses. But this is not always possible so it remains to be paid if you want to heal yourself properly. When I subscribe I was made to be shimmer Find in a situation where I have to choose a priority in my choice of care I need .. Neoliane = mutual for rich seniors .. that does not run the streets ... Avoid ...</v>
      </c>
    </row>
    <row r="725" ht="15.75" customHeight="1">
      <c r="B725" s="2" t="s">
        <v>2005</v>
      </c>
      <c r="C725" s="2" t="s">
        <v>2006</v>
      </c>
      <c r="D725" s="2" t="s">
        <v>1827</v>
      </c>
      <c r="E725" s="2" t="s">
        <v>360</v>
      </c>
      <c r="F725" s="2" t="s">
        <v>15</v>
      </c>
      <c r="G725" s="2" t="s">
        <v>242</v>
      </c>
      <c r="H725" s="2" t="s">
        <v>84</v>
      </c>
      <c r="I725" s="2" t="str">
        <f>IFERROR(__xludf.DUMMYFUNCTION("GOOGLETRANSLATE(C725,""fr"",""en"")"),"  Nisrine is very good advisor, kind, well explained the advantages concerning the contract subscribed
Relational and professional. I highly recommend it.")</f>
        <v>  Nisrine is very good advisor, kind, well explained the advantages concerning the contract subscribed
Relational and professional. I highly recommend it.</v>
      </c>
    </row>
    <row r="726" ht="15.75" customHeight="1">
      <c r="B726" s="2" t="s">
        <v>2007</v>
      </c>
      <c r="C726" s="2" t="s">
        <v>2008</v>
      </c>
      <c r="D726" s="2" t="s">
        <v>1827</v>
      </c>
      <c r="E726" s="2" t="s">
        <v>360</v>
      </c>
      <c r="F726" s="2" t="s">
        <v>15</v>
      </c>
      <c r="G726" s="2" t="s">
        <v>2009</v>
      </c>
      <c r="H726" s="2" t="s">
        <v>84</v>
      </c>
      <c r="I726" s="2" t="str">
        <f>IFERROR(__xludf.DUMMYFUNCTION("GOOGLETRANSLATE(C726,""fr"",""en"")"),"The reimbursement is very long 8 weeks after several reminders but they do not answer and I had an accepted quote. On the site its treated poster")</f>
        <v>The reimbursement is very long 8 weeks after several reminders but they do not answer and I had an accepted quote. On the site its treated poster</v>
      </c>
    </row>
    <row r="727" ht="15.75" customHeight="1">
      <c r="B727" s="2" t="s">
        <v>2010</v>
      </c>
      <c r="C727" s="2" t="s">
        <v>2011</v>
      </c>
      <c r="D727" s="2" t="s">
        <v>1827</v>
      </c>
      <c r="E727" s="2" t="s">
        <v>360</v>
      </c>
      <c r="F727" s="2" t="s">
        <v>15</v>
      </c>
      <c r="G727" s="2" t="s">
        <v>2012</v>
      </c>
      <c r="H727" s="2" t="s">
        <v>84</v>
      </c>
      <c r="I727" s="2" t="str">
        <f>IFERROR(__xludf.DUMMYFUNCTION("GOOGLETRANSLATE(C727,""fr"",""en"")"),"I have a person on the phone who is called ""Emeline"", he is a very professional and very friendly person who informed me very well and helped as well to create my account as I could not do as additional information concerning mutual health insurance.")</f>
        <v>I have a person on the phone who is called "Emeline", he is a very professional and very friendly person who informed me very well and helped as well to create my account as I could not do as additional information concerning mutual health insurance.</v>
      </c>
    </row>
    <row r="728" ht="15.75" customHeight="1">
      <c r="B728" s="2" t="s">
        <v>2013</v>
      </c>
      <c r="C728" s="2" t="s">
        <v>2014</v>
      </c>
      <c r="D728" s="2" t="s">
        <v>1827</v>
      </c>
      <c r="E728" s="2" t="s">
        <v>360</v>
      </c>
      <c r="F728" s="2" t="s">
        <v>15</v>
      </c>
      <c r="G728" s="2" t="s">
        <v>2015</v>
      </c>
      <c r="H728" s="2" t="s">
        <v>84</v>
      </c>
      <c r="I728" s="2" t="str">
        <f>IFERROR(__xludf.DUMMYFUNCTION("GOOGLETRANSLATE(C728,""fr"",""en"")"),"I was received by Aminata and frankly I liked her professionalism his kindness and especially his perseverance to find me and send me all the documents that I asked for.
Another big thank you to Aminata.")</f>
        <v>I was received by Aminata and frankly I liked her professionalism his kindness and especially his perseverance to find me and send me all the documents that I asked for.
Another big thank you to Aminata.</v>
      </c>
    </row>
    <row r="729" ht="15.75" customHeight="1">
      <c r="B729" s="2" t="s">
        <v>2016</v>
      </c>
      <c r="C729" s="2" t="s">
        <v>2017</v>
      </c>
      <c r="D729" s="2" t="s">
        <v>1827</v>
      </c>
      <c r="E729" s="2" t="s">
        <v>360</v>
      </c>
      <c r="F729" s="2" t="s">
        <v>15</v>
      </c>
      <c r="G729" s="2" t="s">
        <v>2015</v>
      </c>
      <c r="H729" s="2" t="s">
        <v>84</v>
      </c>
      <c r="I729" s="2" t="str">
        <f>IFERROR(__xludf.DUMMYFUNCTION("GOOGLETRANSLATE(C729,""fr"",""en"")"),"The person who informed me was very courteous and responded satisfactorily to all my questions. I now know how to send a refund request or care.")</f>
        <v>The person who informed me was very courteous and responded satisfactorily to all my questions. I now know how to send a refund request or care.</v>
      </c>
    </row>
    <row r="730" ht="15.75" customHeight="1">
      <c r="B730" s="2" t="s">
        <v>2018</v>
      </c>
      <c r="C730" s="2" t="s">
        <v>2019</v>
      </c>
      <c r="D730" s="2" t="s">
        <v>1827</v>
      </c>
      <c r="E730" s="2" t="s">
        <v>360</v>
      </c>
      <c r="F730" s="2" t="s">
        <v>15</v>
      </c>
      <c r="G730" s="2" t="s">
        <v>534</v>
      </c>
      <c r="H730" s="2" t="s">
        <v>84</v>
      </c>
      <c r="I730" s="2" t="str">
        <f>IFERROR(__xludf.DUMMYFUNCTION("GOOGLETRANSLATE(C730,""fr"",""en"")"),"Advisor Saliha answered me with great kindness to my questions and directed me very well in the process for reimbursements and create my member space. Thank you")</f>
        <v>Advisor Saliha answered me with great kindness to my questions and directed me very well in the process for reimbursements and create my member space. Thank you</v>
      </c>
    </row>
    <row r="731" ht="15.75" customHeight="1">
      <c r="B731" s="2" t="s">
        <v>2020</v>
      </c>
      <c r="C731" s="2" t="s">
        <v>2021</v>
      </c>
      <c r="D731" s="2" t="s">
        <v>1827</v>
      </c>
      <c r="E731" s="2" t="s">
        <v>360</v>
      </c>
      <c r="F731" s="2" t="s">
        <v>15</v>
      </c>
      <c r="G731" s="2" t="s">
        <v>1249</v>
      </c>
      <c r="H731" s="2" t="s">
        <v>84</v>
      </c>
      <c r="I731" s="2" t="str">
        <f>IFERROR(__xludf.DUMMYFUNCTION("GOOGLETRANSLATE(C731,""fr"",""en"")"),"I obtained from Lea, advisor, all the answers I needed. I also point out that this contact with Lea was pleasant and very satisfactory.")</f>
        <v>I obtained from Lea, advisor, all the answers I needed. I also point out that this contact with Lea was pleasant and very satisfactory.</v>
      </c>
    </row>
    <row r="732" ht="15.75" customHeight="1">
      <c r="B732" s="2" t="s">
        <v>2022</v>
      </c>
      <c r="C732" s="2" t="s">
        <v>2023</v>
      </c>
      <c r="D732" s="2" t="s">
        <v>1827</v>
      </c>
      <c r="E732" s="2" t="s">
        <v>360</v>
      </c>
      <c r="F732" s="2" t="s">
        <v>15</v>
      </c>
      <c r="G732" s="2" t="s">
        <v>2024</v>
      </c>
      <c r="H732" s="2" t="s">
        <v>91</v>
      </c>
      <c r="I732" s="2" t="str">
        <f>IFERROR(__xludf.DUMMYFUNCTION("GOOGLETRANSLATE(C732,""fr"",""en"")"),"For the moment I am satisfied, but it is not always easy to reach you on the phone
And your recent repayment deadlines have not been very fast.
Cordially.
Pierangeli Maurizio")</f>
        <v>For the moment I am satisfied, but it is not always easy to reach you on the phone
And your recent repayment deadlines have not been very fast.
Cordially.
Pierangeli Maurizio</v>
      </c>
    </row>
    <row r="733" ht="15.75" customHeight="1">
      <c r="B733" s="2" t="s">
        <v>2025</v>
      </c>
      <c r="C733" s="2" t="s">
        <v>2026</v>
      </c>
      <c r="D733" s="2" t="s">
        <v>1827</v>
      </c>
      <c r="E733" s="2" t="s">
        <v>360</v>
      </c>
      <c r="F733" s="2" t="s">
        <v>15</v>
      </c>
      <c r="G733" s="2" t="s">
        <v>2027</v>
      </c>
      <c r="H733" s="2" t="s">
        <v>91</v>
      </c>
      <c r="I733" s="2" t="str">
        <f>IFERROR(__xludf.DUMMYFUNCTION("GOOGLETRANSLATE(C733,""fr"",""en"")"),"Regarding the advisor, I would say that she was very professional and beyond the information she has given me. If each of my calls could be dealt with in this way, we would no longer be tempted to change mutual.")</f>
        <v>Regarding the advisor, I would say that she was very professional and beyond the information she has given me. If each of my calls could be dealt with in this way, we would no longer be tempted to change mutual.</v>
      </c>
    </row>
    <row r="734" ht="15.75" customHeight="1">
      <c r="B734" s="2" t="s">
        <v>2028</v>
      </c>
      <c r="C734" s="2" t="s">
        <v>2029</v>
      </c>
      <c r="D734" s="2" t="s">
        <v>1827</v>
      </c>
      <c r="E734" s="2" t="s">
        <v>360</v>
      </c>
      <c r="F734" s="2" t="s">
        <v>15</v>
      </c>
      <c r="G734" s="2" t="s">
        <v>2027</v>
      </c>
      <c r="H734" s="2" t="s">
        <v>91</v>
      </c>
      <c r="I734" s="2" t="str">
        <f>IFERROR(__xludf.DUMMYFUNCTION("GOOGLETRANSLATE(C734,""fr"",""en"")"),"I was mistakenly subscribed to two health mutuals, one of which was in Neoliane.
When I realized it, I got closer to Neoliane whose subscription was made after that signed with a competitor. The documents requested having been provided, I contacted a rep"&amp;"resentative of Neoliane to find out what had been decided about my request for the cancellation of subscription. My interlocutor, an Aminata lady, listened to me perfectly, informed and sent me my adhesion cancellation. I thank this person for his kindnes"&amp;"s, his courtesy and his acute sense of the relational which values ​​the society for which they work.")</f>
        <v>I was mistakenly subscribed to two health mutuals, one of which was in Neoliane.
When I realized it, I got closer to Neoliane whose subscription was made after that signed with a competitor. The documents requested having been provided, I contacted a representative of Neoliane to find out what had been decided about my request for the cancellation of subscription. My interlocutor, an Aminata lady, listened to me perfectly, informed and sent me my adhesion cancellation. I thank this person for his kindness, his courtesy and his acute sense of the relational which values ​​the society for which they work.</v>
      </c>
    </row>
    <row r="735" ht="15.75" customHeight="1">
      <c r="B735" s="2" t="s">
        <v>2030</v>
      </c>
      <c r="C735" s="2" t="s">
        <v>2031</v>
      </c>
      <c r="D735" s="2" t="s">
        <v>1827</v>
      </c>
      <c r="E735" s="2" t="s">
        <v>360</v>
      </c>
      <c r="F735" s="2" t="s">
        <v>15</v>
      </c>
      <c r="G735" s="2" t="s">
        <v>2032</v>
      </c>
      <c r="H735" s="2" t="s">
        <v>91</v>
      </c>
      <c r="I735" s="2" t="str">
        <f>IFERROR(__xludf.DUMMYFUNCTION("GOOGLETRANSLATE(C735,""fr"",""en"")"),"Majelis the broker with whom I subscribed the Neoliane contract is at the top but Neoliane de la M .... The management center is unable to answer, to be courteous, and gives false info, sends you emails to claim you Documents already transmitted, incompet"&amp;"ence ... a fuiiiir")</f>
        <v>Majelis the broker with whom I subscribed the Neoliane contract is at the top but Neoliane de la M .... The management center is unable to answer, to be courteous, and gives false info, sends you emails to claim you Documents already transmitted, incompetence ... a fuiiiir</v>
      </c>
    </row>
    <row r="736" ht="15.75" customHeight="1">
      <c r="B736" s="2" t="s">
        <v>2033</v>
      </c>
      <c r="C736" s="2" t="s">
        <v>2034</v>
      </c>
      <c r="D736" s="2" t="s">
        <v>1827</v>
      </c>
      <c r="E736" s="2" t="s">
        <v>360</v>
      </c>
      <c r="F736" s="2" t="s">
        <v>15</v>
      </c>
      <c r="G736" s="2" t="s">
        <v>2035</v>
      </c>
      <c r="H736" s="2" t="s">
        <v>91</v>
      </c>
      <c r="I736" s="2" t="str">
        <f>IFERROR(__xludf.DUMMYFUNCTION("GOOGLETRANSLATE(C736,""fr"",""en"")"),"For a specific need, Léa knew how to answer me precisely on the contract requested an excellent welcome and very pleasant on the phone, and availability")</f>
        <v>For a specific need, Léa knew how to answer me precisely on the contract requested an excellent welcome and very pleasant on the phone, and availability</v>
      </c>
    </row>
    <row r="737" ht="15.75" customHeight="1">
      <c r="B737" s="2" t="s">
        <v>2036</v>
      </c>
      <c r="C737" s="2" t="s">
        <v>2037</v>
      </c>
      <c r="D737" s="2" t="s">
        <v>1827</v>
      </c>
      <c r="E737" s="2" t="s">
        <v>360</v>
      </c>
      <c r="F737" s="2" t="s">
        <v>15</v>
      </c>
      <c r="G737" s="2" t="s">
        <v>2035</v>
      </c>
      <c r="H737" s="2" t="s">
        <v>91</v>
      </c>
      <c r="I737" s="2" t="str">
        <f>IFERROR(__xludf.DUMMYFUNCTION("GOOGLETRANSLATE(C737,""fr"",""en"")"),"In no way satisfied with the services of Neoliane which makes us waste time claiming documents from our former insurance company and systematically sends us back to our broker, even if the latter has not respected his commitments. A priori in the event of"&amp;" a complaint or modification, only the broker can intervene on our contract.")</f>
        <v>In no way satisfied with the services of Neoliane which makes us waste time claiming documents from our former insurance company and systematically sends us back to our broker, even if the latter has not respected his commitments. A priori in the event of a complaint or modification, only the broker can intervene on our contract.</v>
      </c>
    </row>
    <row r="738" ht="15.75" customHeight="1">
      <c r="B738" s="2" t="s">
        <v>2038</v>
      </c>
      <c r="C738" s="2" t="s">
        <v>2039</v>
      </c>
      <c r="D738" s="2" t="s">
        <v>1827</v>
      </c>
      <c r="E738" s="2" t="s">
        <v>360</v>
      </c>
      <c r="F738" s="2" t="s">
        <v>15</v>
      </c>
      <c r="G738" s="2" t="s">
        <v>2040</v>
      </c>
      <c r="H738" s="2" t="s">
        <v>91</v>
      </c>
      <c r="I738" s="2" t="str">
        <f>IFERROR(__xludf.DUMMYFUNCTION("GOOGLETRANSLATE(C738,""fr"",""en"")"),"Whenever I called Néoliane to have information on monitoring one of my files, I was very well received and entered.
The last time Emeline was very kind patient and very effective. My situation was released in a few minutes.
")</f>
        <v>Whenever I called Néoliane to have information on monitoring one of my files, I was very well received and entered.
The last time Emeline was very kind patient and very effective. My situation was released in a few minutes.
</v>
      </c>
    </row>
    <row r="739" ht="15.75" customHeight="1">
      <c r="B739" s="2" t="s">
        <v>2041</v>
      </c>
      <c r="C739" s="2" t="s">
        <v>2042</v>
      </c>
      <c r="D739" s="2" t="s">
        <v>1827</v>
      </c>
      <c r="E739" s="2" t="s">
        <v>360</v>
      </c>
      <c r="F739" s="2" t="s">
        <v>15</v>
      </c>
      <c r="G739" s="2" t="s">
        <v>537</v>
      </c>
      <c r="H739" s="2" t="s">
        <v>91</v>
      </c>
      <c r="I739" s="2" t="str">
        <f>IFERROR(__xludf.DUMMYFUNCTION("GOOGLETRANSLATE(C739,""fr"",""en"")"),"Scandalous !!!
Brokers start people by phone, no matter their method, use fragile people to reach their end.
My sick mom, psychologically, and physically got fooled, and when I realized it ... We struggle to terminate and surprise we cannot resolve for "&amp;"1 year! Electronic signed contract is said to be? My mom is already having trouble sending an SMS, struggling to believe that she has signed anything.
She ends up with the CMU (supposedly an Eligible Reason for termination specified on their site but no!"&amp;") And at the RSA, she already struggles to finish the month and must pay in the wind a service which is useless.
Their methods are shameful, scandalous and benefits from naive and weak defenseless people !!!!!!!!
To flee absolutely !!!!!!!!")</f>
        <v>Scandalous !!!
Brokers start people by phone, no matter their method, use fragile people to reach their end.
My sick mom, psychologically, and physically got fooled, and when I realized it ... We struggle to terminate and surprise we cannot resolve for 1 year! Electronic signed contract is said to be? My mom is already having trouble sending an SMS, struggling to believe that she has signed anything.
She ends up with the CMU (supposedly an Eligible Reason for termination specified on their site but no!) And at the RSA, she already struggles to finish the month and must pay in the wind a service which is useless.
Their methods are shameful, scandalous and benefits from naive and weak defenseless people !!!!!!!!
To flee absolutely !!!!!!!!</v>
      </c>
    </row>
    <row r="740" ht="15.75" customHeight="1">
      <c r="B740" s="2" t="s">
        <v>2043</v>
      </c>
      <c r="C740" s="2" t="s">
        <v>2044</v>
      </c>
      <c r="D740" s="2" t="s">
        <v>1827</v>
      </c>
      <c r="E740" s="2" t="s">
        <v>360</v>
      </c>
      <c r="F740" s="2" t="s">
        <v>15</v>
      </c>
      <c r="G740" s="2" t="s">
        <v>537</v>
      </c>
      <c r="H740" s="2" t="s">
        <v>91</v>
      </c>
      <c r="I740" s="2" t="str">
        <f>IFERROR(__xludf.DUMMYFUNCTION("GOOGLETRANSLATE(C740,""fr"",""en"")"),"Ms. Widad was very kind and helpful as possible. She reminded me and supported me in my approach and well informed.
Thank you so much.
Martine Langlois")</f>
        <v>Ms. Widad was very kind and helpful as possible. She reminded me and supported me in my approach and well informed.
Thank you so much.
Martine Langlois</v>
      </c>
    </row>
    <row r="741" ht="15.75" customHeight="1">
      <c r="B741" s="2" t="s">
        <v>2045</v>
      </c>
      <c r="C741" s="2" t="s">
        <v>2046</v>
      </c>
      <c r="D741" s="2" t="s">
        <v>1827</v>
      </c>
      <c r="E741" s="2" t="s">
        <v>360</v>
      </c>
      <c r="F741" s="2" t="s">
        <v>15</v>
      </c>
      <c r="G741" s="2" t="s">
        <v>542</v>
      </c>
      <c r="H741" s="2" t="s">
        <v>91</v>
      </c>
      <c r="I741" s="2" t="str">
        <f>IFERROR(__xludf.DUMMYFUNCTION("GOOGLETRANSLATE(C741,""fr"",""en"")"),"Very well informed by a kind, competent and good advice person.
I highly recommend this mutual that suits me perfectly.
And I no longer want to have to do with illusions merchants unable to follow their files.
")</f>
        <v>Very well informed by a kind, competent and good advice person.
I highly recommend this mutual that suits me perfectly.
And I no longer want to have to do with illusions merchants unable to follow their files.
</v>
      </c>
    </row>
    <row r="742" ht="15.75" customHeight="1">
      <c r="B742" s="2" t="s">
        <v>2047</v>
      </c>
      <c r="C742" s="2" t="s">
        <v>2048</v>
      </c>
      <c r="D742" s="2" t="s">
        <v>1827</v>
      </c>
      <c r="E742" s="2" t="s">
        <v>360</v>
      </c>
      <c r="F742" s="2" t="s">
        <v>15</v>
      </c>
      <c r="G742" s="2" t="s">
        <v>2049</v>
      </c>
      <c r="H742" s="2" t="s">
        <v>91</v>
      </c>
      <c r="I742" s="2" t="str">
        <f>IFERROR(__xludf.DUMMYFUNCTION("GOOGLETRANSLATE(C742,""fr"",""en"")"),"Health Insurance, which does not care about its members, no responsiveness except for the samples. 2 months of waiting for a simple reimbursement, and so on ... Demand termination not taken into account with proof. not to be recommended")</f>
        <v>Health Insurance, which does not care about its members, no responsiveness except for the samples. 2 months of waiting for a simple reimbursement, and so on ... Demand termination not taken into account with proof. not to be recommended</v>
      </c>
    </row>
    <row r="743" ht="15.75" customHeight="1">
      <c r="B743" s="2" t="s">
        <v>2050</v>
      </c>
      <c r="C743" s="2" t="s">
        <v>2051</v>
      </c>
      <c r="D743" s="2" t="s">
        <v>1827</v>
      </c>
      <c r="E743" s="2" t="s">
        <v>360</v>
      </c>
      <c r="F743" s="2" t="s">
        <v>15</v>
      </c>
      <c r="G743" s="2" t="s">
        <v>90</v>
      </c>
      <c r="H743" s="2" t="s">
        <v>91</v>
      </c>
      <c r="I743" s="2" t="str">
        <f>IFERROR(__xludf.DUMMYFUNCTION("GOOGLETRANSLATE(C743,""fr"",""en"")"),"Very well received and very well informed
Delighted with my telephone exchange again thank you Angelique
A good price and good service
")</f>
        <v>Very well received and very well informed
Delighted with my telephone exchange again thank you Angelique
A good price and good service
</v>
      </c>
    </row>
    <row r="744" ht="15.75" customHeight="1">
      <c r="B744" s="2" t="s">
        <v>2052</v>
      </c>
      <c r="C744" s="2" t="s">
        <v>2053</v>
      </c>
      <c r="D744" s="2" t="s">
        <v>1827</v>
      </c>
      <c r="E744" s="2" t="s">
        <v>360</v>
      </c>
      <c r="F744" s="2" t="s">
        <v>15</v>
      </c>
      <c r="G744" s="2" t="s">
        <v>90</v>
      </c>
      <c r="H744" s="2" t="s">
        <v>91</v>
      </c>
      <c r="I744" s="2" t="str">
        <f>IFERROR(__xludf.DUMMYFUNCTION("GOOGLETRANSLATE(C744,""fr"",""en"")"),"Excellent contact with Émeline, who was able to respond to my request for termination with speed and professionalism.
Only downside: more than 10 minutes of waiting on the phone before being put in contact with an interlocutor.")</f>
        <v>Excellent contact with Émeline, who was able to respond to my request for termination with speed and professionalism.
Only downside: more than 10 minutes of waiting on the phone before being put in contact with an interlocutor.</v>
      </c>
    </row>
    <row r="745" ht="15.75" customHeight="1">
      <c r="B745" s="2" t="s">
        <v>2054</v>
      </c>
      <c r="C745" s="2" t="s">
        <v>2055</v>
      </c>
      <c r="D745" s="2" t="s">
        <v>1827</v>
      </c>
      <c r="E745" s="2" t="s">
        <v>360</v>
      </c>
      <c r="F745" s="2" t="s">
        <v>15</v>
      </c>
      <c r="G745" s="2" t="s">
        <v>90</v>
      </c>
      <c r="H745" s="2" t="s">
        <v>91</v>
      </c>
      <c r="I745" s="2" t="str">
        <f>IFERROR(__xludf.DUMMYFUNCTION("GOOGLETRANSLATE(C745,""fr"",""en"")"),"Hello,
I was very well informed by angelic interlocutor, kind patient and very smiling she was able to solve the problem with great efficiency.
Very satisfied with this mutual I recommend.
Madame Arnold")</f>
        <v>Hello,
I was very well informed by angelic interlocutor, kind patient and very smiling she was able to solve the problem with great efficiency.
Very satisfied with this mutual I recommend.
Madame Arnold</v>
      </c>
    </row>
    <row r="746" ht="15.75" customHeight="1">
      <c r="B746" s="2" t="s">
        <v>2056</v>
      </c>
      <c r="C746" s="2" t="s">
        <v>2057</v>
      </c>
      <c r="D746" s="2" t="s">
        <v>1827</v>
      </c>
      <c r="E746" s="2" t="s">
        <v>360</v>
      </c>
      <c r="F746" s="2" t="s">
        <v>15</v>
      </c>
      <c r="G746" s="2" t="s">
        <v>91</v>
      </c>
      <c r="H746" s="2" t="s">
        <v>91</v>
      </c>
      <c r="I746" s="2" t="str">
        <f>IFERROR(__xludf.DUMMYFUNCTION("GOOGLETRANSLATE(C746,""fr"",""en"")"),"My correspondent Quamar was very kind and gave me all her help, she is very professional, she knows her job well, if I have another problem I will not hesitate to call her")</f>
        <v>My correspondent Quamar was very kind and gave me all her help, she is very professional, she knows her job well, if I have another problem I will not hesitate to call her</v>
      </c>
    </row>
    <row r="747" ht="15.75" customHeight="1">
      <c r="B747" s="2" t="s">
        <v>2058</v>
      </c>
      <c r="C747" s="2" t="s">
        <v>2059</v>
      </c>
      <c r="D747" s="2" t="s">
        <v>1827</v>
      </c>
      <c r="E747" s="2" t="s">
        <v>360</v>
      </c>
      <c r="F747" s="2" t="s">
        <v>15</v>
      </c>
      <c r="G747" s="2" t="s">
        <v>557</v>
      </c>
      <c r="H747" s="2" t="s">
        <v>105</v>
      </c>
      <c r="I747" s="2" t="str">
        <f>IFERROR(__xludf.DUMMYFUNCTION("GOOGLETRANSLATE(C747,""fr"",""en"")"),"Hello, new member, I had elements to make it clear. I had as an interlocutor Salhia, who faced with my requests, it is shown to be very available, extremely professional and of great kindness. Cheer ! Good continuation !")</f>
        <v>Hello, new member, I had elements to make it clear. I had as an interlocutor Salhia, who faced with my requests, it is shown to be very available, extremely professional and of great kindness. Cheer ! Good continuation !</v>
      </c>
    </row>
    <row r="748" ht="15.75" customHeight="1">
      <c r="B748" s="2" t="s">
        <v>2060</v>
      </c>
      <c r="C748" s="2" t="s">
        <v>2061</v>
      </c>
      <c r="D748" s="2" t="s">
        <v>1827</v>
      </c>
      <c r="E748" s="2" t="s">
        <v>360</v>
      </c>
      <c r="F748" s="2" t="s">
        <v>15</v>
      </c>
      <c r="G748" s="2" t="s">
        <v>2062</v>
      </c>
      <c r="H748" s="2" t="s">
        <v>105</v>
      </c>
      <c r="I748" s="2" t="str">
        <f>IFERROR(__xludf.DUMMYFUNCTION("GOOGLETRANSLATE(C748,""fr"",""en"")"),"I was very well received by Emeline, met my expectations and my requests, very courteous, pleasant and efficient, understanding, clear and clear response")</f>
        <v>I was very well received by Emeline, met my expectations and my requests, very courteous, pleasant and efficient, understanding, clear and clear response</v>
      </c>
    </row>
    <row r="749" ht="15.75" customHeight="1">
      <c r="B749" s="2" t="s">
        <v>2063</v>
      </c>
      <c r="C749" s="2" t="s">
        <v>2064</v>
      </c>
      <c r="D749" s="2" t="s">
        <v>1827</v>
      </c>
      <c r="E749" s="2" t="s">
        <v>360</v>
      </c>
      <c r="F749" s="2" t="s">
        <v>15</v>
      </c>
      <c r="G749" s="2" t="s">
        <v>2062</v>
      </c>
      <c r="H749" s="2" t="s">
        <v>105</v>
      </c>
      <c r="I749" s="2" t="str">
        <f>IFERROR(__xludf.DUMMYFUNCTION("GOOGLETRANSLATE(C749,""fr"",""en"")"),"Superb friendly and helpful advisor it changes from some people who use very happy to have it and that I recommend to everyone")</f>
        <v>Superb friendly and helpful advisor it changes from some people who use very happy to have it and that I recommend to everyone</v>
      </c>
    </row>
    <row r="750" ht="15.75" customHeight="1">
      <c r="B750" s="2" t="s">
        <v>2065</v>
      </c>
      <c r="C750" s="2" t="s">
        <v>2066</v>
      </c>
      <c r="D750" s="2" t="s">
        <v>1827</v>
      </c>
      <c r="E750" s="2" t="s">
        <v>360</v>
      </c>
      <c r="F750" s="2" t="s">
        <v>15</v>
      </c>
      <c r="G750" s="2" t="s">
        <v>566</v>
      </c>
      <c r="H750" s="2" t="s">
        <v>105</v>
      </c>
      <c r="I750" s="2" t="str">
        <f>IFERROR(__xludf.DUMMYFUNCTION("GOOGLETRANSLATE(C750,""fr"",""en"")"),"Very easy to enter it real galley to get out very bad times very long response in order to continue the samples after the terminated contract we do not listen to you in such it is wearing and tiring we fight against a mill
")</f>
        <v>Very easy to enter it real galley to get out very bad times very long response in order to continue the samples after the terminated contract we do not listen to you in such it is wearing and tiring we fight against a mill
</v>
      </c>
    </row>
    <row r="751" ht="15.75" customHeight="1">
      <c r="B751" s="2" t="s">
        <v>2067</v>
      </c>
      <c r="C751" s="2" t="s">
        <v>2068</v>
      </c>
      <c r="D751" s="2" t="s">
        <v>1827</v>
      </c>
      <c r="E751" s="2" t="s">
        <v>360</v>
      </c>
      <c r="F751" s="2" t="s">
        <v>15</v>
      </c>
      <c r="G751" s="2" t="s">
        <v>569</v>
      </c>
      <c r="H751" s="2" t="s">
        <v>105</v>
      </c>
      <c r="I751" s="2" t="str">
        <f>IFERROR(__xludf.DUMMYFUNCTION("GOOGLETRANSLATE(C751,""fr"",""en"")"),"I had a telephone exchange with Emeline. The latter was very pleasant and friendly. I had the information that I was looking for without any difficulty.
French Marrocco")</f>
        <v>I had a telephone exchange with Emeline. The latter was very pleasant and friendly. I had the information that I was looking for without any difficulty.
French Marrocco</v>
      </c>
    </row>
    <row r="752" ht="15.75" customHeight="1">
      <c r="B752" s="2" t="s">
        <v>2069</v>
      </c>
      <c r="C752" s="2" t="s">
        <v>2070</v>
      </c>
      <c r="D752" s="2" t="s">
        <v>1827</v>
      </c>
      <c r="E752" s="2" t="s">
        <v>360</v>
      </c>
      <c r="F752" s="2" t="s">
        <v>15</v>
      </c>
      <c r="G752" s="2" t="s">
        <v>2071</v>
      </c>
      <c r="H752" s="2" t="s">
        <v>105</v>
      </c>
      <c r="I752" s="2" t="str">
        <f>IFERROR(__xludf.DUMMYFUNCTION("GOOGLETRANSLATE(C752,""fr"",""en"")"),"Hello,
It was Angelique who took care of me.
She was very responsive and was able to answer all my questions.
In addition to that, a very soft voice!
I recommend +++
Cdlt")</f>
        <v>Hello,
It was Angelique who took care of me.
She was very responsive and was able to answer all my questions.
In addition to that, a very soft voice!
I recommend +++
Cdlt</v>
      </c>
    </row>
    <row r="753" ht="15.75" customHeight="1">
      <c r="B753" s="2" t="s">
        <v>2072</v>
      </c>
      <c r="C753" s="2" t="s">
        <v>2073</v>
      </c>
      <c r="D753" s="2" t="s">
        <v>1827</v>
      </c>
      <c r="E753" s="2" t="s">
        <v>360</v>
      </c>
      <c r="F753" s="2" t="s">
        <v>15</v>
      </c>
      <c r="G753" s="2" t="s">
        <v>2071</v>
      </c>
      <c r="H753" s="2" t="s">
        <v>105</v>
      </c>
      <c r="I753" s="2" t="str">
        <f>IFERROR(__xludf.DUMMYFUNCTION("GOOGLETRANSLATE(C753,""fr"",""en"")"),"Emeline responded well to my request, very welcoming and responsive.
Very welcome and reassuring. She made information changes that had not been made before. So perfect.")</f>
        <v>Emeline responded well to my request, very welcoming and responsive.
Very welcome and reassuring. She made information changes that had not been made before. So perfect.</v>
      </c>
    </row>
    <row r="754" ht="15.75" customHeight="1">
      <c r="B754" s="2" t="s">
        <v>2074</v>
      </c>
      <c r="C754" s="2" t="s">
        <v>2075</v>
      </c>
      <c r="D754" s="2" t="s">
        <v>1827</v>
      </c>
      <c r="E754" s="2" t="s">
        <v>360</v>
      </c>
      <c r="F754" s="2" t="s">
        <v>15</v>
      </c>
      <c r="G754" s="2" t="s">
        <v>574</v>
      </c>
      <c r="H754" s="2" t="s">
        <v>105</v>
      </c>
      <c r="I754" s="2" t="str">
        <f>IFERROR(__xludf.DUMMYFUNCTION("GOOGLETRANSLATE(C754,""fr"",""en"")"),"Client since 2012 at Néoliane, I am completely satisfied with their speed of repayment. I update my contract this morning with a pleasant and available agent.
I highly recommend !")</f>
        <v>Client since 2012 at Néoliane, I am completely satisfied with their speed of repayment. I update my contract this morning with a pleasant and available agent.
I highly recommend !</v>
      </c>
    </row>
    <row r="755" ht="15.75" customHeight="1">
      <c r="B755" s="2" t="s">
        <v>2076</v>
      </c>
      <c r="C755" s="2" t="s">
        <v>2077</v>
      </c>
      <c r="D755" s="2" t="s">
        <v>1827</v>
      </c>
      <c r="E755" s="2" t="s">
        <v>360</v>
      </c>
      <c r="F755" s="2" t="s">
        <v>15</v>
      </c>
      <c r="G755" s="2" t="s">
        <v>574</v>
      </c>
      <c r="H755" s="2" t="s">
        <v>105</v>
      </c>
      <c r="I755" s="2" t="str">
        <f>IFERROR(__xludf.DUMMYFUNCTION("GOOGLETRANSLATE(C755,""fr"",""en"")"),"I had Emeline on the phone, a very friendly person, but above all competent, she knew how to manage the complicated situation in which I was.
")</f>
        <v>I had Emeline on the phone, a very friendly person, but above all competent, she knew how to manage the complicated situation in which I was.
</v>
      </c>
    </row>
    <row r="756" ht="15.75" customHeight="1">
      <c r="B756" s="2" t="s">
        <v>2078</v>
      </c>
      <c r="C756" s="2" t="s">
        <v>2079</v>
      </c>
      <c r="D756" s="2" t="s">
        <v>1827</v>
      </c>
      <c r="E756" s="2" t="s">
        <v>360</v>
      </c>
      <c r="F756" s="2" t="s">
        <v>15</v>
      </c>
      <c r="G756" s="2" t="s">
        <v>2080</v>
      </c>
      <c r="H756" s="2" t="s">
        <v>105</v>
      </c>
      <c r="I756" s="2" t="str">
        <f>IFERROR(__xludf.DUMMYFUNCTION("GOOGLETRANSLATE(C756,""fr"",""en"")"),"Insured since January 1 ... It's very complicated! Unreachable! Refund by Via Médis Impossible unlike data insurance before subscription. Very disappointed!")</f>
        <v>Insured since January 1 ... It's very complicated! Unreachable! Refund by Via Médis Impossible unlike data insurance before subscription. Very disappointed!</v>
      </c>
    </row>
    <row r="757" ht="15.75" customHeight="1">
      <c r="B757" s="2" t="s">
        <v>2081</v>
      </c>
      <c r="C757" s="2" t="s">
        <v>2082</v>
      </c>
      <c r="D757" s="2" t="s">
        <v>1827</v>
      </c>
      <c r="E757" s="2" t="s">
        <v>360</v>
      </c>
      <c r="F757" s="2" t="s">
        <v>15</v>
      </c>
      <c r="G757" s="2" t="s">
        <v>577</v>
      </c>
      <c r="H757" s="2" t="s">
        <v>105</v>
      </c>
      <c r="I757" s="2" t="str">
        <f>IFERROR(__xludf.DUMMYFUNCTION("GOOGLETRANSLATE(C757,""fr"",""en"")"),"I contacted your mutual insurance company and I was welcomed by Houria. This hostess is warm welcoming and available a real moment of pleasure thank you for its efficiency.")</f>
        <v>I contacted your mutual insurance company and I was welcomed by Houria. This hostess is warm welcoming and available a real moment of pleasure thank you for its efficiency.</v>
      </c>
    </row>
    <row r="758" ht="15.75" customHeight="1">
      <c r="B758" s="2" t="s">
        <v>2083</v>
      </c>
      <c r="C758" s="2" t="s">
        <v>2084</v>
      </c>
      <c r="D758" s="2" t="s">
        <v>1827</v>
      </c>
      <c r="E758" s="2" t="s">
        <v>360</v>
      </c>
      <c r="F758" s="2" t="s">
        <v>15</v>
      </c>
      <c r="G758" s="2" t="s">
        <v>580</v>
      </c>
      <c r="H758" s="2" t="s">
        <v>105</v>
      </c>
      <c r="I758" s="2" t="str">
        <f>IFERROR(__xludf.DUMMYFUNCTION("GOOGLETRANSLATE(C758,""fr"",""en"")"),"Imane was very kind, very effective, very welcoming and very attentive to my request.
She informed me with kindness.
She sent me the quote I was waiting for.")</f>
        <v>Imane was very kind, very effective, very welcoming and very attentive to my request.
She informed me with kindness.
She sent me the quote I was waiting for.</v>
      </c>
    </row>
    <row r="759" ht="15.75" customHeight="1">
      <c r="B759" s="2" t="s">
        <v>2085</v>
      </c>
      <c r="C759" s="2" t="s">
        <v>2086</v>
      </c>
      <c r="D759" s="2" t="s">
        <v>1827</v>
      </c>
      <c r="E759" s="2" t="s">
        <v>360</v>
      </c>
      <c r="F759" s="2" t="s">
        <v>15</v>
      </c>
      <c r="G759" s="2" t="s">
        <v>580</v>
      </c>
      <c r="H759" s="2" t="s">
        <v>105</v>
      </c>
      <c r="I759" s="2" t="str">
        <f>IFERROR(__xludf.DUMMYFUNCTION("GOOGLETRANSLATE(C759,""fr"",""en"")"),"2 times I had to phone Néoliane 3 days apart. I have always been very well received; The first time I don't know the OM of my interlocutor but it went well
The second time with Saliha I had all the desired information (being a new member) with kindness. "&amp;"Especially since I am no longer very young. Thank you Neoliane")</f>
        <v>2 times I had to phone Néoliane 3 days apart. I have always been very well received; The first time I don't know the OM of my interlocutor but it went well
The second time with Saliha I had all the desired information (being a new member) with kindness. Especially since I am no longer very young. Thank you Neoliane</v>
      </c>
    </row>
    <row r="760" ht="15.75" customHeight="1">
      <c r="B760" s="2" t="s">
        <v>2087</v>
      </c>
      <c r="C760" s="2" t="s">
        <v>2088</v>
      </c>
      <c r="D760" s="2" t="s">
        <v>1827</v>
      </c>
      <c r="E760" s="2" t="s">
        <v>360</v>
      </c>
      <c r="F760" s="2" t="s">
        <v>15</v>
      </c>
      <c r="G760" s="2" t="s">
        <v>586</v>
      </c>
      <c r="H760" s="2" t="s">
        <v>105</v>
      </c>
      <c r="I760" s="2" t="str">
        <f>IFERROR(__xludf.DUMMYFUNCTION("GOOGLETRANSLATE(C760,""fr"",""en"")"),"Glad to be gone from their home, I was sold from the dream and impossible to reach the broker to at least change options. To be reimbursed for the cross and the banner, an incredible administrative slowness and I am not even talking about the lack of comm"&amp;"unication between services.
And I found the archaic adherent space.
After termination for defaulting advice for my mother and I, my mother is staying with them (big mistake!) Think that they would realize his loyalty despite everything, that it came f"&amp;"rom the broker (the option was not at all suitable ) and that we had therefore signed a new contract still with them but with another broker.
Instead of Ca no welcome mail (she does not have the internet ..) on the other hand a mail of unpaid in December"&amp;" while her contract takes effect on Jan 1 ... It was an error ... 2 cards of members sent the terminated contract and the good.
Then they took the 1st subscription but from the terminated contract we therefore opposed, following that the unpaid mail ha"&amp;"s ended up (they do not save paper or stamps, etc.) by swelling the note with discharges when the error comes from them. We refused to pay the rejection fees via our broker who helped us well because it is impossible to join them (Music responder for 20 m"&amp;"inutes and then hangs up ..) and when you manage to join them with unnecessary interlocutors who do not understand and Are jaded, they refer the ball and the always unresolved problem, despite our well received letters, it dragged a long time to get an an"&amp;"swer and that they make ""a graceful and exceptional gesture! By agreeing not to count the discharges (no 1st subscription offered for the inconvenience caused, let's not come back) ones continued even after having regularized the situation (orally we re "&amp;"-expressed the situation and that it was settled.) They also cashed the regularization checks the same month for a meager retirement it was very hard (when it was quickly sent to our side). They have no consideration for the human being and it is health i"&amp;"nsurance insurance, the humanitarian side is a priority it seems to me and they do not seek to retain their customers. This is my experience with Neoliane.")</f>
        <v>Glad to be gone from their home, I was sold from the dream and impossible to reach the broker to at least change options. To be reimbursed for the cross and the banner, an incredible administrative slowness and I am not even talking about the lack of communication between services.
And I found the archaic adherent space.
After termination for defaulting advice for my mother and I, my mother is staying with them (big mistake!) Think that they would realize his loyalty despite everything, that it came from the broker (the option was not at all suitable ) and that we had therefore signed a new contract still with them but with another broker.
Instead of Ca no welcome mail (she does not have the internet ..) on the other hand a mail of unpaid in December while her contract takes effect on Jan 1 ... It was an error ... 2 cards of members sent the terminated contract and the good.
Then they took the 1st subscription but from the terminated contract we therefore opposed, following that the unpaid mail has ended up (they do not save paper or stamps, etc.) by swelling the note with discharges when the error comes from them. We refused to pay the rejection fees via our broker who helped us well because it is impossible to join them (Music responder for 20 minutes and then hangs up ..) and when you manage to join them with unnecessary interlocutors who do not understand and Are jaded, they refer the ball and the always unresolved problem, despite our well received letters, it dragged a long time to get an answer and that they make "a graceful and exceptional gesture! By agreeing not to count the discharges (no 1st subscription offered for the inconvenience caused, let's not come back) ones continued even after having regularized the situation (orally we re -expressed the situation and that it was settled.) They also cashed the regularization checks the same month for a meager retirement it was very hard (when it was quickly sent to our side). They have no consideration for the human being and it is health insurance insurance, the humanitarian side is a priority it seems to me and they do not seek to retain their customers. This is my experience with Neoliane.</v>
      </c>
    </row>
    <row r="761" ht="15.75" customHeight="1">
      <c r="B761" s="2" t="s">
        <v>2089</v>
      </c>
      <c r="C761" s="2" t="s">
        <v>2090</v>
      </c>
      <c r="D761" s="2" t="s">
        <v>1827</v>
      </c>
      <c r="E761" s="2" t="s">
        <v>360</v>
      </c>
      <c r="F761" s="2" t="s">
        <v>15</v>
      </c>
      <c r="G761" s="2" t="s">
        <v>586</v>
      </c>
      <c r="H761" s="2" t="s">
        <v>105</v>
      </c>
      <c r="I761" s="2" t="str">
        <f>IFERROR(__xludf.DUMMYFUNCTION("GOOGLETRANSLATE(C761,""fr"",""en"")"),"Following a telephone interview with Emeline, I want to testify to the professionalism of this person. She was competent in her explanations, showed kindness, courtesy and patience throughout our telephone exchange. Cheer.!")</f>
        <v>Following a telephone interview with Emeline, I want to testify to the professionalism of this person. She was competent in her explanations, showed kindness, courtesy and patience throughout our telephone exchange. Cheer.!</v>
      </c>
    </row>
    <row r="762" ht="15.75" customHeight="1">
      <c r="B762" s="2" t="s">
        <v>2091</v>
      </c>
      <c r="C762" s="2" t="s">
        <v>2092</v>
      </c>
      <c r="D762" s="2" t="s">
        <v>1827</v>
      </c>
      <c r="E762" s="2" t="s">
        <v>360</v>
      </c>
      <c r="F762" s="2" t="s">
        <v>15</v>
      </c>
      <c r="G762" s="2" t="s">
        <v>245</v>
      </c>
      <c r="H762" s="2" t="s">
        <v>105</v>
      </c>
      <c r="I762" s="2" t="str">
        <f>IFERROR(__xludf.DUMMYFUNCTION("GOOGLETRANSLATE(C762,""fr"",""en"")"),"Achraf understood my request very well and was able to respond effectively. He was very courteous and helpful. He was very professional and competent")</f>
        <v>Achraf understood my request very well and was able to respond effectively. He was very courteous and helpful. He was very professional and competent</v>
      </c>
    </row>
    <row r="763" ht="15.75" customHeight="1">
      <c r="B763" s="2" t="s">
        <v>2093</v>
      </c>
      <c r="C763" s="2" t="s">
        <v>2094</v>
      </c>
      <c r="D763" s="2" t="s">
        <v>1827</v>
      </c>
      <c r="E763" s="2" t="s">
        <v>360</v>
      </c>
      <c r="F763" s="2" t="s">
        <v>15</v>
      </c>
      <c r="G763" s="2" t="s">
        <v>113</v>
      </c>
      <c r="H763" s="2" t="s">
        <v>105</v>
      </c>
      <c r="I763" s="2" t="str">
        <f>IFERROR(__xludf.DUMMYFUNCTION("GOOGLETRANSLATE(C763,""fr"",""en"")"),"I am very happy to have left them, I pay every month and when I go to consult, they do not reimburse the mutual part. I ask for a refund knowing that I sent the social security count
Who normally their has been transmitted and I am asked for the bills wh"&amp;"ile that is 1 year !!!! I absolutely do not recommend this mutual")</f>
        <v>I am very happy to have left them, I pay every month and when I go to consult, they do not reimburse the mutual part. I ask for a refund knowing that I sent the social security count
Who normally their has been transmitted and I am asked for the bills while that is 1 year !!!! I absolutely do not recommend this mutual</v>
      </c>
    </row>
    <row r="764" ht="15.75" customHeight="1">
      <c r="B764" s="2" t="s">
        <v>2095</v>
      </c>
      <c r="C764" s="2" t="s">
        <v>2096</v>
      </c>
      <c r="D764" s="2" t="s">
        <v>1827</v>
      </c>
      <c r="E764" s="2" t="s">
        <v>360</v>
      </c>
      <c r="F764" s="2" t="s">
        <v>15</v>
      </c>
      <c r="G764" s="2" t="s">
        <v>1317</v>
      </c>
      <c r="H764" s="2" t="s">
        <v>120</v>
      </c>
      <c r="I764" s="2" t="str">
        <f>IFERROR(__xludf.DUMMYFUNCTION("GOOGLETRANSLATE(C764,""fr"",""en"")"),"I went through an Adour mutual broker who advises several types of contracts. I was at Neoliane last year and I changed for Cegema by taking steps in July 2020 for an effective date on January 1, 2021.
The former Mutual Neoliane despite multiple reminder"&amp;"s has not canceled the TV transmission and the new mutual insurance company cannot pay the care.
I don't know what to do anymore and I can't find it normal to be taken hostage.")</f>
        <v>I went through an Adour mutual broker who advises several types of contracts. I was at Neoliane last year and I changed for Cegema by taking steps in July 2020 for an effective date on January 1, 2021.
The former Mutual Neoliane despite multiple reminders has not canceled the TV transmission and the new mutual insurance company cannot pay the care.
I don't know what to do anymore and I can't find it normal to be taken hostage.</v>
      </c>
    </row>
    <row r="765" ht="15.75" customHeight="1">
      <c r="B765" s="2" t="s">
        <v>2097</v>
      </c>
      <c r="C765" s="2" t="s">
        <v>2098</v>
      </c>
      <c r="D765" s="2" t="s">
        <v>1827</v>
      </c>
      <c r="E765" s="2" t="s">
        <v>360</v>
      </c>
      <c r="F765" s="2" t="s">
        <v>15</v>
      </c>
      <c r="G765" s="2" t="s">
        <v>1359</v>
      </c>
      <c r="H765" s="2" t="s">
        <v>120</v>
      </c>
      <c r="I765" s="2" t="str">
        <f>IFERROR(__xludf.DUMMYFUNCTION("GOOGLETRANSLATE(C765,""fr"",""en"")"),"Impossible to reach them he does not respond to such or email
I am still not reimbursed after a month greeting
llllllllllllllllllllllllllllllllllllllllllllllllllllllllllllllllllllllllllllllllllllllllllllllllllllllllllllllllllllllllllllllllllllllllllllll"&amp;"lllllllllllllllllllllllllllllllllll")</f>
        <v>Impossible to reach them he does not respond to such or email
I am still not reimbursed after a month greeting
lllllllllllllllllllllllllllllllllllllllllllllllllllllllllllllllllllllllllllllllllllllllllllllllllllllllllllllllllllllllllllllllllllllllllllllllllllllllllllllllllllllllllllllllll</v>
      </c>
    </row>
    <row r="766" ht="15.75" customHeight="1">
      <c r="B766" s="2" t="s">
        <v>2099</v>
      </c>
      <c r="C766" s="2" t="s">
        <v>2100</v>
      </c>
      <c r="D766" s="2" t="s">
        <v>1827</v>
      </c>
      <c r="E766" s="2" t="s">
        <v>360</v>
      </c>
      <c r="F766" s="2" t="s">
        <v>15</v>
      </c>
      <c r="G766" s="2" t="s">
        <v>2101</v>
      </c>
      <c r="H766" s="2" t="s">
        <v>120</v>
      </c>
      <c r="I766" s="2" t="str">
        <f>IFERROR(__xludf.DUMMYFUNCTION("GOOGLETRANSLATE(C766,""fr"",""en"")"),"A broker changed my mom's contract she is 88 years old. No way to have them in such and on the Internet the online account a big stew to flee no way of being reimbursed, no address I will change my mutual.")</f>
        <v>A broker changed my mom's contract she is 88 years old. No way to have them in such and on the Internet the online account a big stew to flee no way of being reimbursed, no address I will change my mutual.</v>
      </c>
    </row>
    <row r="767" ht="15.75" customHeight="1">
      <c r="B767" s="2" t="s">
        <v>2102</v>
      </c>
      <c r="C767" s="2" t="s">
        <v>2103</v>
      </c>
      <c r="D767" s="2" t="s">
        <v>1827</v>
      </c>
      <c r="E767" s="2" t="s">
        <v>360</v>
      </c>
      <c r="F767" s="2" t="s">
        <v>15</v>
      </c>
      <c r="G767" s="2" t="s">
        <v>602</v>
      </c>
      <c r="H767" s="2" t="s">
        <v>120</v>
      </c>
      <c r="I767" s="2" t="str">
        <f>IFERROR(__xludf.DUMMYFUNCTION("GOOGLETRANSLATE(C767,""fr"",""en"")"),"Intervention deleted at the request of the Internet user.")</f>
        <v>Intervention deleted at the request of the Internet user.</v>
      </c>
    </row>
    <row r="768" ht="15.75" customHeight="1">
      <c r="B768" s="2" t="s">
        <v>2104</v>
      </c>
      <c r="C768" s="2" t="s">
        <v>2105</v>
      </c>
      <c r="D768" s="2" t="s">
        <v>1827</v>
      </c>
      <c r="E768" s="2" t="s">
        <v>360</v>
      </c>
      <c r="F768" s="2" t="s">
        <v>15</v>
      </c>
      <c r="G768" s="2" t="s">
        <v>602</v>
      </c>
      <c r="H768" s="2" t="s">
        <v>120</v>
      </c>
      <c r="I768" s="2" t="str">
        <f>IFERROR(__xludf.DUMMYFUNCTION("GOOGLETRANSLATE(C768,""fr"",""en"")"),"Avoid this mutual! This mutual insurance does not seem to be a mutual. I tried to call to ask for information, I came across a telephone reception that was to be in Morocco or Tunisia with a person who asked me to justify my member number, my name, my dat"&amp;"e of Birth, from my tel, my address, my email address to inform me that she could not answer any of my questions and give me the email address where I could explain my requests. It turns out that the email address does not respond to my requests ... so wh"&amp;"at to do? It is a mutual mutual with an operating system of first -rate assets, but as soon as you are in more individual requests, there is no one left .... I am not convinced that this mutual is really one. This type of mutual insurance company should n"&amp;"ot be contract.")</f>
        <v>Avoid this mutual! This mutual insurance does not seem to be a mutual. I tried to call to ask for information, I came across a telephone reception that was to be in Morocco or Tunisia with a person who asked me to justify my member number, my name, my date of Birth, from my tel, my address, my email address to inform me that she could not answer any of my questions and give me the email address where I could explain my requests. It turns out that the email address does not respond to my requests ... so what to do? It is a mutual mutual with an operating system of first -rate assets, but as soon as you are in more individual requests, there is no one left .... I am not convinced that this mutual is really one. This type of mutual insurance company should not be contract.</v>
      </c>
    </row>
    <row r="769" ht="15.75" customHeight="1">
      <c r="B769" s="2" t="s">
        <v>2106</v>
      </c>
      <c r="C769" s="2" t="s">
        <v>2107</v>
      </c>
      <c r="D769" s="2" t="s">
        <v>1827</v>
      </c>
      <c r="E769" s="2" t="s">
        <v>360</v>
      </c>
      <c r="F769" s="2" t="s">
        <v>15</v>
      </c>
      <c r="G769" s="2" t="s">
        <v>1384</v>
      </c>
      <c r="H769" s="2" t="s">
        <v>120</v>
      </c>
      <c r="I769" s="2" t="str">
        <f>IFERROR(__xludf.DUMMYFUNCTION("GOOGLETRANSLATE(C769,""fr"",""en"")"),"I switched from April to Veoliane through a broker who remains silent to my many calls which forgot to withdraw me from April, suddenly I pay two complementary health, to solve this problem I contact Veoliane who remains deaf to my request .
Complementar"&amp;"y Veoliane I am not happy at all of your answers,
Having terminated my contract with April who will take effect on March 3, I demand the reimbursement of my two months of contributions at Veoliane")</f>
        <v>I switched from April to Veoliane through a broker who remains silent to my many calls which forgot to withdraw me from April, suddenly I pay two complementary health, to solve this problem I contact Veoliane who remains deaf to my request .
Complementary Veoliane I am not happy at all of your answers,
Having terminated my contract with April who will take effect on March 3, I demand the reimbursement of my two months of contributions at Veoliane</v>
      </c>
    </row>
    <row r="770" ht="15.75" customHeight="1">
      <c r="B770" s="2" t="s">
        <v>2108</v>
      </c>
      <c r="C770" s="2" t="s">
        <v>2109</v>
      </c>
      <c r="D770" s="2" t="s">
        <v>1827</v>
      </c>
      <c r="E770" s="2" t="s">
        <v>360</v>
      </c>
      <c r="F770" s="2" t="s">
        <v>15</v>
      </c>
      <c r="G770" s="2" t="s">
        <v>1387</v>
      </c>
      <c r="H770" s="2" t="s">
        <v>120</v>
      </c>
      <c r="I770" s="2" t="str">
        <f>IFERROR(__xludf.DUMMYFUNCTION("GOOGLETRANSLATE(C770,""fr"",""en"")"),"I joined Néoliane on the council of a broker, Deevea Conseil, in February 2020 for a contract that started on 012021. I regret it bitterly, it is a real petaudière, Neoliane, no way to connect to the adherent space, it is a labyrinth of different identiti"&amp;"es, between insure-neoliane.meprotege.fr which leads to nothing, followed of the neoliane member space with an identifier and a password that leads to nothing, completed by a management center that does not answer the phone. Everything is random and unpre"&amp;"dictable, a dental care quote accepted by management management@mutua.fr, but never reimbursed by anyone. In short, a not possible bazaar, a management center that asks you to renew your call after 20 minutes of waiting. The total.
Neoliane a mutual to a"&amp;"void absolutely
")</f>
        <v>I joined Néoliane on the council of a broker, Deevea Conseil, in February 2020 for a contract that started on 012021. I regret it bitterly, it is a real petaudière, Neoliane, no way to connect to the adherent space, it is a labyrinth of different identities, between insure-neoliane.meprotege.fr which leads to nothing, followed of the neoliane member space with an identifier and a password that leads to nothing, completed by a management center that does not answer the phone. Everything is random and unpredictable, a dental care quote accepted by management management@mutua.fr, but never reimbursed by anyone. In short, a not possible bazaar, a management center that asks you to renew your call after 20 minutes of waiting. The total.
Neoliane a mutual to avoid absolutely
</v>
      </c>
    </row>
    <row r="771" ht="15.75" customHeight="1">
      <c r="B771" s="2" t="s">
        <v>2110</v>
      </c>
      <c r="C771" s="2" t="s">
        <v>2111</v>
      </c>
      <c r="D771" s="2" t="s">
        <v>1827</v>
      </c>
      <c r="E771" s="2" t="s">
        <v>360</v>
      </c>
      <c r="F771" s="2" t="s">
        <v>15</v>
      </c>
      <c r="G771" s="2" t="s">
        <v>1392</v>
      </c>
      <c r="H771" s="2" t="s">
        <v>120</v>
      </c>
      <c r="I771" s="2" t="str">
        <f>IFERROR(__xludf.DUMMYFUNCTION("GOOGLETRANSLATE(C771,""fr"",""en"")"),"Refunds of services are poor. Customer service is inaccessible and always tinked down and big hassle to terminate the contract with them.
Mutual to flee!")</f>
        <v>Refunds of services are poor. Customer service is inaccessible and always tinked down and big hassle to terminate the contract with them.
Mutual to flee!</v>
      </c>
    </row>
    <row r="772" ht="15.75" customHeight="1">
      <c r="B772" s="2" t="s">
        <v>2112</v>
      </c>
      <c r="C772" s="2" t="s">
        <v>2113</v>
      </c>
      <c r="D772" s="2" t="s">
        <v>1827</v>
      </c>
      <c r="E772" s="2" t="s">
        <v>360</v>
      </c>
      <c r="F772" s="2" t="s">
        <v>15</v>
      </c>
      <c r="G772" s="2" t="s">
        <v>1400</v>
      </c>
      <c r="H772" s="2" t="s">
        <v>277</v>
      </c>
      <c r="I772" s="2" t="str">
        <f>IFERROR(__xludf.DUMMYFUNCTION("GOOGLETRANSLATE(C772,""fr"",""en"")"),"Big regret to have subscribed through a broker, sending repetitive email to the person who sold me this contract without having for that having a coherent answer, impossible to reach on the phone, in short we sell and if concern by the Continuation, no on"&amp;"e is really shopping at a discount")</f>
        <v>Big regret to have subscribed through a broker, sending repetitive email to the person who sold me this contract without having for that having a coherent answer, impossible to reach on the phone, in short we sell and if concern by the Continuation, no one is really shopping at a discount</v>
      </c>
    </row>
    <row r="773" ht="15.75" customHeight="1">
      <c r="B773" s="2" t="s">
        <v>2114</v>
      </c>
      <c r="C773" s="2" t="s">
        <v>2115</v>
      </c>
      <c r="D773" s="2" t="s">
        <v>1827</v>
      </c>
      <c r="E773" s="2" t="s">
        <v>360</v>
      </c>
      <c r="F773" s="2" t="s">
        <v>15</v>
      </c>
      <c r="G773" s="2" t="s">
        <v>1403</v>
      </c>
      <c r="H773" s="2" t="s">
        <v>277</v>
      </c>
      <c r="I773" s="2" t="str">
        <f>IFERROR(__xludf.DUMMYFUNCTION("GOOGLETRANSLATE(C773,""fr"",""en"")"),"Mutual to flee I signed my contract through the broker 2a assured to Bayonne outside we are on January 25, 2021 and still no remote transmission for my former official on the other hand the samples are well taken on the account I did Confidence to my brok"&amp;"er with whom I have been for several years but it is the Epsil group Néoliane Santiane Generalie which are either incompetent or others I already had without knowing it through Santiane having dealt with them and had them the same More problems to termina"&amp;"te it is practically impossible they tell you not having received the letters RAR when we have the received also be very careful and do not subscribe with these people there")</f>
        <v>Mutual to flee I signed my contract through the broker 2a assured to Bayonne outside we are on January 25, 2021 and still no remote transmission for my former official on the other hand the samples are well taken on the account I did Confidence to my broker with whom I have been for several years but it is the Epsil group Néoliane Santiane Generalie which are either incompetent or others I already had without knowing it through Santiane having dealt with them and had them the same More problems to terminate it is practically impossible they tell you not having received the letters RAR when we have the received also be very careful and do not subscribe with these people there</v>
      </c>
    </row>
    <row r="774" ht="15.75" customHeight="1">
      <c r="B774" s="2" t="s">
        <v>2116</v>
      </c>
      <c r="C774" s="2" t="s">
        <v>2117</v>
      </c>
      <c r="D774" s="2" t="s">
        <v>1827</v>
      </c>
      <c r="E774" s="2" t="s">
        <v>360</v>
      </c>
      <c r="F774" s="2" t="s">
        <v>15</v>
      </c>
      <c r="G774" s="2" t="s">
        <v>1408</v>
      </c>
      <c r="H774" s="2" t="s">
        <v>277</v>
      </c>
      <c r="I774" s="2" t="str">
        <f>IFERROR(__xludf.DUMMYFUNCTION("GOOGLETRANSLATE(C774,""fr"",""en"")"),"A member since 08/01/2020, I was seduced by their price after studying several Mutuelle proposals. I am sorry ! Increase in prices without an explanatory letter of the why ... 10 % more. If everything went well at the beginning: the opening of the account"&amp;" on the Internet, third -party payment card received quickly, and some quick reimbursements as a general practitioner (automatically made by my doctor), I have been much less ""happy"" since November. Change of contact details, sending dental quotes (it s"&amp;"poils), relaunched several times, without success, no response from them. Ditto for their broker ... today a complaint in Nice. I will continue to relaunch even if it has to last, I will not let go, even after termination. Thank you for the new law which "&amp;"allows us to change my mutual ... From the next 1st, I terminate, block bank samples and find a mutual insurance only for hospital care, for the rest, I would pay from my pocket by putting next to. Mutuals are no longer what they were. This opinion is not"&amp;" suspect .. 62 years old, and fed up that I am taken for an andouille. !")</f>
        <v>A member since 08/01/2020, I was seduced by their price after studying several Mutuelle proposals. I am sorry ! Increase in prices without an explanatory letter of the why ... 10 % more. If everything went well at the beginning: the opening of the account on the Internet, third -party payment card received quickly, and some quick reimbursements as a general practitioner (automatically made by my doctor), I have been much less "happy" since November. Change of contact details, sending dental quotes (it spoils), relaunched several times, without success, no response from them. Ditto for their broker ... today a complaint in Nice. I will continue to relaunch even if it has to last, I will not let go, even after termination. Thank you for the new law which allows us to change my mutual ... From the next 1st, I terminate, block bank samples and find a mutual insurance only for hospital care, for the rest, I would pay from my pocket by putting next to. Mutuals are no longer what they were. This opinion is not suspect .. 62 years old, and fed up that I am taken for an andouille. !</v>
      </c>
    </row>
    <row r="775" ht="15.75" customHeight="1">
      <c r="B775" s="2" t="s">
        <v>2118</v>
      </c>
      <c r="C775" s="2" t="s">
        <v>2119</v>
      </c>
      <c r="D775" s="2" t="s">
        <v>1827</v>
      </c>
      <c r="E775" s="2" t="s">
        <v>360</v>
      </c>
      <c r="F775" s="2" t="s">
        <v>15</v>
      </c>
      <c r="G775" s="2" t="s">
        <v>1408</v>
      </c>
      <c r="H775" s="2" t="s">
        <v>277</v>
      </c>
      <c r="I775" s="2" t="str">
        <f>IFERROR(__xludf.DUMMYFUNCTION("GOOGLETRANSLATE(C775,""fr"",""en"")"),"A mutual that does not respond to messages for optical quotes at Afflelou still pending it is a mutual not to subscribe even for the 100% health")</f>
        <v>A mutual that does not respond to messages for optical quotes at Afflelou still pending it is a mutual not to subscribe even for the 100% health</v>
      </c>
    </row>
    <row r="776" ht="15.75" customHeight="1">
      <c r="B776" s="2" t="s">
        <v>2120</v>
      </c>
      <c r="C776" s="2" t="s">
        <v>2121</v>
      </c>
      <c r="D776" s="2" t="s">
        <v>1827</v>
      </c>
      <c r="E776" s="2" t="s">
        <v>360</v>
      </c>
      <c r="F776" s="2" t="s">
        <v>15</v>
      </c>
      <c r="G776" s="2" t="s">
        <v>1420</v>
      </c>
      <c r="H776" s="2" t="s">
        <v>277</v>
      </c>
      <c r="I776" s="2" t="str">
        <f>IFERROR(__xludf.DUMMYFUNCTION("GOOGLETRANSLATE(C776,""fr"",""en"")"),"Mutual absolutely rotten, there is no other word. Refunds are extremely rare or even non-existent, so you pay a very plump sum every month for nothing, let's say it clearly. As for customer service, it is a real tanne ... Count each time between 30 minute"&amp;"s and an hour of waiting before someone (incompetent, generally) deigns to answer you on the phone. When they answer you. One word: flee.")</f>
        <v>Mutual absolutely rotten, there is no other word. Refunds are extremely rare or even non-existent, so you pay a very plump sum every month for nothing, let's say it clearly. As for customer service, it is a real tanne ... Count each time between 30 minutes and an hour of waiting before someone (incompetent, generally) deigns to answer you on the phone. When they answer you. One word: flee.</v>
      </c>
    </row>
    <row r="777" ht="15.75" customHeight="1">
      <c r="B777" s="2" t="s">
        <v>2122</v>
      </c>
      <c r="C777" s="2" t="s">
        <v>2123</v>
      </c>
      <c r="D777" s="2" t="s">
        <v>1827</v>
      </c>
      <c r="E777" s="2" t="s">
        <v>360</v>
      </c>
      <c r="F777" s="2" t="s">
        <v>15</v>
      </c>
      <c r="G777" s="2" t="s">
        <v>2124</v>
      </c>
      <c r="H777" s="2" t="s">
        <v>277</v>
      </c>
      <c r="I777" s="2" t="str">
        <f>IFERROR(__xludf.DUMMYFUNCTION("GOOGLETRANSLATE(C777,""fr"",""en"")"),"Registered for 3 years. Until then it was fine. A month ago I sent a quote for anesthesiologist, I had trouble having the answer. And there, the optician tries to have them to know how much I have the right to reimburse: impossible to have the answer. I t"&amp;"hink about leaving elsewhere ..
")</f>
        <v>Registered for 3 years. Until then it was fine. A month ago I sent a quote for anesthesiologist, I had trouble having the answer. And there, the optician tries to have them to know how much I have the right to reimburse: impossible to have the answer. I think about leaving elsewhere ..
</v>
      </c>
    </row>
    <row r="778" ht="15.75" customHeight="1">
      <c r="B778" s="2" t="s">
        <v>2125</v>
      </c>
      <c r="C778" s="2" t="s">
        <v>2126</v>
      </c>
      <c r="D778" s="2" t="s">
        <v>1827</v>
      </c>
      <c r="E778" s="2" t="s">
        <v>360</v>
      </c>
      <c r="F778" s="2" t="s">
        <v>15</v>
      </c>
      <c r="G778" s="2" t="s">
        <v>1427</v>
      </c>
      <c r="H778" s="2" t="s">
        <v>277</v>
      </c>
      <c r="I778" s="2" t="str">
        <f>IFERROR(__xludf.DUMMYFUNCTION("GOOGLETRANSLATE(C778,""fr"",""en"")"),"I am a new client at Néoliane since 1/1/2021 and to date, January 16, despite several calls it is impossible to create an account on the Internet .....
I find it distressing because we cannot follow our reimbursements ......")</f>
        <v>I am a new client at Néoliane since 1/1/2021 and to date, January 16, despite several calls it is impossible to create an account on the Internet .....
I find it distressing because we cannot follow our reimbursements ......</v>
      </c>
    </row>
    <row r="779" ht="15.75" customHeight="1">
      <c r="B779" s="2" t="s">
        <v>2127</v>
      </c>
      <c r="C779" s="2" t="s">
        <v>2128</v>
      </c>
      <c r="D779" s="2" t="s">
        <v>1827</v>
      </c>
      <c r="E779" s="2" t="s">
        <v>360</v>
      </c>
      <c r="F779" s="2" t="s">
        <v>15</v>
      </c>
      <c r="G779" s="2" t="s">
        <v>1439</v>
      </c>
      <c r="H779" s="2" t="s">
        <v>277</v>
      </c>
      <c r="I779" s="2" t="str">
        <f>IFERROR(__xludf.DUMMYFUNCTION("GOOGLETRANSLATE(C779,""fr"",""en"")"),"I am a member of Néoliane, my contract starts on 01/01/2021 and to date the remote transmission is still not in place on the other hand the amount of my subscription has been taken on the date in the immediate future I can only Note that what is said in t"&amp;"he comments seems to be in conformity with the way of operating this mutual.
I myself apprehend the continuation because it is true that the answers are rare, I will still use this mutual which does not inspire me confidence Maiis I can be wrong and I wi"&amp;"ll be able to recognize it, it is a broker of An ECG-Assurance insurance firm whose first name is Armand with whom I have subscribed I do not recommend it because he too does not answer often.
")</f>
        <v>I am a member of Néoliane, my contract starts on 01/01/2021 and to date the remote transmission is still not in place on the other hand the amount of my subscription has been taken on the date in the immediate future I can only Note that what is said in the comments seems to be in conformity with the way of operating this mutual.
I myself apprehend the continuation because it is true that the answers are rare, I will still use this mutual which does not inspire me confidence Maiis I can be wrong and I will be able to recognize it, it is a broker of An ECG-Assurance insurance firm whose first name is Armand with whom I have subscribed I do not recommend it because he too does not answer often.
</v>
      </c>
    </row>
    <row r="780" ht="15.75" customHeight="1">
      <c r="B780" s="2" t="s">
        <v>2129</v>
      </c>
      <c r="C780" s="2" t="s">
        <v>2130</v>
      </c>
      <c r="D780" s="2" t="s">
        <v>1827</v>
      </c>
      <c r="E780" s="2" t="s">
        <v>360</v>
      </c>
      <c r="F780" s="2" t="s">
        <v>15</v>
      </c>
      <c r="G780" s="2" t="s">
        <v>1439</v>
      </c>
      <c r="H780" s="2" t="s">
        <v>277</v>
      </c>
      <c r="I780" s="2" t="str">
        <f>IFERROR(__xludf.DUMMYFUNCTION("GOOGLETRANSLATE(C780,""fr"",""en"")")," One year at home: paid € 1945, reimbursements € 240.
I waited from January to the end of July so that the remote transmission with my CPAM is implemented (around 10 reminders per email).
Reach them on the phone? Commercial service in Nice: always more "&amp;"than 30 minutes of waiting to be said politely that we will transmit to the management center, which is in Toulouse! And that we cannot reach live.
For 8 months I had to download my refund /Ameli sheets, and send them by emails (fortunately): reimbursed "&amp;"about 10 to 15 days later.
My new complementary in fact the termination of the contract. I had given them power.
As a precaution, I made a confirmation LR in Néoliane. They did not accept the termination, of my new insurer, on the pretext that it was no"&amp;"t I who had signed the termination, although they had received a copy of power.
Regarding my LR, they pretended that it was not signed.
I sent by email the copy of the signature mandate, and a copy of my target that I had in archive.
Answer: Acceptance"&amp;" by Nice customer service, and refusal of the management center by email.
I threatened the latter with prosecution, but did not receive an answer.
I suspended the samples on December 15. I received an email telling me that he regretted seeing me go !!!
"&amp;"
My new complementary warned me, last week, that they could not set up remote transmission with the CPAM. I asked Néoliane (SCE Customer, of course) to have the management center done, and to warn of the execution of my order. 72 hours later, nothing, I r"&amp;"elaunched them by email. A half day later, no news, but my new insurer warned me that they were connected with the CPAM.
Conclusion: If you like trouble, contribute to this insurance company!")</f>
        <v> One year at home: paid € 1945, reimbursements € 240.
I waited from January to the end of July so that the remote transmission with my CPAM is implemented (around 10 reminders per email).
Reach them on the phone? Commercial service in Nice: always more than 30 minutes of waiting to be said politely that we will transmit to the management center, which is in Toulouse! And that we cannot reach live.
For 8 months I had to download my refund /Ameli sheets, and send them by emails (fortunately): reimbursed about 10 to 15 days later.
My new complementary in fact the termination of the contract. I had given them power.
As a precaution, I made a confirmation LR in Néoliane. They did not accept the termination, of my new insurer, on the pretext that it was not I who had signed the termination, although they had received a copy of power.
Regarding my LR, they pretended that it was not signed.
I sent by email the copy of the signature mandate, and a copy of my target that I had in archive.
Answer: Acceptance by Nice customer service, and refusal of the management center by email.
I threatened the latter with prosecution, but did not receive an answer.
I suspended the samples on December 15. I received an email telling me that he regretted seeing me go !!!
My new complementary warned me, last week, that they could not set up remote transmission with the CPAM. I asked Néoliane (SCE Customer, of course) to have the management center done, and to warn of the execution of my order. 72 hours later, nothing, I relaunched them by email. A half day later, no news, but my new insurer warned me that they were connected with the CPAM.
Conclusion: If you like trouble, contribute to this insurance company!</v>
      </c>
    </row>
    <row r="781" ht="15.75" customHeight="1">
      <c r="B781" s="2" t="s">
        <v>2131</v>
      </c>
      <c r="C781" s="2" t="s">
        <v>2132</v>
      </c>
      <c r="D781" s="2" t="s">
        <v>1827</v>
      </c>
      <c r="E781" s="2" t="s">
        <v>360</v>
      </c>
      <c r="F781" s="2" t="s">
        <v>15</v>
      </c>
      <c r="G781" s="2" t="s">
        <v>1439</v>
      </c>
      <c r="H781" s="2" t="s">
        <v>277</v>
      </c>
      <c r="I781" s="2" t="str">
        <f>IFERROR(__xludf.DUMMYFUNCTION("GOOGLETRANSLATE(C781,""fr"",""en"")"),"It seems that all negative opinions are notified as ""suspects"", so I will leave mine anyway to share my objective dissatisfaction.
Client for 2 years, I ask for a care for a 1st pair of glasses for my daughter in early December and to date (1 month 1/2"&amp;" all the same) still do not agree or response from the mutual (the optician He himself has never met such slowness for a request for taking in charge for a reimbursement of only a hundred euros ..)
The third party card still paying not received for 2021 "&amp;"either, forced to call it to request it, after 10 min waiting for a person replies that they have a technical concern and that they cannot access your file. We must remember ..
In short..")</f>
        <v>It seems that all negative opinions are notified as "suspects", so I will leave mine anyway to share my objective dissatisfaction.
Client for 2 years, I ask for a care for a 1st pair of glasses for my daughter in early December and to date (1 month 1/2 all the same) still do not agree or response from the mutual (the optician He himself has never met such slowness for a request for taking in charge for a reimbursement of only a hundred euros ..)
The third party card still paying not received for 2021 either, forced to call it to request it, after 10 min waiting for a person replies that they have a technical concern and that they cannot access your file. We must remember ..
In short..</v>
      </c>
    </row>
    <row r="782" ht="15.75" customHeight="1">
      <c r="B782" s="2" t="s">
        <v>2133</v>
      </c>
      <c r="C782" s="2" t="s">
        <v>2134</v>
      </c>
      <c r="D782" s="2" t="s">
        <v>1827</v>
      </c>
      <c r="E782" s="2" t="s">
        <v>360</v>
      </c>
      <c r="F782" s="2" t="s">
        <v>15</v>
      </c>
      <c r="G782" s="2" t="s">
        <v>619</v>
      </c>
      <c r="H782" s="2" t="s">
        <v>126</v>
      </c>
      <c r="I782" s="2" t="str">
        <f>IFERROR(__xludf.DUMMYFUNCTION("GOOGLETRANSLATE(C782,""fr"",""en"")"),"Hello, I wanted to point out to you the Néoliane Santé Provoyance insurance, located in Reims which takes up a little too gullible customers on the phone ... This organization excels to convince. In fact, they play shame on words and abuse the confidence "&amp;"of its customers, so that they are massively subscribing to its contracts. We are promised substantial compensation, following an accidental hospitalization of 5 days minimum. For my part, I was hospitalized an entire week, brought to the emergency room b"&amp;"y the firefighters in my city who had no other appeal than fracturing the blind and the window of my kitchen to help me. I was absolutely incapacity to open my front door to them, having suddenly and suddenly been taken from significant rotary dizziness, "&amp;"at the same time as nausea and diarhhea. From my TV assistance whose bracelet surrounds my wrist. Thus, the latter was able to call the emergency services.
I provided Néoliane Health Provident all the supporting documents and documents requested, includi"&amp;"ng a detailed writing of what had happened to me. I have just received a negative response, on the fallacious reason that the compensation only concerned accidents. In my case, in their eyes, I was not in this case !! The certificate of intervention of fi"&amp;"refighters at my home, the hospital bulletin and my detailed writing concerning the circumstances of my accident. With the bad faith that characterizes too often, alas, insurers, so as not to have to compensate their customers, they played on words, takin"&amp;"g me in passing for an idiot! Besides an abuse of trust, I denounce an abuse of power Subtly orchestrated because organism. My attending physician could not provide me with a medical certificate, being absent at the time of the facts duly reported I wante"&amp;"d to bring to your attention these abuses committed against me, in order to prevent other people to be victims.
Thank you and my distinguished greetings,
Dominique Brugière")</f>
        <v>Hello, I wanted to point out to you the Néoliane Santé Provoyance insurance, located in Reims which takes up a little too gullible customers on the phone ... This organization excels to convince. In fact, they play shame on words and abuse the confidence of its customers, so that they are massively subscribing to its contracts. We are promised substantial compensation, following an accidental hospitalization of 5 days minimum. For my part, I was hospitalized an entire week, brought to the emergency room by the firefighters in my city who had no other appeal than fracturing the blind and the window of my kitchen to help me. I was absolutely incapacity to open my front door to them, having suddenly and suddenly been taken from significant rotary dizziness, at the same time as nausea and diarhhea. From my TV assistance whose bracelet surrounds my wrist. Thus, the latter was able to call the emergency services.
I provided Néoliane Health Provident all the supporting documents and documents requested, including a detailed writing of what had happened to me. I have just received a negative response, on the fallacious reason that the compensation only concerned accidents. In my case, in their eyes, I was not in this case !! The certificate of intervention of firefighters at my home, the hospital bulletin and my detailed writing concerning the circumstances of my accident. With the bad faith that characterizes too often, alas, insurers, so as not to have to compensate their customers, they played on words, taking me in passing for an idiot! Besides an abuse of trust, I denounce an abuse of power Subtly orchestrated because organism. My attending physician could not provide me with a medical certificate, being absent at the time of the facts duly reported I wanted to bring to your attention these abuses committed against me, in order to prevent other people to be victims.
Thank you and my distinguished greetings,
Dominique Brugière</v>
      </c>
    </row>
    <row r="783" ht="15.75" customHeight="1">
      <c r="B783" s="2" t="s">
        <v>2135</v>
      </c>
      <c r="C783" s="2" t="s">
        <v>2136</v>
      </c>
      <c r="D783" s="2" t="s">
        <v>1827</v>
      </c>
      <c r="E783" s="2" t="s">
        <v>360</v>
      </c>
      <c r="F783" s="2" t="s">
        <v>15</v>
      </c>
      <c r="G783" s="2" t="s">
        <v>2137</v>
      </c>
      <c r="H783" s="2" t="s">
        <v>126</v>
      </c>
      <c r="I783" s="2" t="str">
        <f>IFERROR(__xludf.DUMMYFUNCTION("GOOGLETRANSLATE(C783,""fr"",""en"")"),"CAUTION MUTUAL which often calls people's home by making believe that it is not a mutual but which are there to overcome the security which reimburses us more correctly hospitalization !!!! !!!")</f>
        <v>CAUTION MUTUAL which often calls people's home by making believe that it is not a mutual but which are there to overcome the security which reimburses us more correctly hospitalization !!!! !!!</v>
      </c>
    </row>
    <row r="784" ht="15.75" customHeight="1">
      <c r="B784" s="2" t="s">
        <v>2138</v>
      </c>
      <c r="C784" s="2" t="s">
        <v>2139</v>
      </c>
      <c r="D784" s="2" t="s">
        <v>1827</v>
      </c>
      <c r="E784" s="2" t="s">
        <v>360</v>
      </c>
      <c r="F784" s="2" t="s">
        <v>15</v>
      </c>
      <c r="G784" s="2" t="s">
        <v>2140</v>
      </c>
      <c r="H784" s="2" t="s">
        <v>126</v>
      </c>
      <c r="I784" s="2" t="str">
        <f>IFERROR(__xludf.DUMMYFUNCTION("GOOGLETRANSLATE(C784,""fr"",""en"")"),"Very listening to Mame, good explanations, very good initiative to help and finally very kind, very pro thank you. As I will really be a customer in 2021 I hope this confidence will be the same
")</f>
        <v>Very listening to Mame, good explanations, very good initiative to help and finally very kind, very pro thank you. As I will really be a customer in 2021 I hope this confidence will be the same
</v>
      </c>
    </row>
    <row r="785" ht="15.75" customHeight="1">
      <c r="B785" s="2" t="s">
        <v>2141</v>
      </c>
      <c r="C785" s="2" t="s">
        <v>2142</v>
      </c>
      <c r="D785" s="2" t="s">
        <v>1827</v>
      </c>
      <c r="E785" s="2" t="s">
        <v>360</v>
      </c>
      <c r="F785" s="2" t="s">
        <v>15</v>
      </c>
      <c r="G785" s="2" t="s">
        <v>2143</v>
      </c>
      <c r="H785" s="2" t="s">
        <v>126</v>
      </c>
      <c r="I785" s="2" t="str">
        <f>IFERROR(__xludf.DUMMYFUNCTION("GOOGLETRANSLATE(C785,""fr"",""en"")"),"Neoliane has no professionalism, their procedure is vague, it is extremely difficult to terminate a contract with them. I have never seen that, personally to terminate, it took me 6 months, several hours on the phone with their customer service and 4 reco"&amp;"mmended letters accused receptions that they pretended not to have received to be able to continue my contract.")</f>
        <v>Neoliane has no professionalism, their procedure is vague, it is extremely difficult to terminate a contract with them. I have never seen that, personally to terminate, it took me 6 months, several hours on the phone with their customer service and 4 recommended letters accused receptions that they pretended not to have received to be able to continue my contract.</v>
      </c>
    </row>
    <row r="786" ht="15.75" customHeight="1">
      <c r="B786" s="2" t="s">
        <v>2144</v>
      </c>
      <c r="C786" s="2" t="s">
        <v>2145</v>
      </c>
      <c r="D786" s="2" t="s">
        <v>1827</v>
      </c>
      <c r="E786" s="2" t="s">
        <v>360</v>
      </c>
      <c r="F786" s="2" t="s">
        <v>15</v>
      </c>
      <c r="G786" s="2" t="s">
        <v>126</v>
      </c>
      <c r="H786" s="2" t="s">
        <v>126</v>
      </c>
      <c r="I786" s="2" t="str">
        <f>IFERROR(__xludf.DUMMYFUNCTION("GOOGLETRANSLATE(C786,""fr"",""en"")"),"To flee at all costs! I have been waiting for several weeks an answer to a dental quote.
On the phone, after several calls and very long expectations, they are unable to find out correctly. When you have finished the exchange if there is exchange, you do"&amp;" not have an answer to your questions. I also expect a refund and still nothing. No, zero, no one this mutual.")</f>
        <v>To flee at all costs! I have been waiting for several weeks an answer to a dental quote.
On the phone, after several calls and very long expectations, they are unable to find out correctly. When you have finished the exchange if there is exchange, you do not have an answer to your questions. I also expect a refund and still nothing. No, zero, no one this mutual.</v>
      </c>
    </row>
    <row r="787" ht="15.75" customHeight="1">
      <c r="B787" s="2" t="s">
        <v>2146</v>
      </c>
      <c r="C787" s="2" t="s">
        <v>2147</v>
      </c>
      <c r="D787" s="2" t="s">
        <v>1827</v>
      </c>
      <c r="E787" s="2" t="s">
        <v>360</v>
      </c>
      <c r="F787" s="2" t="s">
        <v>15</v>
      </c>
      <c r="G787" s="2" t="s">
        <v>2148</v>
      </c>
      <c r="H787" s="2" t="s">
        <v>630</v>
      </c>
      <c r="I787" s="2" t="str">
        <f>IFERROR(__xludf.DUMMYFUNCTION("GOOGLETRANSLATE(C787,""fr"",""en"")"),"Practice canvassing and abusive sale by phone with identity theft, the person on the phone told me several times for CSM Conseil (which is actually an accountant's office, which has nothing to do. ..) Never communicate to me the name of Néoliane. Calling "&amp;"number: 0563887050. Do not give them any information, or communicate by code that they can send you by email or SMS which serves as an electronic signature or withholding tax!")</f>
        <v>Practice canvassing and abusive sale by phone with identity theft, the person on the phone told me several times for CSM Conseil (which is actually an accountant's office, which has nothing to do. ..) Never communicate to me the name of Néoliane. Calling number: 0563887050. Do not give them any information, or communicate by code that they can send you by email or SMS which serves as an electronic signature or withholding tax!</v>
      </c>
    </row>
    <row r="788" ht="15.75" customHeight="1">
      <c r="B788" s="2" t="s">
        <v>2149</v>
      </c>
      <c r="C788" s="2" t="s">
        <v>2150</v>
      </c>
      <c r="D788" s="2" t="s">
        <v>1827</v>
      </c>
      <c r="E788" s="2" t="s">
        <v>360</v>
      </c>
      <c r="F788" s="2" t="s">
        <v>15</v>
      </c>
      <c r="G788" s="2" t="s">
        <v>1703</v>
      </c>
      <c r="H788" s="2" t="s">
        <v>630</v>
      </c>
      <c r="I788" s="2" t="str">
        <f>IFERROR(__xludf.DUMMYFUNCTION("GOOGLETRANSLATE(C788,""fr"",""en"")"),"The waiting period is extremely long. Otherwise everything is correct, the advisor was kind and very precise in these responses. Thanks very much")</f>
        <v>The waiting period is extremely long. Otherwise everything is correct, the advisor was kind and very precise in these responses. Thanks very much</v>
      </c>
    </row>
    <row r="789" ht="15.75" customHeight="1">
      <c r="B789" s="2" t="s">
        <v>2151</v>
      </c>
      <c r="C789" s="2" t="s">
        <v>2152</v>
      </c>
      <c r="D789" s="2" t="s">
        <v>1827</v>
      </c>
      <c r="E789" s="2" t="s">
        <v>360</v>
      </c>
      <c r="F789" s="2" t="s">
        <v>15</v>
      </c>
      <c r="G789" s="2" t="s">
        <v>1457</v>
      </c>
      <c r="H789" s="2" t="s">
        <v>630</v>
      </c>
      <c r="I789" s="2" t="str">
        <f>IFERROR(__xludf.DUMMYFUNCTION("GOOGLETRANSLATE(C789,""fr"",""en"")"),"Also very disappointed with this mutual and I can't wait to arrive on the anniversary date to change it. I had a hard time that the remote transmission was implemented. It is finally in place since October 3 and yet I have still not been reimbursed follow"&amp;"ing a visit to my doctor on October 16, while the CPAM transmitted the document to the mutual. They tell me that they did not receive it when the CPAM confirms to me that it was done well and besides when I go to the Ameli account it is well indicated tha"&amp;"t the document concerning the consultation with my doctor has a good been transmitted to the mutual by ""teletransmission"". Just like you I strongly denote this mutual which is very expensive")</f>
        <v>Also very disappointed with this mutual and I can't wait to arrive on the anniversary date to change it. I had a hard time that the remote transmission was implemented. It is finally in place since October 3 and yet I have still not been reimbursed following a visit to my doctor on October 16, while the CPAM transmitted the document to the mutual. They tell me that they did not receive it when the CPAM confirms to me that it was done well and besides when I go to the Ameli account it is well indicated that the document concerning the consultation with my doctor has a good been transmitted to the mutual by "teletransmission". Just like you I strongly denote this mutual which is very expensive</v>
      </c>
    </row>
    <row r="790" ht="15.75" customHeight="1">
      <c r="B790" s="2" t="s">
        <v>2153</v>
      </c>
      <c r="C790" s="2" t="s">
        <v>2154</v>
      </c>
      <c r="D790" s="2" t="s">
        <v>1827</v>
      </c>
      <c r="E790" s="2" t="s">
        <v>360</v>
      </c>
      <c r="F790" s="2" t="s">
        <v>15</v>
      </c>
      <c r="G790" s="2" t="s">
        <v>630</v>
      </c>
      <c r="H790" s="2" t="s">
        <v>630</v>
      </c>
      <c r="I790" s="2" t="str">
        <f>IFERROR(__xludf.DUMMYFUNCTION("GOOGLETRANSLATE(C790,""fr"",""en"")"),"Registered mail sent in March 2020 remained unanswered 7 months later! They make a deaf ear but on the other hand do not forget to send their new schedule.
I do not recommend this mutual insurance for anyone. If you call them, you will be lucky to have a"&amp;"n interlocutor after 15 or 20 minutes. The customer headquarters are in Nice (06), the management center in Muret (31). They seem not to want to know each other since the mail addressed to one is not transmitted to the other if necessary.
Their commercia"&amp;"l behavior is very very aggressive. I sent an email to the litigation service also remained unanswered! Real charlots!")</f>
        <v>Registered mail sent in March 2020 remained unanswered 7 months later! They make a deaf ear but on the other hand do not forget to send their new schedule.
I do not recommend this mutual insurance for anyone. If you call them, you will be lucky to have an interlocutor after 15 or 20 minutes. The customer headquarters are in Nice (06), the management center in Muret (31). They seem not to want to know each other since the mail addressed to one is not transmitted to the other if necessary.
Their commercial behavior is very very aggressive. I sent an email to the litigation service also remained unanswered! Real charlots!</v>
      </c>
    </row>
    <row r="791" ht="15.75" customHeight="1">
      <c r="B791" s="2" t="s">
        <v>2155</v>
      </c>
      <c r="C791" s="2" t="s">
        <v>2156</v>
      </c>
      <c r="D791" s="2" t="s">
        <v>1827</v>
      </c>
      <c r="E791" s="2" t="s">
        <v>360</v>
      </c>
      <c r="F791" s="2" t="s">
        <v>15</v>
      </c>
      <c r="G791" s="2" t="s">
        <v>2157</v>
      </c>
      <c r="H791" s="2" t="s">
        <v>130</v>
      </c>
      <c r="I791" s="2" t="str">
        <f>IFERROR(__xludf.DUMMYFUNCTION("GOOGLETRANSLATE(C791,""fr"",""en"")"),"Neoliane Health A catastrophe. Dear and poorly reimbursed. I pay the consequences morally. Always fight to revive them. On the other hand, it debits our Compe on the date on date and time.
Flee them while.
They can afford their offices on the Promenade "&amp;"des Anglais in Nice 06.
I leave them at the end of the year, which could not be earlier, but morally relieved and financially relieved. Do not be trapped too by these .....")</f>
        <v>Neoliane Health A catastrophe. Dear and poorly reimbursed. I pay the consequences morally. Always fight to revive them. On the other hand, it debits our Compe on the date on date and time.
Flee them while.
They can afford their offices on the Promenade des Anglais in Nice 06.
I leave them at the end of the year, which could not be earlier, but morally relieved and financially relieved. Do not be trapped too by these .....</v>
      </c>
    </row>
    <row r="792" ht="15.75" customHeight="1">
      <c r="B792" s="2" t="s">
        <v>2158</v>
      </c>
      <c r="C792" s="2" t="s">
        <v>2159</v>
      </c>
      <c r="D792" s="2" t="s">
        <v>1827</v>
      </c>
      <c r="E792" s="2" t="s">
        <v>360</v>
      </c>
      <c r="F792" s="2" t="s">
        <v>15</v>
      </c>
      <c r="G792" s="2" t="s">
        <v>2160</v>
      </c>
      <c r="H792" s="2" t="s">
        <v>130</v>
      </c>
      <c r="I792" s="2" t="str">
        <f>IFERROR(__xludf.DUMMYFUNCTION("GOOGLETRANSLATE(C792,""fr"",""en"")"),"I recommend without hesitation! I made my father subscribe to this health insurance which covered all his medical expenses until his death. When I asked them for information on the day of death, they were completely human and everything went very well. It"&amp;" was at the end of 2019 but I wanted to share this positive experience. I have never been about such a professional insurer!")</f>
        <v>I recommend without hesitation! I made my father subscribe to this health insurance which covered all his medical expenses until his death. When I asked them for information on the day of death, they were completely human and everything went very well. It was at the end of 2019 but I wanted to share this positive experience. I have never been about such a professional insurer!</v>
      </c>
    </row>
    <row r="793" ht="15.75" customHeight="1">
      <c r="B793" s="2" t="s">
        <v>2161</v>
      </c>
      <c r="C793" s="2" t="s">
        <v>2162</v>
      </c>
      <c r="D793" s="2" t="s">
        <v>1827</v>
      </c>
      <c r="E793" s="2" t="s">
        <v>360</v>
      </c>
      <c r="F793" s="2" t="s">
        <v>15</v>
      </c>
      <c r="G793" s="2" t="s">
        <v>2160</v>
      </c>
      <c r="H793" s="2" t="s">
        <v>130</v>
      </c>
      <c r="I793" s="2" t="str">
        <f>IFERROR(__xludf.DUMMYFUNCTION("GOOGLETRANSLATE(C793,""fr"",""en"")"),"Very disappointed, on an operation that cost me 550 euros, Neoliane reimburses me 139 euros.
On an ultrasound of 130 euros, the compulsory scheme reimburses me 30 euros and the mutual nothing at all because exceeding fees on the part of the clinic.
Bett"&amp;"er to be wealthy and choose an excellent mutual or poor and depend on a state or ACS mutual.
My mutual fees greatly exceed the reimbursements made.")</f>
        <v>Very disappointed, on an operation that cost me 550 euros, Neoliane reimburses me 139 euros.
On an ultrasound of 130 euros, the compulsory scheme reimburses me 30 euros and the mutual nothing at all because exceeding fees on the part of the clinic.
Better to be wealthy and choose an excellent mutual or poor and depend on a state or ACS mutual.
My mutual fees greatly exceed the reimbursements made.</v>
      </c>
    </row>
    <row r="794" ht="15.75" customHeight="1">
      <c r="B794" s="2" t="s">
        <v>2163</v>
      </c>
      <c r="C794" s="2" t="s">
        <v>2164</v>
      </c>
      <c r="D794" s="2" t="s">
        <v>1827</v>
      </c>
      <c r="E794" s="2" t="s">
        <v>360</v>
      </c>
      <c r="F794" s="2" t="s">
        <v>15</v>
      </c>
      <c r="G794" s="2" t="s">
        <v>129</v>
      </c>
      <c r="H794" s="2" t="s">
        <v>130</v>
      </c>
      <c r="I794" s="2" t="str">
        <f>IFERROR(__xludf.DUMMYFUNCTION("GOOGLETRANSLATE(C794,""fr"",""en"")"),"Following my call this day concerning several information my interlocutor Lamia informed me about all the points I asked her, I thank her for her welcome and her explanations")</f>
        <v>Following my call this day concerning several information my interlocutor Lamia informed me about all the points I asked her, I thank her for her welcome and her explanations</v>
      </c>
    </row>
    <row r="795" ht="15.75" customHeight="1">
      <c r="B795" s="2" t="s">
        <v>2165</v>
      </c>
      <c r="C795" s="2" t="s">
        <v>2166</v>
      </c>
      <c r="D795" s="2" t="s">
        <v>1827</v>
      </c>
      <c r="E795" s="2" t="s">
        <v>360</v>
      </c>
      <c r="F795" s="2" t="s">
        <v>15</v>
      </c>
      <c r="G795" s="2" t="s">
        <v>1477</v>
      </c>
      <c r="H795" s="2" t="s">
        <v>281</v>
      </c>
      <c r="I795" s="2" t="str">
        <f>IFERROR(__xludf.DUMMYFUNCTION("GOOGLETRANSLATE(C795,""fr"",""en"")"),"The person explained to me very well how I had to do my contract.
The walks to be made on the internet were very clear
Sincerely Adam Elizabet")</f>
        <v>The person explained to me very well how I had to do my contract.
The walks to be made on the internet were very clear
Sincerely Adam Elizabet</v>
      </c>
    </row>
    <row r="796" ht="15.75" customHeight="1">
      <c r="B796" s="2" t="s">
        <v>2167</v>
      </c>
      <c r="C796" s="2" t="s">
        <v>2168</v>
      </c>
      <c r="D796" s="2" t="s">
        <v>1827</v>
      </c>
      <c r="E796" s="2" t="s">
        <v>360</v>
      </c>
      <c r="F796" s="2" t="s">
        <v>15</v>
      </c>
      <c r="G796" s="2" t="s">
        <v>1718</v>
      </c>
      <c r="H796" s="2" t="s">
        <v>281</v>
      </c>
      <c r="I796" s="2" t="str">
        <f>IFERROR(__xludf.DUMMYFUNCTION("GOOGLETRANSLATE(C796,""fr"",""en"")"),"Having so many incompetent intermediaries around you is a feat at this level. A management center 450 km from your headquarters, brokers everywhere in France ... You are alumni from K by K or something like that is it?!
My poor grandmother fell into the "&amp;"panel, congratulations to you!
I also want to congratulate your customer service filled with charming and very professional people who know their profession at their fingertips ... Next step form them on Santés insurance and you will be almost at the t"&amp;"op. It will prevent them from being yelled at and becoming embittered")</f>
        <v>Having so many incompetent intermediaries around you is a feat at this level. A management center 450 km from your headquarters, brokers everywhere in France ... You are alumni from K by K or something like that is it?!
My poor grandmother fell into the panel, congratulations to you!
I also want to congratulate your customer service filled with charming and very professional people who know their profession at their fingertips ... Next step form them on Santés insurance and you will be almost at the top. It will prevent them from being yelled at and becoming embittered</v>
      </c>
    </row>
    <row r="797" ht="15.75" customHeight="1">
      <c r="B797" s="2" t="s">
        <v>2169</v>
      </c>
      <c r="C797" s="2" t="s">
        <v>2170</v>
      </c>
      <c r="D797" s="2" t="s">
        <v>1827</v>
      </c>
      <c r="E797" s="2" t="s">
        <v>360</v>
      </c>
      <c r="F797" s="2" t="s">
        <v>15</v>
      </c>
      <c r="G797" s="2" t="s">
        <v>320</v>
      </c>
      <c r="H797" s="2" t="s">
        <v>281</v>
      </c>
      <c r="I797" s="2" t="str">
        <f>IFERROR(__xludf.DUMMYFUNCTION("GOOGLETRANSLATE(C797,""fr"",""en"")"),"A terrible experience with this insurance. A broker tried to sell me the insurance two months ago by pretending to be social security. After being confident I provided him with the information he needed. Then when he talked about a contract I started to s"&amp;"uspect that something was wrong and I retracted immediately during this call. Very kind, this first spotlight has in fact canceled everything. I recalled Neoliane a few days later to confirm that no contract had been signed and validated what they confirm"&amp;"ed to me. But yesterday, surprise, a new driver or broker joins me and helps me to continue the approaches taken by announcing that I was not allowed to return to my decision not to validate the contract, that few mattered to him oral refusal, whether it "&amp;"would be sample whether I like it or not, and he ended up threats before hanging up on me ... Since then I want to join them to check his words before taking measures but impossible to join...")</f>
        <v>A terrible experience with this insurance. A broker tried to sell me the insurance two months ago by pretending to be social security. After being confident I provided him with the information he needed. Then when he talked about a contract I started to suspect that something was wrong and I retracted immediately during this call. Very kind, this first spotlight has in fact canceled everything. I recalled Neoliane a few days later to confirm that no contract had been signed and validated what they confirmed to me. But yesterday, surprise, a new driver or broker joins me and helps me to continue the approaches taken by announcing that I was not allowed to return to my decision not to validate the contract, that few mattered to him oral refusal, whether it would be sample whether I like it or not, and he ended up threats before hanging up on me ... Since then I want to join them to check his words before taking measures but impossible to join...</v>
      </c>
    </row>
    <row r="798" ht="15.75" customHeight="1">
      <c r="B798" s="2" t="s">
        <v>2171</v>
      </c>
      <c r="C798" s="2" t="s">
        <v>2172</v>
      </c>
      <c r="D798" s="2" t="s">
        <v>1827</v>
      </c>
      <c r="E798" s="2" t="s">
        <v>360</v>
      </c>
      <c r="F798" s="2" t="s">
        <v>15</v>
      </c>
      <c r="G798" s="2" t="s">
        <v>320</v>
      </c>
      <c r="H798" s="2" t="s">
        <v>281</v>
      </c>
      <c r="I798" s="2" t="str">
        <f>IFERROR(__xludf.DUMMYFUNCTION("GOOGLETRANSLATE(C798,""fr"",""en"")"),"The 3avril 3 I ask for an individual mutual insurance company I answer me we call you back in 10 minutes and they reminded me that the month after so I found myself without a mutual. Glad more reimbursement and cheaper than Aviva is really the stampede to"&amp;" flee this mutual in the end I am very happy that they do not remind me of April because I found 100% better. Before being part of the Aviva group was really good. I give the 0 note on all points of view of course for Aviva and 20/20 for Neoliane")</f>
        <v>The 3avril 3 I ask for an individual mutual insurance company I answer me we call you back in 10 minutes and they reminded me that the month after so I found myself without a mutual. Glad more reimbursement and cheaper than Aviva is really the stampede to flee this mutual in the end I am very happy that they do not remind me of April because I found 100% better. Before being part of the Aviva group was really good. I give the 0 note on all points of view of course for Aviva and 20/20 for Neoliane</v>
      </c>
    </row>
    <row r="799" ht="15.75" customHeight="1">
      <c r="B799" s="2" t="s">
        <v>2173</v>
      </c>
      <c r="C799" s="2" t="s">
        <v>2174</v>
      </c>
      <c r="D799" s="2" t="s">
        <v>1827</v>
      </c>
      <c r="E799" s="2" t="s">
        <v>360</v>
      </c>
      <c r="F799" s="2" t="s">
        <v>15</v>
      </c>
      <c r="G799" s="2" t="s">
        <v>1721</v>
      </c>
      <c r="H799" s="2" t="s">
        <v>281</v>
      </c>
      <c r="I799" s="2" t="str">
        <f>IFERROR(__xludf.DUMMYFUNCTION("GOOGLETRANSLATE(C799,""fr"",""en"")"),"First telephone contact with Nadège super satisfied because I received a pleasant welcome and all the answers to my questions it was very clear")</f>
        <v>First telephone contact with Nadège super satisfied because I received a pleasant welcome and all the answers to my questions it was very clear</v>
      </c>
    </row>
    <row r="800" ht="15.75" customHeight="1">
      <c r="B800" s="2" t="s">
        <v>2175</v>
      </c>
      <c r="C800" s="2" t="s">
        <v>2176</v>
      </c>
      <c r="D800" s="2" t="s">
        <v>1827</v>
      </c>
      <c r="E800" s="2" t="s">
        <v>360</v>
      </c>
      <c r="F800" s="2" t="s">
        <v>15</v>
      </c>
      <c r="G800" s="2" t="s">
        <v>2177</v>
      </c>
      <c r="H800" s="2" t="s">
        <v>281</v>
      </c>
      <c r="I800" s="2" t="str">
        <f>IFERROR(__xludf.DUMMYFUNCTION("GOOGLETRANSLATE(C800,""fr"",""en"")"),"No very competitive concern and price for 3 years retired and in ALD tariff studied and listening advisor and available at any time hospitalized for a month in clinic I did not spend anything")</f>
        <v>No very competitive concern and price for 3 years retired and in ALD tariff studied and listening advisor and available at any time hospitalized for a month in clinic I did not spend anything</v>
      </c>
    </row>
    <row r="801" ht="15.75" customHeight="1">
      <c r="B801" s="2" t="s">
        <v>2178</v>
      </c>
      <c r="C801" s="2" t="s">
        <v>2179</v>
      </c>
      <c r="D801" s="2" t="s">
        <v>1827</v>
      </c>
      <c r="E801" s="2" t="s">
        <v>360</v>
      </c>
      <c r="F801" s="2" t="s">
        <v>15</v>
      </c>
      <c r="G801" s="2" t="s">
        <v>2177</v>
      </c>
      <c r="H801" s="2" t="s">
        <v>281</v>
      </c>
      <c r="I801" s="2" t="str">
        <f>IFERROR(__xludf.DUMMYFUNCTION("GOOGLETRANSLATE(C801,""fr"",""en"")"),"A very good mutual I confirm. I have had it for 6 years and honestly I have not been full of all sincerely. The third party paying the quality of service oh that I feel serene in safety")</f>
        <v>A very good mutual I confirm. I have had it for 6 years and honestly I have not been full of all sincerely. The third party paying the quality of service oh that I feel serene in safety</v>
      </c>
    </row>
    <row r="802" ht="15.75" customHeight="1">
      <c r="B802" s="2" t="s">
        <v>2180</v>
      </c>
      <c r="C802" s="2" t="s">
        <v>2181</v>
      </c>
      <c r="D802" s="2" t="s">
        <v>1827</v>
      </c>
      <c r="E802" s="2" t="s">
        <v>360</v>
      </c>
      <c r="F802" s="2" t="s">
        <v>15</v>
      </c>
      <c r="G802" s="2" t="s">
        <v>2177</v>
      </c>
      <c r="H802" s="2" t="s">
        <v>281</v>
      </c>
      <c r="I802" s="2" t="str">
        <f>IFERROR(__xludf.DUMMYFUNCTION("GOOGLETRANSLATE(C802,""fr"",""en"")"),"Very good mutual that is there when you need it, that this self by phone or when you get reimbursed with the card. I had this contract through a demarcher on the phone, I was a little septic or departure, but in the end I replayed and I do not have to sel"&amp;"l the merits to those around me just as much satisfied as me")</f>
        <v>Very good mutual that is there when you need it, that this self by phone or when you get reimbursed with the card. I had this contract through a demarcher on the phone, I was a little septic or departure, but in the end I replayed and I do not have to sell the merits to those around me just as much satisfied as me</v>
      </c>
    </row>
    <row r="803" ht="15.75" customHeight="1">
      <c r="B803" s="2" t="s">
        <v>2182</v>
      </c>
      <c r="C803" s="2" t="s">
        <v>2183</v>
      </c>
      <c r="D803" s="2" t="s">
        <v>1827</v>
      </c>
      <c r="E803" s="2" t="s">
        <v>360</v>
      </c>
      <c r="F803" s="2" t="s">
        <v>15</v>
      </c>
      <c r="G803" s="2" t="s">
        <v>2184</v>
      </c>
      <c r="H803" s="2" t="s">
        <v>281</v>
      </c>
      <c r="I803" s="2" t="str">
        <f>IFERROR(__xludf.DUMMYFUNCTION("GOOGLETRANSLATE(C803,""fr"",""en"")"),"I am for the moment at Noliane, it is true that I did not have any particular request, I have just read the opinions on this insurance, I admit that I am cooled and ask myself if I should not change assurance")</f>
        <v>I am for the moment at Noliane, it is true that I did not have any particular request, I have just read the opinions on this insurance, I admit that I am cooled and ask myself if I should not change assurance</v>
      </c>
    </row>
    <row r="804" ht="15.75" customHeight="1">
      <c r="B804" s="2" t="s">
        <v>2185</v>
      </c>
      <c r="C804" s="2" t="s">
        <v>2186</v>
      </c>
      <c r="D804" s="2" t="s">
        <v>1827</v>
      </c>
      <c r="E804" s="2" t="s">
        <v>360</v>
      </c>
      <c r="F804" s="2" t="s">
        <v>15</v>
      </c>
      <c r="G804" s="2" t="s">
        <v>2187</v>
      </c>
      <c r="H804" s="2" t="s">
        <v>281</v>
      </c>
      <c r="I804" s="2" t="str">
        <f>IFERROR(__xludf.DUMMYFUNCTION("GOOGLETRANSLATE(C804,""fr"",""en"")"),"To absent subscribers, dental quotes sent, never response, Detount of the SECTION SEND, ACCITTED ADOPLE OF MY Dentist sent for more than 2 months, several complaints, no response, I plan to change.")</f>
        <v>To absent subscribers, dental quotes sent, never response, Detount of the SECTION SEND, ACCITTED ADOPLE OF MY Dentist sent for more than 2 months, several complaints, no response, I plan to change.</v>
      </c>
    </row>
    <row r="805" ht="15.75" customHeight="1">
      <c r="B805" s="2" t="s">
        <v>2188</v>
      </c>
      <c r="C805" s="2" t="s">
        <v>2189</v>
      </c>
      <c r="D805" s="2" t="s">
        <v>1827</v>
      </c>
      <c r="E805" s="2" t="s">
        <v>360</v>
      </c>
      <c r="F805" s="2" t="s">
        <v>15</v>
      </c>
      <c r="G805" s="2" t="s">
        <v>666</v>
      </c>
      <c r="H805" s="2" t="s">
        <v>661</v>
      </c>
      <c r="I805" s="2" t="str">
        <f>IFERROR(__xludf.DUMMYFUNCTION("GOOGLETRANSLATE(C805,""fr"",""en"")"),"To run away absolutely does not answer any monitoring any interlocutor
A year of gallery fortunately the end of the year I have already contacted
with a slightly more expensive local insurer too bad")</f>
        <v>To run away absolutely does not answer any monitoring any interlocutor
A year of gallery fortunately the end of the year I have already contacted
with a slightly more expensive local insurer too bad</v>
      </c>
    </row>
    <row r="806" ht="15.75" customHeight="1">
      <c r="B806" s="2" t="s">
        <v>2190</v>
      </c>
      <c r="C806" s="2" t="s">
        <v>2191</v>
      </c>
      <c r="D806" s="2" t="s">
        <v>1827</v>
      </c>
      <c r="E806" s="2" t="s">
        <v>360</v>
      </c>
      <c r="F806" s="2" t="s">
        <v>15</v>
      </c>
      <c r="G806" s="2" t="s">
        <v>2192</v>
      </c>
      <c r="H806" s="2" t="s">
        <v>661</v>
      </c>
      <c r="I806" s="2" t="str">
        <f>IFERROR(__xludf.DUMMYFUNCTION("GOOGLETRANSLATE(C806,""fr"",""en"")")," . Having been hospitalized for breast cancer on 07/24/2020, I have all the sorrows of the world to be compensated for 2 days of hospitalization when I took out hospitalization insurance at the rate of 30 euros/day. I have emails no answer, I phone we do "&amp;"not pick up and the pompom yesterday has finally deigned to answer and then I came across a lady who apparently was not in tune with my contract")</f>
        <v> . Having been hospitalized for breast cancer on 07/24/2020, I have all the sorrows of the world to be compensated for 2 days of hospitalization when I took out hospitalization insurance at the rate of 30 euros/day. I have emails no answer, I phone we do not pick up and the pompom yesterday has finally deigned to answer and then I came across a lady who apparently was not in tune with my contract</v>
      </c>
    </row>
    <row r="807" ht="15.75" customHeight="1">
      <c r="B807" s="2" t="s">
        <v>2193</v>
      </c>
      <c r="C807" s="2" t="s">
        <v>2194</v>
      </c>
      <c r="D807" s="2" t="s">
        <v>1827</v>
      </c>
      <c r="E807" s="2" t="s">
        <v>360</v>
      </c>
      <c r="F807" s="2" t="s">
        <v>15</v>
      </c>
      <c r="G807" s="2" t="s">
        <v>2195</v>
      </c>
      <c r="H807" s="2" t="s">
        <v>661</v>
      </c>
      <c r="I807" s="2" t="str">
        <f>IFERROR(__xludf.DUMMYFUNCTION("GOOGLETRANSLATE(C807,""fr"",""en"")"),"Customer service is nonexistent. Impossible to obtain a response to my formulated requests as it is advised by email whether it be with Santiane who transmits to the broker or to the broker directly. As for the phone, after 45 minutes of unanswered waitin"&amp;"g, I hang up.
As soon as it is a care other than the usual consultations or drugs, you must ""fight"" to obtain the reimbursement provided for in the contract.
It is a way for the mutual to increase its profits by tireing its members.
And I can testify"&amp;" that it is not the Covid crisis that prevents the smooth running of this mutual because well before the problem was the same.")</f>
        <v>Customer service is nonexistent. Impossible to obtain a response to my formulated requests as it is advised by email whether it be with Santiane who transmits to the broker or to the broker directly. As for the phone, after 45 minutes of unanswered waiting, I hang up.
As soon as it is a care other than the usual consultations or drugs, you must "fight" to obtain the reimbursement provided for in the contract.
It is a way for the mutual to increase its profits by tireing its members.
And I can testify that it is not the Covid crisis that prevents the smooth running of this mutual because well before the problem was the same.</v>
      </c>
    </row>
    <row r="808" ht="15.75" customHeight="1">
      <c r="B808" s="2" t="s">
        <v>2196</v>
      </c>
      <c r="C808" s="2" t="s">
        <v>2197</v>
      </c>
      <c r="D808" s="2" t="s">
        <v>1827</v>
      </c>
      <c r="E808" s="2" t="s">
        <v>360</v>
      </c>
      <c r="F808" s="2" t="s">
        <v>15</v>
      </c>
      <c r="G808" s="2" t="s">
        <v>1502</v>
      </c>
      <c r="H808" s="2" t="s">
        <v>661</v>
      </c>
      <c r="I808" s="2" t="str">
        <f>IFERROR(__xludf.DUMMYFUNCTION("GOOGLETRANSLATE(C808,""fr"",""en"")"),"Very satisfied with the exchange with my advisor and my request by phone
very good health insurance and customer services fast response
Cordially")</f>
        <v>Very satisfied with the exchange with my advisor and my request by phone
very good health insurance and customer services fast response
Cordially</v>
      </c>
    </row>
    <row r="809" ht="15.75" customHeight="1">
      <c r="B809" s="2" t="s">
        <v>2198</v>
      </c>
      <c r="C809" s="2" t="s">
        <v>2199</v>
      </c>
      <c r="D809" s="2" t="s">
        <v>1827</v>
      </c>
      <c r="E809" s="2" t="s">
        <v>360</v>
      </c>
      <c r="F809" s="2" t="s">
        <v>15</v>
      </c>
      <c r="G809" s="2" t="s">
        <v>1502</v>
      </c>
      <c r="H809" s="2" t="s">
        <v>661</v>
      </c>
      <c r="I809" s="2" t="str">
        <f>IFERROR(__xludf.DUMMYFUNCTION("GOOGLETRANSLATE(C809,""fr"",""en"")"),"I am amazed at the comments of the customers of this mutual insurance company for reimbursement as dental and optics because personally, I had no problem with them ... I am still under contract with them, it's been 3 years now. I have always had my reimbu"&amp;"rsements as and on time, customer service is very responsive by email. And by phone too")</f>
        <v>I am amazed at the comments of the customers of this mutual insurance company for reimbursement as dental and optics because personally, I had no problem with them ... I am still under contract with them, it's been 3 years now. I have always had my reimbursements as and on time, customer service is very responsive by email. And by phone too</v>
      </c>
    </row>
    <row r="810" ht="15.75" customHeight="1">
      <c r="B810" s="2" t="s">
        <v>2200</v>
      </c>
      <c r="C810" s="2" t="s">
        <v>2201</v>
      </c>
      <c r="D810" s="2" t="s">
        <v>1827</v>
      </c>
      <c r="E810" s="2" t="s">
        <v>360</v>
      </c>
      <c r="F810" s="2" t="s">
        <v>15</v>
      </c>
      <c r="G810" s="2" t="s">
        <v>2202</v>
      </c>
      <c r="H810" s="2" t="s">
        <v>134</v>
      </c>
      <c r="I810" s="2" t="str">
        <f>IFERROR(__xludf.DUMMYFUNCTION("GOOGLETRANSLATE(C810,""fr"",""en"")"),"For 8 years at Neoliane Sante 50% of bonuses, always reimbursed and care properly. Mesh children have been registered for 2 years, and without any problems. At the hospital I have nothing to pay for my room alone.
I am frankly amazed at negative opinions"&amp;". There is always less sought, we judge insurance than in the event of problems, and frankly I have nothing to say about Neoliane. I add that I have no interest in them! We always note the problems and well for once I say hat to this insurance for his ser"&amp;"ious work. handling there will always be grumpy !!!")</f>
        <v>For 8 years at Neoliane Sante 50% of bonuses, always reimbursed and care properly. Mesh children have been registered for 2 years, and without any problems. At the hospital I have nothing to pay for my room alone.
I am frankly amazed at negative opinions. There is always less sought, we judge insurance than in the event of problems, and frankly I have nothing to say about Neoliane. I add that I have no interest in them! We always note the problems and well for once I say hat to this insurance for his serious work. handling there will always be grumpy !!!</v>
      </c>
    </row>
    <row r="811" ht="15.75" customHeight="1">
      <c r="B811" s="2" t="s">
        <v>2203</v>
      </c>
      <c r="C811" s="2" t="s">
        <v>2204</v>
      </c>
      <c r="D811" s="2" t="s">
        <v>1827</v>
      </c>
      <c r="E811" s="2" t="s">
        <v>360</v>
      </c>
      <c r="F811" s="2" t="s">
        <v>15</v>
      </c>
      <c r="G811" s="2" t="s">
        <v>678</v>
      </c>
      <c r="H811" s="2" t="s">
        <v>134</v>
      </c>
      <c r="I811" s="2" t="str">
        <f>IFERROR(__xludf.DUMMYFUNCTION("GOOGLETRANSLATE(C811,""fr"",""en"")"),"Following a significant increase in contribution without any letter preventing me, and after consulting the statutes I decide to terminate my mutual contract.
Despite several exchanges accompanied by uninformed documents, my request is said to be ""inadm"&amp;"issible""
To date (July 2020) I have received two payment formulas and I am informed of transferring my file to a bailiff !!!
I registered a complaint with the official signal.conso.fr website")</f>
        <v>Following a significant increase in contribution without any letter preventing me, and after consulting the statutes I decide to terminate my mutual contract.
Despite several exchanges accompanied by uninformed documents, my request is said to be "inadmissible"
To date (July 2020) I have received two payment formulas and I am informed of transferring my file to a bailiff !!!
I registered a complaint with the official signal.conso.fr website</v>
      </c>
    </row>
    <row r="812" ht="15.75" customHeight="1">
      <c r="B812" s="2" t="s">
        <v>2205</v>
      </c>
      <c r="C812" s="2" t="s">
        <v>2206</v>
      </c>
      <c r="D812" s="2" t="s">
        <v>1827</v>
      </c>
      <c r="E812" s="2" t="s">
        <v>360</v>
      </c>
      <c r="F812" s="2" t="s">
        <v>15</v>
      </c>
      <c r="G812" s="2" t="s">
        <v>147</v>
      </c>
      <c r="H812" s="2" t="s">
        <v>148</v>
      </c>
      <c r="I812" s="2" t="str">
        <f>IFERROR(__xludf.DUMMYFUNCTION("GOOGLETRANSLATE(C812,""fr"",""en"")"),"You have to relaunch each request.")</f>
        <v>You have to relaunch each request.</v>
      </c>
    </row>
    <row r="813" ht="15.75" customHeight="1">
      <c r="B813" s="2" t="s">
        <v>2207</v>
      </c>
      <c r="C813" s="2" t="s">
        <v>2208</v>
      </c>
      <c r="D813" s="2" t="s">
        <v>1827</v>
      </c>
      <c r="E813" s="2" t="s">
        <v>360</v>
      </c>
      <c r="F813" s="2" t="s">
        <v>15</v>
      </c>
      <c r="G813" s="2" t="s">
        <v>2209</v>
      </c>
      <c r="H813" s="2" t="s">
        <v>148</v>
      </c>
      <c r="I813" s="2" t="str">
        <f>IFERROR(__xludf.DUMMYFUNCTION("GOOGLETRANSLATE(C813,""fr"",""en"")"),"Surprise by finally going to visit my godfather thanks to the decay I learn that he was abused by the telephone canvassing of Dnassur who sold him a Neoliane funeral contract for him and his wife. Probably he gave the four -digit code sent by SMS by the u"&amp;"nscrupulous operator. I am told that he was 15 days after receiving the contract to retract. The enveloppe is always closed. 81 years old and a stroke, his wife fighting for cancer and without any income he does not understand what is happening to him and"&amp;" asks me to check the bank levy. Samples in the name of blue mutual. It has to be done.
I am angry and I have to terminate with two months of notice. Neoliane tells me that the sums paid are not refundable. On the forums it is always the same course.
Wh"&amp;"en are these people really punished?
I will get closer to the direction of the repression of the fraud.")</f>
        <v>Surprise by finally going to visit my godfather thanks to the decay I learn that he was abused by the telephone canvassing of Dnassur who sold him a Neoliane funeral contract for him and his wife. Probably he gave the four -digit code sent by SMS by the unscrupulous operator. I am told that he was 15 days after receiving the contract to retract. The enveloppe is always closed. 81 years old and a stroke, his wife fighting for cancer and without any income he does not understand what is happening to him and asks me to check the bank levy. Samples in the name of blue mutual. It has to be done.
I am angry and I have to terminate with two months of notice. Neoliane tells me that the sums paid are not refundable. On the forums it is always the same course.
When are these people really punished?
I will get closer to the direction of the repression of the fraud.</v>
      </c>
    </row>
    <row r="814" ht="15.75" customHeight="1">
      <c r="B814" s="2" t="s">
        <v>2210</v>
      </c>
      <c r="C814" s="2" t="s">
        <v>2211</v>
      </c>
      <c r="D814" s="2" t="s">
        <v>1827</v>
      </c>
      <c r="E814" s="2" t="s">
        <v>360</v>
      </c>
      <c r="F814" s="2" t="s">
        <v>15</v>
      </c>
      <c r="G814" s="2" t="s">
        <v>2212</v>
      </c>
      <c r="H814" s="2" t="s">
        <v>148</v>
      </c>
      <c r="I814" s="2" t="str">
        <f>IFERROR(__xludf.DUMMYFUNCTION("GOOGLETRANSLATE(C814,""fr"",""en"")"),"A shame ! I have just been called to offer me an additional insurance contract for additional compensation in the event of hospitalization. Very nice person all along, and we come to the fact that I should pay 10 € of + per month, so I tell him that it do"&amp;"es not interest me and there I am hanging on the nose! Frankly no respect, a real shame on this person. This is where we see that we are only interesting when we give them tune. To flee! It would be better to leave his job to someone who deserves it!")</f>
        <v>A shame ! I have just been called to offer me an additional insurance contract for additional compensation in the event of hospitalization. Very nice person all along, and we come to the fact that I should pay 10 € of + per month, so I tell him that it does not interest me and there I am hanging on the nose! Frankly no respect, a real shame on this person. This is where we see that we are only interesting when we give them tune. To flee! It would be better to leave his job to someone who deserves it!</v>
      </c>
    </row>
    <row r="815" ht="15.75" customHeight="1">
      <c r="B815" s="2" t="s">
        <v>2213</v>
      </c>
      <c r="C815" s="2" t="s">
        <v>2214</v>
      </c>
      <c r="D815" s="2" t="s">
        <v>1827</v>
      </c>
      <c r="E815" s="2" t="s">
        <v>360</v>
      </c>
      <c r="F815" s="2" t="s">
        <v>15</v>
      </c>
      <c r="G815" s="2" t="s">
        <v>1535</v>
      </c>
      <c r="H815" s="2" t="s">
        <v>684</v>
      </c>
      <c r="I815" s="2" t="str">
        <f>IFERROR(__xludf.DUMMYFUNCTION("GOOGLETRANSLATE(C815,""fr"",""en"")"),"After discussing the salesperson, I agreed to take this mutual. No worries to send the contract, no worries for the direct debits, on the other hand no refund has ever been made !!! All costs are at my expense, and I can be explained every week that my si"&amp;"tuation will be regularized within 48 hours. It only remains to block the sample to limit the breakage. It is by far the worst mutual that I know. I can't find anything positive.")</f>
        <v>After discussing the salesperson, I agreed to take this mutual. No worries to send the contract, no worries for the direct debits, on the other hand no refund has ever been made !!! All costs are at my expense, and I can be explained every week that my situation will be regularized within 48 hours. It only remains to block the sample to limit the breakage. It is by far the worst mutual that I know. I can't find anything positive.</v>
      </c>
    </row>
    <row r="816" ht="15.75" customHeight="1">
      <c r="B816" s="2" t="s">
        <v>2215</v>
      </c>
      <c r="C816" s="2" t="s">
        <v>2216</v>
      </c>
      <c r="D816" s="2" t="s">
        <v>1827</v>
      </c>
      <c r="E816" s="2" t="s">
        <v>360</v>
      </c>
      <c r="F816" s="2" t="s">
        <v>15</v>
      </c>
      <c r="G816" s="2" t="s">
        <v>687</v>
      </c>
      <c r="H816" s="2" t="s">
        <v>684</v>
      </c>
      <c r="I816" s="2" t="str">
        <f>IFERROR(__xludf.DUMMYFUNCTION("GOOGLETRANSLATE(C816,""fr"",""en"")"),", a horror of lies during the sale I managed to leave Néoliane after many complications. No customer management, nobody ever responds to the Telélphone, reimbursements that arrive after 6 to 8 months by dint of claiming. The worst mutual of my life is Neo"&amp;"liane, to flee very quickly")</f>
        <v>, a horror of lies during the sale I managed to leave Néoliane after many complications. No customer management, nobody ever responds to the Telélphone, reimbursements that arrive after 6 to 8 months by dint of claiming. The worst mutual of my life is Neoliane, to flee very quickly</v>
      </c>
    </row>
    <row r="817" ht="15.75" customHeight="1">
      <c r="B817" s="2" t="s">
        <v>2217</v>
      </c>
      <c r="C817" s="2" t="s">
        <v>2218</v>
      </c>
      <c r="D817" s="2" t="s">
        <v>1827</v>
      </c>
      <c r="E817" s="2" t="s">
        <v>360</v>
      </c>
      <c r="F817" s="2" t="s">
        <v>15</v>
      </c>
      <c r="G817" s="2" t="s">
        <v>2219</v>
      </c>
      <c r="H817" s="2" t="s">
        <v>684</v>
      </c>
      <c r="I817" s="2" t="str">
        <f>IFERROR(__xludf.DUMMYFUNCTION("GOOGLETRANSLATE(C817,""fr"",""en"")"),"Mutual to avoid completely! They contacted me in September 2019. Being the beneficiary of the ACS, I told them that I thought that the latter would be renewed, and therefore, I did not want to get involved with them, despite their competitive price. They "&amp;"forced me to sign I do not know which paper by computer, or even by phone, by committing to that the contract was canceled if my ACS was renewed. The latter was, as planned, renewed on April 1. Coronavirus obliges, the papers reached me a little late. Sud"&amp;"denly, although they were warned from the start, they took me the 105 euros of the first month .... and do not want to restore them to me !!!")</f>
        <v>Mutual to avoid completely! They contacted me in September 2019. Being the beneficiary of the ACS, I told them that I thought that the latter would be renewed, and therefore, I did not want to get involved with them, despite their competitive price. They forced me to sign I do not know which paper by computer, or even by phone, by committing to that the contract was canceled if my ACS was renewed. The latter was, as planned, renewed on April 1. Coronavirus obliges, the papers reached me a little late. Suddenly, although they were warned from the start, they took me the 105 euros of the first month .... and do not want to restore them to me !!!</v>
      </c>
    </row>
    <row r="818" ht="15.75" customHeight="1">
      <c r="B818" s="2" t="s">
        <v>2220</v>
      </c>
      <c r="C818" s="2" t="s">
        <v>2221</v>
      </c>
      <c r="D818" s="2" t="s">
        <v>1827</v>
      </c>
      <c r="E818" s="2" t="s">
        <v>360</v>
      </c>
      <c r="F818" s="2" t="s">
        <v>15</v>
      </c>
      <c r="G818" s="2" t="s">
        <v>2222</v>
      </c>
      <c r="H818" s="2" t="s">
        <v>684</v>
      </c>
      <c r="I818" s="2" t="str">
        <f>IFERROR(__xludf.DUMMYFUNCTION("GOOGLETRANSLATE(C818,""fr"",""en"")"),"If the file is complete there is no problem. The file is sent to a doctor who will make the decision. I recommend this contract for all people. Because in life there are always unexpected")</f>
        <v>If the file is complete there is no problem. The file is sent to a doctor who will make the decision. I recommend this contract for all people. Because in life there are always unexpected</v>
      </c>
    </row>
    <row r="819" ht="15.75" customHeight="1">
      <c r="B819" s="2" t="s">
        <v>692</v>
      </c>
      <c r="C819" s="2" t="s">
        <v>2223</v>
      </c>
      <c r="D819" s="2" t="s">
        <v>1827</v>
      </c>
      <c r="E819" s="2" t="s">
        <v>360</v>
      </c>
      <c r="F819" s="2" t="s">
        <v>15</v>
      </c>
      <c r="G819" s="2" t="s">
        <v>694</v>
      </c>
      <c r="H819" s="2" t="s">
        <v>691</v>
      </c>
      <c r="I819" s="2" t="str">
        <f>IFERROR(__xludf.DUMMYFUNCTION("GOOGLETRANSLATE(C819,""fr"",""en"")"),"I gave you an opinion on Santiane in fact it is Néoliane. In summary Néoliane goes through a mutual management center which is not at all done for this work. This is 3 months since I expect a reimbursements of light surgical care. MUTUA informs me that my"&amp;" file is well taken into account but that you have to wait, since January 14 !!!!")</f>
        <v>I gave you an opinion on Santiane in fact it is Néoliane. In summary Néoliane goes through a mutual management center which is not at all done for this work. This is 3 months since I expect a reimbursements of light surgical care. MUTUA informs me that my file is well taken into account but that you have to wait, since January 14 !!!!</v>
      </c>
    </row>
    <row r="820" ht="15.75" customHeight="1">
      <c r="B820" s="2" t="s">
        <v>2224</v>
      </c>
      <c r="C820" s="2" t="s">
        <v>2225</v>
      </c>
      <c r="D820" s="2" t="s">
        <v>1827</v>
      </c>
      <c r="E820" s="2" t="s">
        <v>360</v>
      </c>
      <c r="F820" s="2" t="s">
        <v>15</v>
      </c>
      <c r="G820" s="2" t="s">
        <v>2226</v>
      </c>
      <c r="H820" s="2" t="s">
        <v>691</v>
      </c>
      <c r="I820" s="2" t="str">
        <f>IFERROR(__xludf.DUMMYFUNCTION("GOOGLETRANSLATE(C820,""fr"",""en"")"),"I reacted to the commentary of customers of Néoliane Santé and as well as the answers given by Néoliane Santé.
I encounter the same problems concerning my reimbursements. I have current dental care carried out on 3/12/19 treated by the SS and count trans"&amp;"mitted to MUTUA GESTION, so that they make my refund, I have still not been reimbursed. Ditto in early February for physiotherapy sessions, counting transmitted to Mutua Gestion, still not reimbursed. These are current care that does not require more invo"&amp;"ices (because my contract stipulates that this kind of act is processed directly after receipt of the count) there is no exceeding of fees.
Since 01/29/20 I have submitted a complaint with my statement and in addition an invoice concerning my dental cost"&amp;"s that I did not have to provide, I have still not been reimbursed and I have no new Despite calls for 1 incessant months, whatever the day and time (even the time slots that they say more accessible, this is false). A website that for at least 10 days ha"&amp;"s been working for at least 10 days because it is impossible to connect. ""It is put: inaccessible site"". However, this site, uses us to submit complaints, invoices, quotes, charges .... How Néoliane, can intervene on this site and respond to Néoliane cu"&amp;"stomers, to connect to a site that does not work Not for some time and to make complaints, while even if we place them, they have not been treated for months.
Today, March 10, another attempt remained without results. By, against today my subscription an"&amp;"d that of my spouse has been taken.
So as a member, I ask you to be honest and inform the members in order to know what is going on within your company. The information mentioned above by Néoliane is wrong, because I have been blocked for 3 months in my "&amp;"efforts to them for 3 months because it is impossible to join them whatever (telephone, site, ...). They are silent and play the ostrich policy. And I have other requests that have not been completed (hospital charges that have never been received on the "&amp;"day of my hospitalization, invoice osteopathy received and untreated for at least 3 weeks")</f>
        <v>I reacted to the commentary of customers of Néoliane Santé and as well as the answers given by Néoliane Santé.
I encounter the same problems concerning my reimbursements. I have current dental care carried out on 3/12/19 treated by the SS and count transmitted to MUTUA GESTION, so that they make my refund, I have still not been reimbursed. Ditto in early February for physiotherapy sessions, counting transmitted to Mutua Gestion, still not reimbursed. These are current care that does not require more invoices (because my contract stipulates that this kind of act is processed directly after receipt of the count) there is no exceeding of fees.
Since 01/29/20 I have submitted a complaint with my statement and in addition an invoice concerning my dental costs that I did not have to provide, I have still not been reimbursed and I have no new Despite calls for 1 incessant months, whatever the day and time (even the time slots that they say more accessible, this is false). A website that for at least 10 days has been working for at least 10 days because it is impossible to connect. "It is put: inaccessible site". However, this site, uses us to submit complaints, invoices, quotes, charges .... How Néoliane, can intervene on this site and respond to Néoliane customers, to connect to a site that does not work Not for some time and to make complaints, while even if we place them, they have not been treated for months.
Today, March 10, another attempt remained without results. By, against today my subscription and that of my spouse has been taken.
So as a member, I ask you to be honest and inform the members in order to know what is going on within your company. The information mentioned above by Néoliane is wrong, because I have been blocked for 3 months in my efforts to them for 3 months because it is impossible to join them whatever (telephone, site, ...). They are silent and play the ostrich policy. And I have other requests that have not been completed (hospital charges that have never been received on the day of my hospitalization, invoice osteopathy received and untreated for at least 3 weeks</v>
      </c>
    </row>
    <row r="821" ht="15.75" customHeight="1">
      <c r="B821" s="2" t="s">
        <v>2227</v>
      </c>
      <c r="C821" s="2" t="s">
        <v>2228</v>
      </c>
      <c r="D821" s="2" t="s">
        <v>1827</v>
      </c>
      <c r="E821" s="2" t="s">
        <v>360</v>
      </c>
      <c r="F821" s="2" t="s">
        <v>15</v>
      </c>
      <c r="G821" s="2" t="s">
        <v>2229</v>
      </c>
      <c r="H821" s="2" t="s">
        <v>691</v>
      </c>
      <c r="I821" s="2" t="str">
        <f>IFERROR(__xludf.DUMMYFUNCTION("GOOGLETRANSLATE(C821,""fr"",""en"")"),"Too many speakers to solve a single problem that takes a month to be solved. This company is worthy of the 16th century ... and again!")</f>
        <v>Too many speakers to solve a single problem that takes a month to be solved. This company is worthy of the 16th century ... and again!</v>
      </c>
    </row>
    <row r="822" ht="15.75" customHeight="1">
      <c r="B822" s="2" t="s">
        <v>2230</v>
      </c>
      <c r="C822" s="2" t="s">
        <v>2231</v>
      </c>
      <c r="D822" s="2" t="s">
        <v>1827</v>
      </c>
      <c r="E822" s="2" t="s">
        <v>360</v>
      </c>
      <c r="F822" s="2" t="s">
        <v>15</v>
      </c>
      <c r="G822" s="2" t="s">
        <v>2229</v>
      </c>
      <c r="H822" s="2" t="s">
        <v>691</v>
      </c>
      <c r="I822" s="2" t="str">
        <f>IFERROR(__xludf.DUMMYFUNCTION("GOOGLETRANSLATE(C822,""fr"",""en"")"),"Very bad service")</f>
        <v>Very bad service</v>
      </c>
    </row>
    <row r="823" ht="15.75" customHeight="1">
      <c r="B823" s="2" t="s">
        <v>2232</v>
      </c>
      <c r="C823" s="2" t="s">
        <v>2233</v>
      </c>
      <c r="D823" s="2" t="s">
        <v>1827</v>
      </c>
      <c r="E823" s="2" t="s">
        <v>360</v>
      </c>
      <c r="F823" s="2" t="s">
        <v>15</v>
      </c>
      <c r="G823" s="2" t="s">
        <v>703</v>
      </c>
      <c r="H823" s="2" t="s">
        <v>704</v>
      </c>
      <c r="I823" s="2" t="str">
        <f>IFERROR(__xludf.DUMMYFUNCTION("GOOGLETRANSLATE(C823,""fr"",""en"")"),"I no longer expect one thing: the date to terminate my contract")</f>
        <v>I no longer expect one thing: the date to terminate my contract</v>
      </c>
    </row>
    <row r="824" ht="15.75" customHeight="1">
      <c r="B824" s="2" t="s">
        <v>2234</v>
      </c>
      <c r="C824" s="2" t="s">
        <v>2235</v>
      </c>
      <c r="D824" s="2" t="s">
        <v>1827</v>
      </c>
      <c r="E824" s="2" t="s">
        <v>360</v>
      </c>
      <c r="F824" s="2" t="s">
        <v>15</v>
      </c>
      <c r="G824" s="2" t="s">
        <v>712</v>
      </c>
      <c r="H824" s="2" t="s">
        <v>704</v>
      </c>
      <c r="I824" s="2" t="str">
        <f>IFERROR(__xludf.DUMMYFUNCTION("GOOGLETRANSLATE(C824,""fr"",""en"")"),"I await the acceptance of a quote for orthodontics that I sent 10 days ago. Lack of response, telephone platform.
I took this mutual in January 2020 absence of an interlocutor, the vagueness. I will not wait all year to terminate if the situation does no"&amp;"t move.
Peggy Vidal
")</f>
        <v>I await the acceptance of a quote for orthodontics that I sent 10 days ago. Lack of response, telephone platform.
I took this mutual in January 2020 absence of an interlocutor, the vagueness. I will not wait all year to terminate if the situation does not move.
Peggy Vidal
</v>
      </c>
    </row>
    <row r="825" ht="15.75" customHeight="1">
      <c r="B825" s="2" t="s">
        <v>2236</v>
      </c>
      <c r="C825" s="2" t="s">
        <v>2237</v>
      </c>
      <c r="D825" s="2" t="s">
        <v>1827</v>
      </c>
      <c r="E825" s="2" t="s">
        <v>360</v>
      </c>
      <c r="F825" s="2" t="s">
        <v>15</v>
      </c>
      <c r="G825" s="2" t="s">
        <v>715</v>
      </c>
      <c r="H825" s="2" t="s">
        <v>704</v>
      </c>
      <c r="I825" s="2" t="str">
        <f>IFERROR(__xludf.DUMMYFUNCTION("GOOGLETRANSLATE(C825,""fr"",""en"")"),"Subscription of a health contract in 2019 for January 2020. No monitoring of requests on the site. No way to reach them by phone. They are always busy and make you wait for hours. The professionals are said to be said that I am not a member, 2 months late"&amp;"r, when they do not forget to take my bank account. I am already looking for a mutual for next year. To proscribe absolutely")</f>
        <v>Subscription of a health contract in 2019 for January 2020. No monitoring of requests on the site. No way to reach them by phone. They are always busy and make you wait for hours. The professionals are said to be said that I am not a member, 2 months later, when they do not forget to take my bank account. I am already looking for a mutual for next year. To proscribe absolutely</v>
      </c>
    </row>
    <row r="826" ht="15.75" customHeight="1">
      <c r="B826" s="2" t="s">
        <v>2238</v>
      </c>
      <c r="C826" s="2" t="s">
        <v>2239</v>
      </c>
      <c r="D826" s="2" t="s">
        <v>1827</v>
      </c>
      <c r="E826" s="2" t="s">
        <v>360</v>
      </c>
      <c r="F826" s="2" t="s">
        <v>15</v>
      </c>
      <c r="G826" s="2" t="s">
        <v>2240</v>
      </c>
      <c r="H826" s="2" t="s">
        <v>704</v>
      </c>
      <c r="I826" s="2" t="str">
        <f>IFERROR(__xludf.DUMMYFUNCTION("GOOGLETRANSLATE(C826,""fr"",""en"")"),"Exchange with Gwendal very satisfactory clear explanations")</f>
        <v>Exchange with Gwendal very satisfactory clear explanations</v>
      </c>
    </row>
    <row r="827" ht="15.75" customHeight="1">
      <c r="B827" s="2" t="s">
        <v>2241</v>
      </c>
      <c r="C827" s="2" t="s">
        <v>2242</v>
      </c>
      <c r="D827" s="2" t="s">
        <v>1827</v>
      </c>
      <c r="E827" s="2" t="s">
        <v>360</v>
      </c>
      <c r="F827" s="2" t="s">
        <v>15</v>
      </c>
      <c r="G827" s="2" t="s">
        <v>2243</v>
      </c>
      <c r="H827" s="2" t="s">
        <v>704</v>
      </c>
      <c r="I827" s="2" t="str">
        <f>IFERROR(__xludf.DUMMYFUNCTION("GOOGLETRANSLATE(C827,""fr"",""en"")"),"Miserable reimbursement, laborious customer service, untreated file for 5 months (change of address which has never been changed despite my many requests) I moved abroad and presented my proof of moving (visa ...) , they reject my request and continues to"&amp;" take me despite our exchanges for 2 months. 0 Honesty on their part, an advisor told me on the phone we accept your request, no worries, and in the end, nothing has been done, and they continue to harass me !! I advise you to go your way about this insur"&amp;"er")</f>
        <v>Miserable reimbursement, laborious customer service, untreated file for 5 months (change of address which has never been changed despite my many requests) I moved abroad and presented my proof of moving (visa ...) , they reject my request and continues to take me despite our exchanges for 2 months. 0 Honesty on their part, an advisor told me on the phone we accept your request, no worries, and in the end, nothing has been done, and they continue to harass me !! I advise you to go your way about this insurer</v>
      </c>
    </row>
    <row r="828" ht="15.75" customHeight="1">
      <c r="B828" s="2" t="s">
        <v>2244</v>
      </c>
      <c r="C828" s="2" t="s">
        <v>2245</v>
      </c>
      <c r="D828" s="2" t="s">
        <v>1827</v>
      </c>
      <c r="E828" s="2" t="s">
        <v>360</v>
      </c>
      <c r="F828" s="2" t="s">
        <v>15</v>
      </c>
      <c r="G828" s="2" t="s">
        <v>1544</v>
      </c>
      <c r="H828" s="2" t="s">
        <v>704</v>
      </c>
      <c r="I828" s="2" t="str">
        <f>IFERROR(__xludf.DUMMYFUNCTION("GOOGLETRANSLATE(C828,""fr"",""en"")"),"Dental prosthesis invoice dated December 20, 2019 sent with care for Néoliane, on February 10, 2020 still nothing. My 43 telephone calls at the management center have never succeeded because too many online calls (no surprising. What to do, by Cntre no de"&amp;"lay time for the levy, I had never had this with my previous mutual in 30 years.")</f>
        <v>Dental prosthesis invoice dated December 20, 2019 sent with care for Néoliane, on February 10, 2020 still nothing. My 43 telephone calls at the management center have never succeeded because too many online calls (no surprising. What to do, by Cntre no delay time for the levy, I had never had this with my previous mutual in 30 years.</v>
      </c>
    </row>
    <row r="829" ht="15.75" customHeight="1">
      <c r="B829" s="2" t="s">
        <v>2246</v>
      </c>
      <c r="C829" s="2" t="s">
        <v>2247</v>
      </c>
      <c r="D829" s="2" t="s">
        <v>1827</v>
      </c>
      <c r="E829" s="2" t="s">
        <v>360</v>
      </c>
      <c r="F829" s="2" t="s">
        <v>15</v>
      </c>
      <c r="G829" s="2" t="s">
        <v>2248</v>
      </c>
      <c r="H829" s="2" t="s">
        <v>704</v>
      </c>
      <c r="I829" s="2" t="str">
        <f>IFERROR(__xludf.DUMMYFUNCTION("GOOGLETRANSLATE(C829,""fr"",""en"")"),"I have taken out a date of birth date of birth problem I cannot service the card")</f>
        <v>I have taken out a date of birth date of birth problem I cannot service the card</v>
      </c>
    </row>
    <row r="830" ht="15.75" customHeight="1">
      <c r="B830" s="2" t="s">
        <v>2249</v>
      </c>
      <c r="C830" s="2" t="s">
        <v>2250</v>
      </c>
      <c r="D830" s="2" t="s">
        <v>1827</v>
      </c>
      <c r="E830" s="2" t="s">
        <v>360</v>
      </c>
      <c r="F830" s="2" t="s">
        <v>15</v>
      </c>
      <c r="G830" s="2" t="s">
        <v>2251</v>
      </c>
      <c r="H830" s="2" t="s">
        <v>161</v>
      </c>
      <c r="I830" s="2" t="str">
        <f>IFERROR(__xludf.DUMMYFUNCTION("GOOGLETRANSLATE(C830,""fr"",""en"")"),"Abused my mom's old age and made her change his mutual in 2 minutes! Neoliasanté surrounded mom on the phone.")</f>
        <v>Abused my mom's old age and made her change his mutual in 2 minutes! Neoliasanté surrounded mom on the phone.</v>
      </c>
    </row>
    <row r="831" ht="15.75" customHeight="1">
      <c r="B831" s="2" t="s">
        <v>2252</v>
      </c>
      <c r="C831" s="2" t="s">
        <v>2253</v>
      </c>
      <c r="D831" s="2" t="s">
        <v>1827</v>
      </c>
      <c r="E831" s="2" t="s">
        <v>360</v>
      </c>
      <c r="F831" s="2" t="s">
        <v>15</v>
      </c>
      <c r="G831" s="2" t="s">
        <v>2254</v>
      </c>
      <c r="H831" s="2" t="s">
        <v>161</v>
      </c>
      <c r="I831" s="2" t="str">
        <f>IFERROR(__xludf.DUMMYFUNCTION("GOOGLETRANSLATE(C831,""fr"",""en"")"),"Very unhappy with their services my baby has been born since October we are January and still no affiliation to the CPAM in fact and yet I have already sent them 2 email with security certificate, for my change of address and name because I got Married th"&amp;"e same it was necessary to complain for the changes to be made. But in the meantime I have no de facto refund on my baby's visits that I regularly have health concerns. Shameful to pay as dear a mutual that they do not forget to increase in January and no"&amp;"t be reimbursed as it should be.
My husband has just had a letter from his job that he must take the mutual of his work I hope that she will be more competent.")</f>
        <v>Very unhappy with their services my baby has been born since October we are January and still no affiliation to the CPAM in fact and yet I have already sent them 2 email with security certificate, for my change of address and name because I got Married the same it was necessary to complain for the changes to be made. But in the meantime I have no de facto refund on my baby's visits that I regularly have health concerns. Shameful to pay as dear a mutual that they do not forget to increase in January and not be reimbursed as it should be.
My husband has just had a letter from his job that he must take the mutual of his work I hope that she will be more competent.</v>
      </c>
    </row>
    <row r="832" ht="15.75" customHeight="1">
      <c r="B832" s="2" t="s">
        <v>2255</v>
      </c>
      <c r="C832" s="2" t="s">
        <v>2256</v>
      </c>
      <c r="D832" s="2" t="s">
        <v>1827</v>
      </c>
      <c r="E832" s="2" t="s">
        <v>360</v>
      </c>
      <c r="F832" s="2" t="s">
        <v>15</v>
      </c>
      <c r="G832" s="2" t="s">
        <v>2257</v>
      </c>
      <c r="H832" s="2" t="s">
        <v>249</v>
      </c>
      <c r="I832" s="2" t="str">
        <f>IFERROR(__xludf.DUMMYFUNCTION("GOOGLETRANSLATE(C832,""fr"",""en"")"),"Abusive canvassing with the elderly and vulnerable. The brokers/intermediaries have the RIB of their victims (by what means ??). Néoliane clears himself by saying that she is not responsible for these brokers. Amazing, right?
Amoral commercial practices.")</f>
        <v>Abusive canvassing with the elderly and vulnerable. The brokers/intermediaries have the RIB of their victims (by what means ??). Néoliane clears himself by saying that she is not responsible for these brokers. Amazing, right?
Amoral commercial practices.</v>
      </c>
    </row>
    <row r="833" ht="15.75" customHeight="1">
      <c r="B833" s="2" t="s">
        <v>2258</v>
      </c>
      <c r="C833" s="2" t="s">
        <v>2259</v>
      </c>
      <c r="D833" s="2" t="s">
        <v>1827</v>
      </c>
      <c r="E833" s="2" t="s">
        <v>360</v>
      </c>
      <c r="F833" s="2" t="s">
        <v>15</v>
      </c>
      <c r="G833" s="2" t="s">
        <v>738</v>
      </c>
      <c r="H833" s="2" t="s">
        <v>249</v>
      </c>
      <c r="I833" s="2" t="str">
        <f>IFERROR(__xludf.DUMMYFUNCTION("GOOGLETRANSLATE(C833,""fr"",""en"")"),"Catastrophic telephone customer service (advisers with standard sentences), multiple waiting, incomprehensible customer area on which our messages sent are not treated and on which we have no means of action. I was subscribed to my pension. I do not recom"&amp;"mend ...")</f>
        <v>Catastrophic telephone customer service (advisers with standard sentences), multiple waiting, incomprehensible customer area on which our messages sent are not treated and on which we have no means of action. I was subscribed to my pension. I do not recommend ...</v>
      </c>
    </row>
    <row r="834" ht="15.75" customHeight="1">
      <c r="B834" s="2" t="s">
        <v>2260</v>
      </c>
      <c r="C834" s="2" t="s">
        <v>2261</v>
      </c>
      <c r="D834" s="2" t="s">
        <v>1827</v>
      </c>
      <c r="E834" s="2" t="s">
        <v>360</v>
      </c>
      <c r="F834" s="2" t="s">
        <v>15</v>
      </c>
      <c r="G834" s="2" t="s">
        <v>2262</v>
      </c>
      <c r="H834" s="2" t="s">
        <v>249</v>
      </c>
      <c r="I834" s="2" t="str">
        <f>IFERROR(__xludf.DUMMYFUNCTION("GOOGLETRANSLATE(C834,""fr"",""en"")"),"I was welcomed on the phone by Gwendal, who knew how to reassure me with humor,
Great professional. Development ... Advice .... resolution of my problem with formidable efficiency.
Frankly I want all your teams to be like him.
")</f>
        <v>I was welcomed on the phone by Gwendal, who knew how to reassure me with humor,
Great professional. Development ... Advice .... resolution of my problem with formidable efficiency.
Frankly I want all your teams to be like him.
</v>
      </c>
    </row>
    <row r="835" ht="15.75" customHeight="1">
      <c r="B835" s="2" t="s">
        <v>2263</v>
      </c>
      <c r="C835" s="2" t="s">
        <v>2264</v>
      </c>
      <c r="D835" s="2" t="s">
        <v>1827</v>
      </c>
      <c r="E835" s="2" t="s">
        <v>360</v>
      </c>
      <c r="F835" s="2" t="s">
        <v>15</v>
      </c>
      <c r="G835" s="2" t="s">
        <v>2265</v>
      </c>
      <c r="H835" s="2" t="s">
        <v>249</v>
      </c>
      <c r="I835" s="2" t="str">
        <f>IFERROR(__xludf.DUMMYFUNCTION("GOOGLETRANSLATE(C835,""fr"",""en"")"),"The follow -up of reimbursement files is to be reviewed.")</f>
        <v>The follow -up of reimbursement files is to be reviewed.</v>
      </c>
    </row>
    <row r="836" ht="15.75" customHeight="1">
      <c r="B836" s="2" t="s">
        <v>2266</v>
      </c>
      <c r="C836" s="2" t="s">
        <v>2267</v>
      </c>
      <c r="D836" s="2" t="s">
        <v>1827</v>
      </c>
      <c r="E836" s="2" t="s">
        <v>360</v>
      </c>
      <c r="F836" s="2" t="s">
        <v>15</v>
      </c>
      <c r="G836" s="2" t="s">
        <v>2268</v>
      </c>
      <c r="H836" s="2" t="s">
        <v>747</v>
      </c>
      <c r="I836" s="2" t="str">
        <f>IFERROR(__xludf.DUMMYFUNCTION("GOOGLETRANSLATE(C836,""fr"",""en"")"),"I was welcomed on the phone by Gwendal, who knew how to reassure me and advise me with a smile.
")</f>
        <v>I was welcomed on the phone by Gwendal, who knew how to reassure me and advise me with a smile.
</v>
      </c>
    </row>
    <row r="837" ht="15.75" customHeight="1">
      <c r="B837" s="2" t="s">
        <v>2269</v>
      </c>
      <c r="C837" s="2" t="s">
        <v>2270</v>
      </c>
      <c r="D837" s="2" t="s">
        <v>1827</v>
      </c>
      <c r="E837" s="2" t="s">
        <v>360</v>
      </c>
      <c r="F837" s="2" t="s">
        <v>15</v>
      </c>
      <c r="G837" s="2" t="s">
        <v>775</v>
      </c>
      <c r="H837" s="2" t="s">
        <v>165</v>
      </c>
      <c r="I837" s="2" t="str">
        <f>IFERROR(__xludf.DUMMYFUNCTION("GOOGLETRANSLATE(C837,""fr"",""en"")"),"I was a customer of Neoliane Legal Protection who covers many situations and customer service is responsive whether online or on the phone, I thank Mr. Khalid who was able to respond to my request. Thank you")</f>
        <v>I was a customer of Neoliane Legal Protection who covers many situations and customer service is responsive whether online or on the phone, I thank Mr. Khalid who was able to respond to my request. Thank you</v>
      </c>
    </row>
    <row r="838" ht="15.75" customHeight="1">
      <c r="B838" s="2" t="s">
        <v>2271</v>
      </c>
      <c r="C838" s="2" t="s">
        <v>2272</v>
      </c>
      <c r="D838" s="2" t="s">
        <v>1827</v>
      </c>
      <c r="E838" s="2" t="s">
        <v>360</v>
      </c>
      <c r="F838" s="2" t="s">
        <v>15</v>
      </c>
      <c r="G838" s="2" t="s">
        <v>796</v>
      </c>
      <c r="H838" s="2" t="s">
        <v>165</v>
      </c>
      <c r="I838" s="2" t="str">
        <f>IFERROR(__xludf.DUMMYFUNCTION("GOOGLETRANSLATE(C838,""fr"",""en"")"),"Hello, I am very satisfied with my interview with your advisor ""Ms. Sabrina"" who was able to listen and pleasant to manage my mother's steps with clear and simple explanations")</f>
        <v>Hello, I am very satisfied with my interview with your advisor "Ms. Sabrina" who was able to listen and pleasant to manage my mother's steps with clear and simple explanations</v>
      </c>
    </row>
    <row r="839" ht="15.75" customHeight="1">
      <c r="B839" s="2" t="s">
        <v>2273</v>
      </c>
      <c r="C839" s="2" t="s">
        <v>2274</v>
      </c>
      <c r="D839" s="2" t="s">
        <v>1827</v>
      </c>
      <c r="E839" s="2" t="s">
        <v>360</v>
      </c>
      <c r="F839" s="2" t="s">
        <v>15</v>
      </c>
      <c r="G839" s="2" t="s">
        <v>810</v>
      </c>
      <c r="H839" s="2" t="s">
        <v>165</v>
      </c>
      <c r="I839" s="2" t="str">
        <f>IFERROR(__xludf.DUMMYFUNCTION("GOOGLETRANSLATE(C839,""fr"",""en"")"),"I had an agent who is very nice gwendal who has given me very well and even made my identifiers so I give him a very good note")</f>
        <v>I had an agent who is very nice gwendal who has given me very well and even made my identifiers so I give him a very good note</v>
      </c>
    </row>
    <row r="840" ht="15.75" customHeight="1">
      <c r="B840" s="2" t="s">
        <v>2275</v>
      </c>
      <c r="C840" s="2" t="s">
        <v>2276</v>
      </c>
      <c r="D840" s="2" t="s">
        <v>1827</v>
      </c>
      <c r="E840" s="2" t="s">
        <v>360</v>
      </c>
      <c r="F840" s="2" t="s">
        <v>15</v>
      </c>
      <c r="G840" s="2" t="s">
        <v>810</v>
      </c>
      <c r="H840" s="2" t="s">
        <v>165</v>
      </c>
      <c r="I840" s="2" t="str">
        <f>IFERROR(__xludf.DUMMYFUNCTION("GOOGLETRANSLATE(C840,""fr"",""en"")"),"Extremely expensive mutual but reimbursements are fast.")</f>
        <v>Extremely expensive mutual but reimbursements are fast.</v>
      </c>
    </row>
    <row r="841" ht="15.75" customHeight="1">
      <c r="B841" s="2" t="s">
        <v>2277</v>
      </c>
      <c r="C841" s="2" t="s">
        <v>2278</v>
      </c>
      <c r="D841" s="2" t="s">
        <v>1827</v>
      </c>
      <c r="E841" s="2" t="s">
        <v>360</v>
      </c>
      <c r="F841" s="2" t="s">
        <v>15</v>
      </c>
      <c r="G841" s="2" t="s">
        <v>2279</v>
      </c>
      <c r="H841" s="2" t="s">
        <v>165</v>
      </c>
      <c r="I841" s="2" t="str">
        <f>IFERROR(__xludf.DUMMYFUNCTION("GOOGLETRANSLATE(C841,""fr"",""en"")"),"I am delighted with the speed of Gwendal which was very responsive to my request and knew how to answer other kind questions")</f>
        <v>I am delighted with the speed of Gwendal which was very responsive to my request and knew how to answer other kind questions</v>
      </c>
    </row>
    <row r="842" ht="15.75" customHeight="1">
      <c r="B842" s="2" t="s">
        <v>2280</v>
      </c>
      <c r="C842" s="2" t="s">
        <v>2281</v>
      </c>
      <c r="D842" s="2" t="s">
        <v>1827</v>
      </c>
      <c r="E842" s="2" t="s">
        <v>360</v>
      </c>
      <c r="F842" s="2" t="s">
        <v>15</v>
      </c>
      <c r="G842" s="2" t="s">
        <v>2282</v>
      </c>
      <c r="H842" s="2" t="s">
        <v>835</v>
      </c>
      <c r="I842" s="2" t="str">
        <f>IFERROR(__xludf.DUMMYFUNCTION("GOOGLETRANSLATE(C842,""fr"",""en"")"),"Thanks to Guendal sincere thanks for your genéosity for competing comparison and your attention to me. It is very rare these days to have such a kind interlocutor with a lot of humor and impeccable skills thank you thank you")</f>
        <v>Thanks to Guendal sincere thanks for your genéosity for competing comparison and your attention to me. It is very rare these days to have such a kind interlocutor with a lot of humor and impeccable skills thank you thank you</v>
      </c>
    </row>
    <row r="843" ht="15.75" customHeight="1">
      <c r="B843" s="2" t="s">
        <v>2283</v>
      </c>
      <c r="C843" s="2" t="s">
        <v>2284</v>
      </c>
      <c r="D843" s="2" t="s">
        <v>1827</v>
      </c>
      <c r="E843" s="2" t="s">
        <v>360</v>
      </c>
      <c r="F843" s="2" t="s">
        <v>15</v>
      </c>
      <c r="G843" s="2" t="s">
        <v>2285</v>
      </c>
      <c r="H843" s="2" t="s">
        <v>835</v>
      </c>
      <c r="I843" s="2" t="str">
        <f>IFERROR(__xludf.DUMMYFUNCTION("GOOGLETRANSLATE(C843,""fr"",""en"")"),"Perfect telephone reception.
Very professional interlocutor Lamia.
I have nothing else to add.
.................................................. .................................................. ............
Perfect")</f>
        <v>Perfect telephone reception.
Very professional interlocutor Lamia.
I have nothing else to add.
.................................................. .................................................. ............
Perfect</v>
      </c>
    </row>
    <row r="844" ht="15.75" customHeight="1">
      <c r="B844" s="2" t="s">
        <v>2286</v>
      </c>
      <c r="C844" s="2" t="s">
        <v>2287</v>
      </c>
      <c r="D844" s="2" t="s">
        <v>1827</v>
      </c>
      <c r="E844" s="2" t="s">
        <v>360</v>
      </c>
      <c r="F844" s="2" t="s">
        <v>15</v>
      </c>
      <c r="G844" s="2" t="s">
        <v>2288</v>
      </c>
      <c r="H844" s="2" t="s">
        <v>17</v>
      </c>
      <c r="I844" s="2" t="str">
        <f>IFERROR(__xludf.DUMMYFUNCTION("GOOGLETRANSLATE(C844,""fr"",""en"")"),"A shame to think that it takes more than a month to repay normal medical visits")</f>
        <v>A shame to think that it takes more than a month to repay normal medical visits</v>
      </c>
    </row>
    <row r="845" ht="15.75" customHeight="1">
      <c r="B845" s="2" t="s">
        <v>2289</v>
      </c>
      <c r="C845" s="2" t="s">
        <v>2290</v>
      </c>
      <c r="D845" s="2" t="s">
        <v>1827</v>
      </c>
      <c r="E845" s="2" t="s">
        <v>360</v>
      </c>
      <c r="F845" s="2" t="s">
        <v>15</v>
      </c>
      <c r="G845" s="2" t="s">
        <v>2291</v>
      </c>
      <c r="H845" s="2" t="s">
        <v>17</v>
      </c>
      <c r="I845" s="2" t="str">
        <f>IFERROR(__xludf.DUMMYFUNCTION("GOOGLETRANSLATE(C845,""fr"",""en"")"),"1 month to be reimbursed a letter and emails for 2 months without response")</f>
        <v>1 month to be reimbursed a letter and emails for 2 months without response</v>
      </c>
    </row>
    <row r="846" ht="15.75" customHeight="1">
      <c r="B846" s="2" t="s">
        <v>2292</v>
      </c>
      <c r="C846" s="2" t="s">
        <v>2293</v>
      </c>
      <c r="D846" s="2" t="s">
        <v>1827</v>
      </c>
      <c r="E846" s="2" t="s">
        <v>360</v>
      </c>
      <c r="F846" s="2" t="s">
        <v>15</v>
      </c>
      <c r="G846" s="2" t="s">
        <v>2294</v>
      </c>
      <c r="H846" s="2" t="s">
        <v>872</v>
      </c>
      <c r="I846" s="2" t="str">
        <f>IFERROR(__xludf.DUMMYFUNCTION("GOOGLETRANSLATE(C846,""fr"",""en"")"),"Very good health mutuals.
No problem.
On comments people talk about reimbursement.
They are automated no lead to do.")</f>
        <v>Very good health mutuals.
No problem.
On comments people talk about reimbursement.
They are automated no lead to do.</v>
      </c>
    </row>
    <row r="847" ht="15.75" customHeight="1">
      <c r="B847" s="2" t="s">
        <v>2295</v>
      </c>
      <c r="C847" s="2" t="s">
        <v>2296</v>
      </c>
      <c r="D847" s="2" t="s">
        <v>1827</v>
      </c>
      <c r="E847" s="2" t="s">
        <v>360</v>
      </c>
      <c r="F847" s="2" t="s">
        <v>15</v>
      </c>
      <c r="G847" s="2" t="s">
        <v>2297</v>
      </c>
      <c r="H847" s="2" t="s">
        <v>872</v>
      </c>
      <c r="I847" s="2" t="str">
        <f>IFERROR(__xludf.DUMMYFUNCTION("GOOGLETRANSLATE(C847,""fr"",""en"")"),"Neoliane is very poor. Everything is good to postpone the reimbursements. No reactions to complaint email (whether on the site or directly by email to the service concerned). All suggests that he only wants your money.")</f>
        <v>Neoliane is very poor. Everything is good to postpone the reimbursements. No reactions to complaint email (whether on the site or directly by email to the service concerned). All suggests that he only wants your money.</v>
      </c>
    </row>
    <row r="848" ht="15.75" customHeight="1">
      <c r="B848" s="2" t="s">
        <v>2298</v>
      </c>
      <c r="C848" s="2" t="s">
        <v>2299</v>
      </c>
      <c r="D848" s="2" t="s">
        <v>1827</v>
      </c>
      <c r="E848" s="2" t="s">
        <v>360</v>
      </c>
      <c r="F848" s="2" t="s">
        <v>15</v>
      </c>
      <c r="G848" s="2" t="s">
        <v>2300</v>
      </c>
      <c r="H848" s="2" t="s">
        <v>872</v>
      </c>
      <c r="I848" s="2" t="str">
        <f>IFERROR(__xludf.DUMMYFUNCTION("GOOGLETRANSLATE(C848,""fr"",""en"")"),"I was approached by a broker for Néoliane and after a stormy discussion, I hung up without subscribing anything and especially without returning by return of message the code signifying the signing of the contract. I contacted Néoliane to complain about t"&amp;"heir practices and having been insulted on the phone, they answered me by email confirming that I had signed nothing and that there was no contract . So why this levy of 11.30 today on July 10, 2019 ??? This practice is scandalous and illegal.")</f>
        <v>I was approached by a broker for Néoliane and after a stormy discussion, I hung up without subscribing anything and especially without returning by return of message the code signifying the signing of the contract. I contacted Néoliane to complain about their practices and having been insulted on the phone, they answered me by email confirming that I had signed nothing and that there was no contract . So why this levy of 11.30 today on July 10, 2019 ??? This practice is scandalous and illegal.</v>
      </c>
    </row>
    <row r="849" ht="15.75" customHeight="1">
      <c r="B849" s="2" t="s">
        <v>2131</v>
      </c>
      <c r="C849" s="2" t="s">
        <v>2301</v>
      </c>
      <c r="D849" s="2" t="s">
        <v>1827</v>
      </c>
      <c r="E849" s="2" t="s">
        <v>360</v>
      </c>
      <c r="F849" s="2" t="s">
        <v>15</v>
      </c>
      <c r="G849" s="2" t="s">
        <v>901</v>
      </c>
      <c r="H849" s="2" t="s">
        <v>872</v>
      </c>
      <c r="I849" s="2" t="str">
        <f>IFERROR(__xludf.DUMMYFUNCTION("GOOGLETRANSLATE(C849,""fr"",""en"")"),"A disaster. A member since November 2018 since November 2018, teletransmission is still not implemented so still no reimbursements. They ask you for documents already transmitted. No file follow -up. And if you ever dare to raise your tone on the phone wi"&amp;"th the operators who are frankly not pleasant they put you on hold with the music and do not take you back. Scandalous to become crazy I expect only one thing to terminate. The prices are attractive but the services are really poor. To want to save money,"&amp;" we lose a lot of money.")</f>
        <v>A disaster. A member since November 2018 since November 2018, teletransmission is still not implemented so still no reimbursements. They ask you for documents already transmitted. No file follow -up. And if you ever dare to raise your tone on the phone with the operators who are frankly not pleasant they put you on hold with the music and do not take you back. Scandalous to become crazy I expect only one thing to terminate. The prices are attractive but the services are really poor. To want to save money, we lose a lot of money.</v>
      </c>
    </row>
    <row r="850" ht="15.75" customHeight="1">
      <c r="B850" s="2" t="s">
        <v>2302</v>
      </c>
      <c r="C850" s="2" t="s">
        <v>2303</v>
      </c>
      <c r="D850" s="2" t="s">
        <v>1827</v>
      </c>
      <c r="E850" s="2" t="s">
        <v>360</v>
      </c>
      <c r="F850" s="2" t="s">
        <v>15</v>
      </c>
      <c r="G850" s="2" t="s">
        <v>901</v>
      </c>
      <c r="H850" s="2" t="s">
        <v>872</v>
      </c>
      <c r="I850" s="2" t="str">
        <f>IFERROR(__xludf.DUMMYFUNCTION("GOOGLETRANSLATE(C850,""fr"",""en"")"),"Thank you to Erika there is not a lot of interlocutor as pro as it!")</f>
        <v>Thank you to Erika there is not a lot of interlocutor as pro as it!</v>
      </c>
    </row>
    <row r="851" ht="15.75" customHeight="1">
      <c r="B851" s="2" t="s">
        <v>2304</v>
      </c>
      <c r="C851" s="2" t="s">
        <v>2305</v>
      </c>
      <c r="D851" s="2" t="s">
        <v>1827</v>
      </c>
      <c r="E851" s="2" t="s">
        <v>360</v>
      </c>
      <c r="F851" s="2" t="s">
        <v>15</v>
      </c>
      <c r="G851" s="2" t="s">
        <v>912</v>
      </c>
      <c r="H851" s="2" t="s">
        <v>21</v>
      </c>
      <c r="I851" s="2" t="str">
        <f>IFERROR(__xludf.DUMMYFUNCTION("GOOGLETRANSLATE(C851,""fr"",""en"")"),"I bitterly regret having signed this damn contract a request for support 10 days before an intervention on my part and from the hospital and no care send to D -Day !! Inadmissible I have also been waiting for more than 1 month a dental reimbursement despi"&amp;"te several emails sent with the necessary papers !! Flee this mutual !!!")</f>
        <v>I bitterly regret having signed this damn contract a request for support 10 days before an intervention on my part and from the hospital and no care send to D -Day !! Inadmissible I have also been waiting for more than 1 month a dental reimbursement despite several emails sent with the necessary papers !! Flee this mutual !!!</v>
      </c>
    </row>
    <row r="852" ht="15.75" customHeight="1">
      <c r="B852" s="2" t="s">
        <v>2306</v>
      </c>
      <c r="C852" s="2" t="s">
        <v>2307</v>
      </c>
      <c r="D852" s="2" t="s">
        <v>1827</v>
      </c>
      <c r="E852" s="2" t="s">
        <v>360</v>
      </c>
      <c r="F852" s="2" t="s">
        <v>15</v>
      </c>
      <c r="G852" s="2" t="s">
        <v>915</v>
      </c>
      <c r="H852" s="2" t="s">
        <v>21</v>
      </c>
      <c r="I852" s="2" t="str">
        <f>IFERROR(__xludf.DUMMYFUNCTION("GOOGLETRANSLATE(C852,""fr"",""en"")"),"hello I just arrived as a new customer I couldn't make an opinion but the little satisfies me")</f>
        <v>hello I just arrived as a new customer I couldn't make an opinion but the little satisfies me</v>
      </c>
    </row>
    <row r="853" ht="15.75" customHeight="1">
      <c r="B853" s="2" t="s">
        <v>2308</v>
      </c>
      <c r="C853" s="2" t="s">
        <v>2309</v>
      </c>
      <c r="D853" s="2" t="s">
        <v>1827</v>
      </c>
      <c r="E853" s="2" t="s">
        <v>360</v>
      </c>
      <c r="F853" s="2" t="s">
        <v>15</v>
      </c>
      <c r="G853" s="2" t="s">
        <v>2310</v>
      </c>
      <c r="H853" s="2" t="s">
        <v>21</v>
      </c>
      <c r="I853" s="2" t="str">
        <f>IFERROR(__xludf.DUMMYFUNCTION("GOOGLETRANSLATE(C853,""fr"",""en"")"),"A big thank you to Erika who helped me to terminate a contract that I did not want and carried out elsewhere, by a broker in my name.")</f>
        <v>A big thank you to Erika who helped me to terminate a contract that I did not want and carried out elsewhere, by a broker in my name.</v>
      </c>
    </row>
    <row r="854" ht="15.75" customHeight="1">
      <c r="B854" s="2" t="s">
        <v>2311</v>
      </c>
      <c r="C854" s="2" t="s">
        <v>2312</v>
      </c>
      <c r="D854" s="2" t="s">
        <v>1827</v>
      </c>
      <c r="E854" s="2" t="s">
        <v>360</v>
      </c>
      <c r="F854" s="2" t="s">
        <v>15</v>
      </c>
      <c r="G854" s="2" t="s">
        <v>2313</v>
      </c>
      <c r="H854" s="2" t="s">
        <v>21</v>
      </c>
      <c r="I854" s="2" t="str">
        <f>IFERROR(__xludf.DUMMYFUNCTION("GOOGLETRANSLATE(C854,""fr"",""en"")"),"Hello I would like to terminate my contracts because the advisor I had online not to leave the choice to take out these contracts even after having informed him that I already had these contracts because I work myself in insurance. In addition, he says th"&amp;"at we can terminate within 15 days after his appeal when the contracts arrived at least 3 weeks later.
I pay 34.71 euros every month when I don't need it
Forced canvassing .nul. thank you for your comeback")</f>
        <v>Hello I would like to terminate my contracts because the advisor I had online not to leave the choice to take out these contracts even after having informed him that I already had these contracts because I work myself in insurance. In addition, he says that we can terminate within 15 days after his appeal when the contracts arrived at least 3 weeks later.
I pay 34.71 euros every month when I don't need it
Forced canvassing .nul. thank you for your comeback</v>
      </c>
    </row>
    <row r="855" ht="15.75" customHeight="1">
      <c r="B855" s="2" t="s">
        <v>2314</v>
      </c>
      <c r="C855" s="2" t="s">
        <v>2315</v>
      </c>
      <c r="D855" s="2" t="s">
        <v>1827</v>
      </c>
      <c r="E855" s="2" t="s">
        <v>360</v>
      </c>
      <c r="F855" s="2" t="s">
        <v>15</v>
      </c>
      <c r="G855" s="2" t="s">
        <v>921</v>
      </c>
      <c r="H855" s="2" t="s">
        <v>21</v>
      </c>
      <c r="I855" s="2" t="str">
        <f>IFERROR(__xludf.DUMMYFUNCTION("GOOGLETRANSLATE(C855,""fr"",""en"")"),"I tried 4reprises to call them, each time for different days and schedules without any response. I also tried to contact them via the member space: still nothing. So I read the opinions to know if I was the only one in this case, and I am far away. 0POINT"&amp;"ED FOR CUSTOMER SERVICE.")</f>
        <v>I tried 4reprises to call them, each time for different days and schedules without any response. I also tried to contact them via the member space: still nothing. So I read the opinions to know if I was the only one in this case, and I am far away. 0POINTED FOR CUSTOMER SERVICE.</v>
      </c>
    </row>
    <row r="856" ht="15.75" customHeight="1">
      <c r="B856" s="2" t="s">
        <v>2316</v>
      </c>
      <c r="C856" s="2" t="s">
        <v>2317</v>
      </c>
      <c r="D856" s="2" t="s">
        <v>1827</v>
      </c>
      <c r="E856" s="2" t="s">
        <v>360</v>
      </c>
      <c r="F856" s="2" t="s">
        <v>15</v>
      </c>
      <c r="G856" s="2" t="s">
        <v>927</v>
      </c>
      <c r="H856" s="2" t="s">
        <v>21</v>
      </c>
      <c r="I856" s="2" t="str">
        <f>IFERROR(__xludf.DUMMYFUNCTION("GOOGLETRANSLATE(C856,""fr"",""en"")"),"subscription made by one of their providers by canvassing with a person in a weak situation")</f>
        <v>subscription made by one of their providers by canvassing with a person in a weak situation</v>
      </c>
    </row>
    <row r="857" ht="15.75" customHeight="1">
      <c r="B857" s="2" t="s">
        <v>2318</v>
      </c>
      <c r="C857" s="2" t="s">
        <v>2319</v>
      </c>
      <c r="D857" s="2" t="s">
        <v>1827</v>
      </c>
      <c r="E857" s="2" t="s">
        <v>360</v>
      </c>
      <c r="F857" s="2" t="s">
        <v>15</v>
      </c>
      <c r="G857" s="2" t="s">
        <v>2320</v>
      </c>
      <c r="H857" s="2" t="s">
        <v>25</v>
      </c>
      <c r="I857" s="2" t="str">
        <f>IFERROR(__xludf.DUMMYFUNCTION("GOOGLETRANSLATE(C857,""fr"",""en"")"),"Very pleasant interlocutor.
Good advice for reimbursements")</f>
        <v>Very pleasant interlocutor.
Good advice for reimbursements</v>
      </c>
    </row>
    <row r="858" ht="15.75" customHeight="1">
      <c r="B858" s="2" t="s">
        <v>2321</v>
      </c>
      <c r="C858" s="2" t="s">
        <v>2322</v>
      </c>
      <c r="D858" s="2" t="s">
        <v>1827</v>
      </c>
      <c r="E858" s="2" t="s">
        <v>360</v>
      </c>
      <c r="F858" s="2" t="s">
        <v>15</v>
      </c>
      <c r="G858" s="2" t="s">
        <v>2320</v>
      </c>
      <c r="H858" s="2" t="s">
        <v>25</v>
      </c>
      <c r="I858" s="2" t="str">
        <f>IFERROR(__xludf.DUMMYFUNCTION("GOOGLETRANSLATE(C858,""fr"",""en"")"),"Forced sale to have the most quickly the subscription with a partnership lie to reduce costs, I consoled myself by telling myself that after receipt of my file, I will always have 14 days to retract.
Except that I have never received this famous file! An"&amp;"d I received instead a formal notice for unpaid contributions!
Fortunately, moreover, that the sample was blocked,
")</f>
        <v>Forced sale to have the most quickly the subscription with a partnership lie to reduce costs, I consoled myself by telling myself that after receipt of my file, I will always have 14 days to retract.
Except that I have never received this famous file! And I received instead a formal notice for unpaid contributions!
Fortunately, moreover, that the sample was blocked,
</v>
      </c>
    </row>
    <row r="859" ht="15.75" customHeight="1">
      <c r="B859" s="2" t="s">
        <v>2323</v>
      </c>
      <c r="C859" s="2" t="s">
        <v>2324</v>
      </c>
      <c r="D859" s="2" t="s">
        <v>1827</v>
      </c>
      <c r="E859" s="2" t="s">
        <v>360</v>
      </c>
      <c r="F859" s="2" t="s">
        <v>15</v>
      </c>
      <c r="G859" s="2" t="s">
        <v>1549</v>
      </c>
      <c r="H859" s="2" t="s">
        <v>25</v>
      </c>
      <c r="I859" s="2" t="str">
        <f>IFERROR(__xludf.DUMMYFUNCTION("GOOGLETRANSLATE(C859,""fr"",""en"")"),"I had an exchange with Sabrina who took the time to check the follow -up of my request and answered me exactly")</f>
        <v>I had an exchange with Sabrina who took the time to check the follow -up of my request and answered me exactly</v>
      </c>
    </row>
    <row r="860" ht="15.75" customHeight="1">
      <c r="B860" s="2" t="s">
        <v>2325</v>
      </c>
      <c r="C860" s="2" t="s">
        <v>2326</v>
      </c>
      <c r="D860" s="2" t="s">
        <v>1827</v>
      </c>
      <c r="E860" s="2" t="s">
        <v>360</v>
      </c>
      <c r="F860" s="2" t="s">
        <v>15</v>
      </c>
      <c r="G860" s="2" t="s">
        <v>944</v>
      </c>
      <c r="H860" s="2" t="s">
        <v>25</v>
      </c>
      <c r="I860" s="2" t="str">
        <f>IFERROR(__xludf.DUMMYFUNCTION("GOOGLETRANSLATE(C860,""fr"",""en"")"),"For an unique contract termination")</f>
        <v>For an unique contract termination</v>
      </c>
    </row>
    <row r="861" ht="15.75" customHeight="1">
      <c r="B861" s="2" t="s">
        <v>2327</v>
      </c>
      <c r="C861" s="2" t="s">
        <v>2328</v>
      </c>
      <c r="D861" s="2" t="s">
        <v>1827</v>
      </c>
      <c r="E861" s="2" t="s">
        <v>360</v>
      </c>
      <c r="F861" s="2" t="s">
        <v>15</v>
      </c>
      <c r="G861" s="2" t="s">
        <v>2329</v>
      </c>
      <c r="H861" s="2" t="s">
        <v>25</v>
      </c>
      <c r="I861" s="2" t="str">
        <f>IFERROR(__xludf.DUMMYFUNCTION("GOOGLETRANSLATE(C861,""fr"",""en"")"),"Having just been canvassing and after verification on my side I realize that I already have this type of contract I recall the number which is registered on the quote. We remember by the quality control which tries to convince me to keep the contract ! I "&amp;"confirm that I do not want to be asked then to explain what I already have in my other contract I refuse and ask for the cancellation and then .... I am hung on the nose! Bravo much less commercial than the charming approach! Or how I feel like I am doubl"&amp;"ing to have! So blocking the levy from the bank and I will file a complaint with the gendarmerie!")</f>
        <v>Having just been canvassing and after verification on my side I realize that I already have this type of contract I recall the number which is registered on the quote. We remember by the quality control which tries to convince me to keep the contract ! I confirm that I do not want to be asked then to explain what I already have in my other contract I refuse and ask for the cancellation and then .... I am hung on the nose! Bravo much less commercial than the charming approach! Or how I feel like I am doubling to have! So blocking the levy from the bank and I will file a complaint with the gendarmerie!</v>
      </c>
    </row>
    <row r="862" ht="15.75" customHeight="1">
      <c r="B862" s="2" t="s">
        <v>2330</v>
      </c>
      <c r="C862" s="2" t="s">
        <v>2331</v>
      </c>
      <c r="D862" s="2" t="s">
        <v>1827</v>
      </c>
      <c r="E862" s="2" t="s">
        <v>360</v>
      </c>
      <c r="F862" s="2" t="s">
        <v>15</v>
      </c>
      <c r="G862" s="2" t="s">
        <v>2332</v>
      </c>
      <c r="H862" s="2" t="s">
        <v>29</v>
      </c>
      <c r="I862" s="2" t="str">
        <f>IFERROR(__xludf.DUMMYFUNCTION("GOOGLETRANSLATE(C862,""fr"",""en"")"),"Above all, do not need them!")</f>
        <v>Above all, do not need them!</v>
      </c>
    </row>
    <row r="863" ht="15.75" customHeight="1">
      <c r="B863" s="2" t="s">
        <v>2333</v>
      </c>
      <c r="C863" s="2" t="s">
        <v>2334</v>
      </c>
      <c r="D863" s="2" t="s">
        <v>1827</v>
      </c>
      <c r="E863" s="2" t="s">
        <v>360</v>
      </c>
      <c r="F863" s="2" t="s">
        <v>15</v>
      </c>
      <c r="G863" s="2" t="s">
        <v>986</v>
      </c>
      <c r="H863" s="2" t="s">
        <v>29</v>
      </c>
      <c r="I863" s="2" t="str">
        <f>IFERROR(__xludf.DUMMYFUNCTION("GOOGLETRANSLATE(C863,""fr"",""en"")"),"Hello, I had telephone communication with a customer service man. I do not know his name . I was very well received and well informed. He told me step by step what I had to do to retract. I have a good impression. Now the rest does not depend on him, so I"&amp;" will see when this case is finished.")</f>
        <v>Hello, I had telephone communication with a customer service man. I do not know his name . I was very well received and well informed. He told me step by step what I had to do to retract. I have a good impression. Now the rest does not depend on him, so I will see when this case is finished.</v>
      </c>
    </row>
    <row r="864" ht="15.75" customHeight="1">
      <c r="B864" s="2" t="s">
        <v>2335</v>
      </c>
      <c r="C864" s="2" t="s">
        <v>2336</v>
      </c>
      <c r="D864" s="2" t="s">
        <v>1827</v>
      </c>
      <c r="E864" s="2" t="s">
        <v>360</v>
      </c>
      <c r="F864" s="2" t="s">
        <v>15</v>
      </c>
      <c r="G864" s="2" t="s">
        <v>997</v>
      </c>
      <c r="H864" s="2" t="s">
        <v>29</v>
      </c>
      <c r="I864" s="2" t="str">
        <f>IFERROR(__xludf.DUMMYFUNCTION("GOOGLETRANSLATE(C864,""fr"",""en"")"),"On the phone with Mme Fatima Zahra. Very pleasant person smiling attentive. And competent if my request by email concerning a retraction of the membership contract is well treated and made without having to recall. So I'm waiting for the confirmation retu"&amp;"rn. Thanks to Fatima.")</f>
        <v>On the phone with Mme Fatima Zahra. Very pleasant person smiling attentive. And competent if my request by email concerning a retraction of the membership contract is well treated and made without having to recall. So I'm waiting for the confirmation return. Thanks to Fatima.</v>
      </c>
    </row>
    <row r="865" ht="15.75" customHeight="1">
      <c r="B865" s="2" t="s">
        <v>2337</v>
      </c>
      <c r="C865" s="2" t="s">
        <v>2338</v>
      </c>
      <c r="D865" s="2" t="s">
        <v>1827</v>
      </c>
      <c r="E865" s="2" t="s">
        <v>360</v>
      </c>
      <c r="F865" s="2" t="s">
        <v>15</v>
      </c>
      <c r="G865" s="2" t="s">
        <v>997</v>
      </c>
      <c r="H865" s="2" t="s">
        <v>29</v>
      </c>
      <c r="I865" s="2" t="str">
        <f>IFERROR(__xludf.DUMMYFUNCTION("GOOGLETRANSLATE(C865,""fr"",""en"")"),"Thank you Mélanie
Super contact This mutual corresponds to my expectation
Thank you for the clear and friendly explanations
I am delighted with this service
Mutual corresponds to my needs
thank you
")</f>
        <v>Thank you Mélanie
Super contact This mutual corresponds to my expectation
Thank you for the clear and friendly explanations
I am delighted with this service
Mutual corresponds to my needs
thank you
</v>
      </c>
    </row>
    <row r="866" ht="15.75" customHeight="1">
      <c r="B866" s="2" t="s">
        <v>2339</v>
      </c>
      <c r="C866" s="2" t="s">
        <v>2340</v>
      </c>
      <c r="D866" s="2" t="s">
        <v>1827</v>
      </c>
      <c r="E866" s="2" t="s">
        <v>360</v>
      </c>
      <c r="F866" s="2" t="s">
        <v>15</v>
      </c>
      <c r="G866" s="2" t="s">
        <v>29</v>
      </c>
      <c r="H866" s="2" t="s">
        <v>29</v>
      </c>
      <c r="I866" s="2" t="str">
        <f>IFERROR(__xludf.DUMMYFUNCTION("GOOGLETRANSLATE(C866,""fr"",""en"")"),"Unreachable customer service
Do not respect their word when they say 'we remind you'
Deadline to have an answer for care. Depis on March 11 I await a return within 24 hours ... Despite several calls and 'reasons to the competent service.
Ditto for the "&amp;"professional in the tent to join them to have an answer for care ...
.")</f>
        <v>Unreachable customer service
Do not respect their word when they say 'we remind you'
Deadline to have an answer for care. Depis on March 11 I await a return within 24 hours ... Despite several calls and 'reasons to the competent service.
Ditto for the professional in the tent to join them to have an answer for care ...
.</v>
      </c>
    </row>
    <row r="867" ht="15.75" customHeight="1">
      <c r="B867" s="2" t="s">
        <v>2341</v>
      </c>
      <c r="C867" s="2" t="s">
        <v>2342</v>
      </c>
      <c r="D867" s="2" t="s">
        <v>1827</v>
      </c>
      <c r="E867" s="2" t="s">
        <v>360</v>
      </c>
      <c r="F867" s="2" t="s">
        <v>15</v>
      </c>
      <c r="G867" s="2" t="s">
        <v>2343</v>
      </c>
      <c r="H867" s="2" t="s">
        <v>1001</v>
      </c>
      <c r="I867" s="2" t="str">
        <f>IFERROR(__xludf.DUMMYFUNCTION("GOOGLETRANSLATE(C867,""fr"",""en"")"),"I was shot by several brokers who sold me everything and anything: Result I am engaged for 1 year each time. I made contact with the customer service which informed me very well and I thank Erika for her professionalism and kindness.")</f>
        <v>I was shot by several brokers who sold me everything and anything: Result I am engaged for 1 year each time. I made contact with the customer service which informed me very well and I thank Erika for her professionalism and kindness.</v>
      </c>
    </row>
    <row r="868" ht="15.75" customHeight="1">
      <c r="B868" s="2" t="s">
        <v>2344</v>
      </c>
      <c r="C868" s="2" t="s">
        <v>2345</v>
      </c>
      <c r="D868" s="2" t="s">
        <v>1827</v>
      </c>
      <c r="E868" s="2" t="s">
        <v>360</v>
      </c>
      <c r="F868" s="2" t="s">
        <v>15</v>
      </c>
      <c r="G868" s="2" t="s">
        <v>2346</v>
      </c>
      <c r="H868" s="2" t="s">
        <v>1001</v>
      </c>
      <c r="I868" s="2" t="str">
        <f>IFERROR(__xludf.DUMMYFUNCTION("GOOGLETRANSLATE(C868,""fr"",""en"")"),"For 2 months I have been waiting for a refund following a postponement of membership they do not respond to the messages placed on February 21 on the customer service site on the phone I am told that the transfer was made one day it is March 11 3 days Aft"&amp;"er it's March 15 to this day still nothing on my account it's not serious I already regret having signed a contract with them")</f>
        <v>For 2 months I have been waiting for a refund following a postponement of membership they do not respond to the messages placed on February 21 on the customer service site on the phone I am told that the transfer was made one day it is March 11 3 days After it's March 15 to this day still nothing on my account it's not serious I already regret having signed a contract with them</v>
      </c>
    </row>
    <row r="869" ht="15.75" customHeight="1">
      <c r="B869" s="2" t="s">
        <v>2347</v>
      </c>
      <c r="C869" s="2" t="s">
        <v>2348</v>
      </c>
      <c r="D869" s="2" t="s">
        <v>1827</v>
      </c>
      <c r="E869" s="2" t="s">
        <v>360</v>
      </c>
      <c r="F869" s="2" t="s">
        <v>15</v>
      </c>
      <c r="G869" s="2" t="s">
        <v>2349</v>
      </c>
      <c r="H869" s="2" t="s">
        <v>1001</v>
      </c>
      <c r="I869" s="2" t="str">
        <f>IFERROR(__xludf.DUMMYFUNCTION("GOOGLETRANSLATE(C869,""fr"",""en"")"),"I am an old customer from home, I bought a pair of glasses in December and I am still not reimbursed (pair that I have fully advanced!), I called 6 times. Nothing moves, and I am not reimbursed!")</f>
        <v>I am an old customer from home, I bought a pair of glasses in December and I am still not reimbursed (pair that I have fully advanced!), I called 6 times. Nothing moves, and I am not reimbursed!</v>
      </c>
    </row>
    <row r="870" ht="15.75" customHeight="1">
      <c r="B870" s="2" t="s">
        <v>2350</v>
      </c>
      <c r="C870" s="2" t="s">
        <v>2351</v>
      </c>
      <c r="D870" s="2" t="s">
        <v>1827</v>
      </c>
      <c r="E870" s="2" t="s">
        <v>360</v>
      </c>
      <c r="F870" s="2" t="s">
        <v>15</v>
      </c>
      <c r="G870" s="2" t="s">
        <v>2352</v>
      </c>
      <c r="H870" s="2" t="s">
        <v>1001</v>
      </c>
      <c r="I870" s="2" t="str">
        <f>IFERROR(__xludf.DUMMYFUNCTION("GOOGLETRANSLATE(C870,""fr"",""en"")"),"Unlike the response of the Neoliane forums is listening to its customers (customer abused by a Dnassur broker who through the fixed phone made me signed a contract via the laptop, 4 figures which in fact when we accept these figures that BUT BUT SIGNING O"&amp;"F THE CONTRACT. I thought I was trapped and the galley was going to start to retract.
 In fact, simply contact Neoliane via its site or you can withdraw within 14 legal days in France. This company (Neoliane) reminded me within the time taken by law and "&amp;"indicated to me by Mél that my retraction was taken into consideration. I thank them for this action.
")</f>
        <v>Unlike the response of the Neoliane forums is listening to its customers (customer abused by a Dnassur broker who through the fixed phone made me signed a contract via the laptop, 4 figures which in fact when we accept these figures that BUT BUT SIGNING OF THE CONTRACT. I thought I was trapped and the galley was going to start to retract.
 In fact, simply contact Neoliane via its site or you can withdraw within 14 legal days in France. This company (Neoliane) reminded me within the time taken by law and indicated to me by Mél that my retraction was taken into consideration. I thank them for this action.
</v>
      </c>
    </row>
    <row r="871" ht="15.75" customHeight="1">
      <c r="B871" s="2" t="s">
        <v>2353</v>
      </c>
      <c r="C871" s="2" t="s">
        <v>2354</v>
      </c>
      <c r="D871" s="2" t="s">
        <v>1827</v>
      </c>
      <c r="E871" s="2" t="s">
        <v>360</v>
      </c>
      <c r="F871" s="2" t="s">
        <v>15</v>
      </c>
      <c r="G871" s="2" t="s">
        <v>1000</v>
      </c>
      <c r="H871" s="2" t="s">
        <v>1001</v>
      </c>
      <c r="I871" s="2" t="str">
        <f>IFERROR(__xludf.DUMMYFUNCTION("GOOGLETRANSLATE(C871,""fr"",""en"")"),"My financial situation having deteriorated in recent months, customer service contacted me to find a solution that has been very beneficial.
So I tell them a big thank you.")</f>
        <v>My financial situation having deteriorated in recent months, customer service contacted me to find a solution that has been very beneficial.
So I tell them a big thank you.</v>
      </c>
    </row>
    <row r="872" ht="15.75" customHeight="1">
      <c r="B872" s="2" t="s">
        <v>2355</v>
      </c>
      <c r="C872" s="2" t="s">
        <v>2356</v>
      </c>
      <c r="D872" s="2" t="s">
        <v>1827</v>
      </c>
      <c r="E872" s="2" t="s">
        <v>360</v>
      </c>
      <c r="F872" s="2" t="s">
        <v>15</v>
      </c>
      <c r="G872" s="2" t="s">
        <v>2357</v>
      </c>
      <c r="H872" s="2" t="s">
        <v>33</v>
      </c>
      <c r="I872" s="2" t="str">
        <f>IFERROR(__xludf.DUMMYFUNCTION("GOOGLETRANSLATE(C872,""fr"",""en"")"),"This company practices high -dose telephone harassment! Supposed to help people who have health concerns, or even in distress, she goes so far as to make them crack nervously to get what she wants without hesitation to use the threat. I have a concrete ex"&amp;"ample of harassment on a person who has subscribed by force and to whom this ""mutual"" claims incomprehensible reimbursements following errors of the mutual. It is shameful. To be fleece !!!!")</f>
        <v>This company practices high -dose telephone harassment! Supposed to help people who have health concerns, or even in distress, she goes so far as to make them crack nervously to get what she wants without hesitation to use the threat. I have a concrete example of harassment on a person who has subscribed by force and to whom this "mutual" claims incomprehensible reimbursements following errors of the mutual. It is shameful. To be fleece !!!!</v>
      </c>
    </row>
    <row r="873" ht="15.75" customHeight="1">
      <c r="B873" s="2" t="s">
        <v>2358</v>
      </c>
      <c r="C873" s="2" t="s">
        <v>2359</v>
      </c>
      <c r="D873" s="2" t="s">
        <v>1827</v>
      </c>
      <c r="E873" s="2" t="s">
        <v>360</v>
      </c>
      <c r="F873" s="2" t="s">
        <v>15</v>
      </c>
      <c r="G873" s="2" t="s">
        <v>2360</v>
      </c>
      <c r="H873" s="2" t="s">
        <v>33</v>
      </c>
      <c r="I873" s="2" t="str">
        <f>IFERROR(__xludf.DUMMYFUNCTION("GOOGLETRANSLATE(C873,""fr"",""en"")"),"I had a lot of consultations and purchases of drugs to do. Teletransmission has never been made from them, so no refund for 1 year, if I had not realized it, all the reimbursements would have passed to the AS.
Never subscribe to this ""insurance"", the s"&amp;"chedule was not sent in time and despite that they brake on their feet and hands by not recognizing all the mistakes they have made. This insurance is simply very expensive, does not reimburse anything, makes mistakes, and in addition it is impossible to "&amp;"terminate.
Above all, don't get fooled !!!")</f>
        <v>I had a lot of consultations and purchases of drugs to do. Teletransmission has never been made from them, so no refund for 1 year, if I had not realized it, all the reimbursements would have passed to the AS.
Never subscribe to this "insurance", the schedule was not sent in time and despite that they brake on their feet and hands by not recognizing all the mistakes they have made. This insurance is simply very expensive, does not reimburse anything, makes mistakes, and in addition it is impossible to terminate.
Above all, don't get fooled !!!</v>
      </c>
    </row>
    <row r="874" ht="15.75" customHeight="1">
      <c r="B874" s="2" t="s">
        <v>2361</v>
      </c>
      <c r="C874" s="2" t="s">
        <v>2362</v>
      </c>
      <c r="D874" s="2" t="s">
        <v>1827</v>
      </c>
      <c r="E874" s="2" t="s">
        <v>360</v>
      </c>
      <c r="F874" s="2" t="s">
        <v>15</v>
      </c>
      <c r="G874" s="2" t="s">
        <v>2363</v>
      </c>
      <c r="H874" s="2" t="s">
        <v>33</v>
      </c>
      <c r="I874" s="2" t="str">
        <f>IFERROR(__xludf.DUMMYFUNCTION("GOOGLETRANSLATE(C874,""fr"",""en"")"),"Erika is very nice, it's really nice to have a kind interlocutor and who answers honestly and directly to our questions")</f>
        <v>Erika is very nice, it's really nice to have a kind interlocutor and who answers honestly and directly to our questions</v>
      </c>
    </row>
    <row r="875" ht="15.75" customHeight="1">
      <c r="B875" s="2" t="s">
        <v>2364</v>
      </c>
      <c r="C875" s="2" t="s">
        <v>2365</v>
      </c>
      <c r="D875" s="2" t="s">
        <v>1827</v>
      </c>
      <c r="E875" s="2" t="s">
        <v>360</v>
      </c>
      <c r="F875" s="2" t="s">
        <v>15</v>
      </c>
      <c r="G875" s="2" t="s">
        <v>32</v>
      </c>
      <c r="H875" s="2" t="s">
        <v>33</v>
      </c>
      <c r="I875" s="2" t="str">
        <f>IFERROR(__xludf.DUMMYFUNCTION("GOOGLETRANSLATE(C875,""fr"",""en"")"),"I've been trying to join them for a week following a refund request that has been unanswered since January 22. An endless wait on the phone! without ever anyone! I'm going to contact a consumer service to help me!")</f>
        <v>I've been trying to join them for a week following a refund request that has been unanswered since January 22. An endless wait on the phone! without ever anyone! I'm going to contact a consumer service to help me!</v>
      </c>
    </row>
    <row r="876" ht="15.75" customHeight="1">
      <c r="B876" s="2" t="s">
        <v>2366</v>
      </c>
      <c r="C876" s="2" t="s">
        <v>2367</v>
      </c>
      <c r="D876" s="2" t="s">
        <v>1827</v>
      </c>
      <c r="E876" s="2" t="s">
        <v>360</v>
      </c>
      <c r="F876" s="2" t="s">
        <v>15</v>
      </c>
      <c r="G876" s="2" t="s">
        <v>32</v>
      </c>
      <c r="H876" s="2" t="s">
        <v>33</v>
      </c>
      <c r="I876" s="2" t="str">
        <f>IFERROR(__xludf.DUMMYFUNCTION("GOOGLETRANSLATE(C876,""fr"",""en"")"),"I have been a member since January 2017, I am very satisfied, we have the possibility of changing and the prices are very affordable, the telephone advice is very just and very fast, moreover the guarantees are very interesting.")</f>
        <v>I have been a member since January 2017, I am very satisfied, we have the possibility of changing and the prices are very affordable, the telephone advice is very just and very fast, moreover the guarantees are very interesting.</v>
      </c>
    </row>
    <row r="877" ht="15.75" customHeight="1">
      <c r="B877" s="2" t="s">
        <v>2368</v>
      </c>
      <c r="C877" s="2" t="s">
        <v>2369</v>
      </c>
      <c r="D877" s="2" t="s">
        <v>1827</v>
      </c>
      <c r="E877" s="2" t="s">
        <v>360</v>
      </c>
      <c r="F877" s="2" t="s">
        <v>15</v>
      </c>
      <c r="G877" s="2" t="s">
        <v>32</v>
      </c>
      <c r="H877" s="2" t="s">
        <v>33</v>
      </c>
      <c r="I877" s="2" t="str">
        <f>IFERROR(__xludf.DUMMYFUNCTION("GOOGLETRANSLATE(C877,""fr"",""en"")"),"Very good responsiveness and professionalism !!! Customer listening advisers !!! No phone waiting !!! I would highly recommend this mutual !!!")</f>
        <v>Very good responsiveness and professionalism !!! Customer listening advisers !!! No phone waiting !!! I would highly recommend this mutual !!!</v>
      </c>
    </row>
    <row r="878" ht="15.75" customHeight="1">
      <c r="B878" s="2" t="s">
        <v>2370</v>
      </c>
      <c r="C878" s="2" t="s">
        <v>2371</v>
      </c>
      <c r="D878" s="2" t="s">
        <v>1827</v>
      </c>
      <c r="E878" s="2" t="s">
        <v>360</v>
      </c>
      <c r="F878" s="2" t="s">
        <v>15</v>
      </c>
      <c r="G878" s="2" t="s">
        <v>2372</v>
      </c>
      <c r="H878" s="2" t="s">
        <v>33</v>
      </c>
      <c r="I878" s="2" t="str">
        <f>IFERROR(__xludf.DUMMYFUNCTION("GOOGLETRANSLATE(C878,""fr"",""en"")"),"I was able to have Erika on the phone, who informed me very well about my contract. I had never had someone so professional online. I am all the same, because they did not wait to have the attestation of radiation from my old mutual and led to me.")</f>
        <v>I was able to have Erika on the phone, who informed me very well about my contract. I had never had someone so professional online. I am all the same, because they did not wait to have the attestation of radiation from my old mutual and led to me.</v>
      </c>
    </row>
    <row r="879" ht="15.75" customHeight="1">
      <c r="B879" s="2" t="s">
        <v>30</v>
      </c>
      <c r="C879" s="2" t="s">
        <v>2373</v>
      </c>
      <c r="D879" s="2" t="s">
        <v>1827</v>
      </c>
      <c r="E879" s="2" t="s">
        <v>360</v>
      </c>
      <c r="F879" s="2" t="s">
        <v>15</v>
      </c>
      <c r="G879" s="2" t="s">
        <v>2372</v>
      </c>
      <c r="H879" s="2" t="s">
        <v>33</v>
      </c>
      <c r="I879" s="2" t="str">
        <f>IFERROR(__xludf.DUMMYFUNCTION("GOOGLETRANSLATE(C879,""fr"",""en"")"),"Contract has been undergoing renewal of a healthy contract since October 2018. Néoliane is really not to be advised. Very polite commercial service but without concrete response. Reimbursement of membership fees never made. A ready -made answer of the gen"&amp;"re ""if your problem is not corrected to contact us in 8 days"" ... It's been 3 months. So above all I do not recommend.")</f>
        <v>Contract has been undergoing renewal of a healthy contract since October 2018. Néoliane is really not to be advised. Very polite commercial service but without concrete response. Reimbursement of membership fees never made. A ready -made answer of the genre "if your problem is not corrected to contact us in 8 days" ... It's been 3 months. So above all I do not recommend.</v>
      </c>
    </row>
    <row r="880" ht="15.75" customHeight="1">
      <c r="B880" s="2" t="s">
        <v>2374</v>
      </c>
      <c r="C880" s="2" t="s">
        <v>2375</v>
      </c>
      <c r="D880" s="2" t="s">
        <v>1827</v>
      </c>
      <c r="E880" s="2" t="s">
        <v>360</v>
      </c>
      <c r="F880" s="2" t="s">
        <v>15</v>
      </c>
      <c r="G880" s="2" t="s">
        <v>2372</v>
      </c>
      <c r="H880" s="2" t="s">
        <v>33</v>
      </c>
      <c r="I880" s="2" t="str">
        <f>IFERROR(__xludf.DUMMYFUNCTION("GOOGLETRANSLATE(C880,""fr"",""en"")"),"My health insurance contract was to start on January 1. We are on February 8. Néoliane takes the money well from my count. But, despite many complaints, they have always told me to the Safely, for which I have no mutual. I still haven't received a third -"&amp;"party payment card. Their standard is flooded. They promise to remember, but don't do it. I'm very afraid.")</f>
        <v>My health insurance contract was to start on January 1. We are on February 8. Néoliane takes the money well from my count. But, despite many complaints, they have always told me to the Safely, for which I have no mutual. I still haven't received a third -party payment card. Their standard is flooded. They promise to remember, but don't do it. I'm very afraid.</v>
      </c>
    </row>
    <row r="881" ht="15.75" customHeight="1">
      <c r="B881" s="2" t="s">
        <v>2376</v>
      </c>
      <c r="C881" s="2" t="s">
        <v>2377</v>
      </c>
      <c r="D881" s="2" t="s">
        <v>1827</v>
      </c>
      <c r="E881" s="2" t="s">
        <v>360</v>
      </c>
      <c r="F881" s="2" t="s">
        <v>15</v>
      </c>
      <c r="G881" s="2" t="s">
        <v>2372</v>
      </c>
      <c r="H881" s="2" t="s">
        <v>33</v>
      </c>
      <c r="I881" s="2" t="str">
        <f>IFERROR(__xludf.DUMMYFUNCTION("GOOGLETRANSLATE(C881,""fr"",""en"")"),"I live. 5 months abroad. I try to terminate this mutual (letters, calls, recommended) impossible! Continue to take and seek to keep 1 part of the sums taken.")</f>
        <v>I live. 5 months abroad. I try to terminate this mutual (letters, calls, recommended) impossible! Continue to take and seek to keep 1 part of the sums taken.</v>
      </c>
    </row>
    <row r="882" ht="15.75" customHeight="1">
      <c r="B882" s="2" t="s">
        <v>2378</v>
      </c>
      <c r="C882" s="2" t="s">
        <v>2379</v>
      </c>
      <c r="D882" s="2" t="s">
        <v>1827</v>
      </c>
      <c r="E882" s="2" t="s">
        <v>360</v>
      </c>
      <c r="F882" s="2" t="s">
        <v>15</v>
      </c>
      <c r="G882" s="2" t="s">
        <v>2380</v>
      </c>
      <c r="H882" s="2" t="s">
        <v>33</v>
      </c>
      <c r="I882" s="2" t="str">
        <f>IFERROR(__xludf.DUMMYFUNCTION("GOOGLETRANSLATE(C882,""fr"",""en"")"),"Fortunately, we come across competent people from time to time.
Thank you Erika")</f>
        <v>Fortunately, we come across competent people from time to time.
Thank you Erika</v>
      </c>
    </row>
    <row r="883" ht="15.75" customHeight="1">
      <c r="B883" s="2" t="s">
        <v>2381</v>
      </c>
      <c r="C883" s="2" t="s">
        <v>2382</v>
      </c>
      <c r="D883" s="2" t="s">
        <v>1827</v>
      </c>
      <c r="E883" s="2" t="s">
        <v>360</v>
      </c>
      <c r="F883" s="2" t="s">
        <v>15</v>
      </c>
      <c r="G883" s="2" t="s">
        <v>252</v>
      </c>
      <c r="H883" s="2" t="s">
        <v>253</v>
      </c>
      <c r="I883" s="2" t="str">
        <f>IFERROR(__xludf.DUMMYFUNCTION("GOOGLETRANSLATE(C883,""fr"",""en"")"),"Extreme difficulties at the time of termination. Do not take into account the letters of termination!")</f>
        <v>Extreme difficulties at the time of termination. Do not take into account the letters of termination!</v>
      </c>
    </row>
    <row r="884" ht="15.75" customHeight="1">
      <c r="B884" s="2" t="s">
        <v>2383</v>
      </c>
      <c r="C884" s="2" t="s">
        <v>2384</v>
      </c>
      <c r="D884" s="2" t="s">
        <v>1827</v>
      </c>
      <c r="E884" s="2" t="s">
        <v>360</v>
      </c>
      <c r="F884" s="2" t="s">
        <v>15</v>
      </c>
      <c r="G884" s="2" t="s">
        <v>2385</v>
      </c>
      <c r="H884" s="2" t="s">
        <v>253</v>
      </c>
      <c r="I884" s="2" t="str">
        <f>IFERROR(__xludf.DUMMYFUNCTION("GOOGLETRANSLATE(C884,""fr"",""en"")"),"Another call this morning of a person presenting themselves as Neoliane: an anomaly has been detected in your legal insurance!
Asking this person what anomaly and in which insurance company, she embarked on a smoky explanation that she called for an orga"&amp;"nization overseeing all insurance mutuals. Already knowing the questionable practices of Néoliane for health insurance, I cut short and asked to be withdrawn from their files. So caution, they changed their speech, but still target the reckless gogos.")</f>
        <v>Another call this morning of a person presenting themselves as Neoliane: an anomaly has been detected in your legal insurance!
Asking this person what anomaly and in which insurance company, she embarked on a smoky explanation that she called for an organization overseeing all insurance mutuals. Already knowing the questionable practices of Néoliane for health insurance, I cut short and asked to be withdrawn from their files. So caution, they changed their speech, but still target the reckless gogos.</v>
      </c>
    </row>
    <row r="885" ht="15.75" customHeight="1">
      <c r="B885" s="2" t="s">
        <v>2386</v>
      </c>
      <c r="C885" s="2" t="s">
        <v>2387</v>
      </c>
      <c r="D885" s="2" t="s">
        <v>1827</v>
      </c>
      <c r="E885" s="2" t="s">
        <v>360</v>
      </c>
      <c r="F885" s="2" t="s">
        <v>15</v>
      </c>
      <c r="G885" s="2" t="s">
        <v>2388</v>
      </c>
      <c r="H885" s="2" t="s">
        <v>253</v>
      </c>
      <c r="I885" s="2" t="str">
        <f>IFERROR(__xludf.DUMMYFUNCTION("GOOGLETRANSLATE(C885,""fr"",""en"")"),"The advisor to was very reactive and very friendly listening and advice of affordable prices listening and advisory of affordable prices1")</f>
        <v>The advisor to was very reactive and very friendly listening and advice of affordable prices listening and advisory of affordable prices1</v>
      </c>
    </row>
    <row r="886" ht="15.75" customHeight="1">
      <c r="B886" s="2" t="s">
        <v>2389</v>
      </c>
      <c r="C886" s="2" t="s">
        <v>2390</v>
      </c>
      <c r="D886" s="2" t="s">
        <v>1827</v>
      </c>
      <c r="E886" s="2" t="s">
        <v>360</v>
      </c>
      <c r="F886" s="2" t="s">
        <v>15</v>
      </c>
      <c r="G886" s="2" t="s">
        <v>2391</v>
      </c>
      <c r="H886" s="2" t="s">
        <v>253</v>
      </c>
      <c r="I886" s="2" t="str">
        <f>IFERROR(__xludf.DUMMYFUNCTION("GOOGLETRANSLATE(C886,""fr"",""en"")"),"Abusive canvassing intended to deceive and therefore encourage the interlocutor to take a contract at his Insus.
Since 6/11 I have been in a micro company. Neoliane told me that since that date I did not benefit from any social security coverage and that"&amp;" it was necessary to remedy it right away. Stupidly I communicated my bank details and since then I have been part of their client ... I haven't asked for anything. I was duped ..... by abusive canvassing")</f>
        <v>Abusive canvassing intended to deceive and therefore encourage the interlocutor to take a contract at his Insus.
Since 6/11 I have been in a micro company. Neoliane told me that since that date I did not benefit from any social security coverage and that it was necessary to remedy it right away. Stupidly I communicated my bank details and since then I have been part of their client ... I haven't asked for anything. I was duped ..... by abusive canvassing</v>
      </c>
    </row>
    <row r="887" ht="15.75" customHeight="1">
      <c r="B887" s="2" t="s">
        <v>2392</v>
      </c>
      <c r="C887" s="2" t="s">
        <v>2393</v>
      </c>
      <c r="D887" s="2" t="s">
        <v>1827</v>
      </c>
      <c r="E887" s="2" t="s">
        <v>360</v>
      </c>
      <c r="F887" s="2" t="s">
        <v>15</v>
      </c>
      <c r="G887" s="2" t="s">
        <v>2394</v>
      </c>
      <c r="H887" s="2" t="s">
        <v>253</v>
      </c>
      <c r="I887" s="2" t="str">
        <f>IFERROR(__xludf.DUMMYFUNCTION("GOOGLETRANSLATE(C887,""fr"",""en"")"),"I have been at Neoliane for almost a year, so far no worries ... Hospitalization scheduled for early January and they do not take the single room in charge, because my hospitalization is part of the exclusions. I wanted to terminate under the reason for t"&amp;"he increase to my schedule so with the Chattel law and, misery, they put wads in the wheels and results I am made because in the end I could not terminate.
No clarity in their speeches, all forced to make people wait to find out, rarely understand your r"&amp;"eal request.
In short to flee")</f>
        <v>I have been at Neoliane for almost a year, so far no worries ... Hospitalization scheduled for early January and they do not take the single room in charge, because my hospitalization is part of the exclusions. I wanted to terminate under the reason for the increase to my schedule so with the Chattel law and, misery, they put wads in the wheels and results I am made because in the end I could not terminate.
No clarity in their speeches, all forced to make people wait to find out, rarely understand your real request.
In short to flee</v>
      </c>
    </row>
    <row r="888" ht="15.75" customHeight="1">
      <c r="B888" s="2" t="s">
        <v>2395</v>
      </c>
      <c r="C888" s="2" t="s">
        <v>2396</v>
      </c>
      <c r="D888" s="2" t="s">
        <v>1827</v>
      </c>
      <c r="E888" s="2" t="s">
        <v>360</v>
      </c>
      <c r="F888" s="2" t="s">
        <v>15</v>
      </c>
      <c r="G888" s="2" t="s">
        <v>2397</v>
      </c>
      <c r="H888" s="2" t="s">
        <v>257</v>
      </c>
      <c r="I888" s="2" t="str">
        <f>IFERROR(__xludf.DUMMYFUNCTION("GOOGLETRANSLATE(C888,""fr"",""en"")"),"Like many online insurance, as long as you are a customer, no problems. As soon as you want to leave this mutual insurance company, the concerns start: very complicated to terminate your contract and be careful when you have taken out a mutual contract, a"&amp;" pension contract is too, think of terminating it well, not like me ... .
Frankly, for a few more euros, you can find much better!")</f>
        <v>Like many online insurance, as long as you are a customer, no problems. As soon as you want to leave this mutual insurance company, the concerns start: very complicated to terminate your contract and be careful when you have taken out a mutual contract, a pension contract is too, think of terminating it well, not like me ... .
Frankly, for a few more euros, you can find much better!</v>
      </c>
    </row>
    <row r="889" ht="15.75" customHeight="1">
      <c r="B889" s="2" t="s">
        <v>2398</v>
      </c>
      <c r="C889" s="2" t="s">
        <v>2399</v>
      </c>
      <c r="D889" s="2" t="s">
        <v>1827</v>
      </c>
      <c r="E889" s="2" t="s">
        <v>360</v>
      </c>
      <c r="F889" s="2" t="s">
        <v>15</v>
      </c>
      <c r="G889" s="2" t="s">
        <v>2400</v>
      </c>
      <c r="H889" s="2" t="s">
        <v>257</v>
      </c>
      <c r="I889" s="2" t="str">
        <f>IFERROR(__xludf.DUMMYFUNCTION("GOOGLETRANSLATE(C889,""fr"",""en"")"),"I am called this day by pretending to be my mutual. 3 people follow one another on the phone to have a contract validated. It looks like forced sale. The technique of sending SMS code to validate the virtual contract is for me a questionable sales techniq"&amp;"ue. Finally, not wanting to sign, I was insulted and hung up on the nose. Help !")</f>
        <v>I am called this day by pretending to be my mutual. 3 people follow one another on the phone to have a contract validated. It looks like forced sale. The technique of sending SMS code to validate the virtual contract is for me a questionable sales technique. Finally, not wanting to sign, I was insulted and hung up on the nose. Help !</v>
      </c>
    </row>
    <row r="890" ht="15.75" customHeight="1">
      <c r="B890" s="2" t="s">
        <v>2401</v>
      </c>
      <c r="C890" s="2" t="s">
        <v>2402</v>
      </c>
      <c r="D890" s="2" t="s">
        <v>1827</v>
      </c>
      <c r="E890" s="2" t="s">
        <v>360</v>
      </c>
      <c r="F890" s="2" t="s">
        <v>15</v>
      </c>
      <c r="G890" s="2" t="s">
        <v>2400</v>
      </c>
      <c r="H890" s="2" t="s">
        <v>257</v>
      </c>
      <c r="I890" s="2" t="str">
        <f>IFERROR(__xludf.DUMMYFUNCTION("GOOGLETRANSLATE(C890,""fr"",""en"")"),"Very good clear and fast clear customer service, I managed to find guarantees that satisfy me")</f>
        <v>Very good clear and fast clear customer service, I managed to find guarantees that satisfy me</v>
      </c>
    </row>
    <row r="891" ht="15.75" customHeight="1">
      <c r="B891" s="2" t="s">
        <v>2403</v>
      </c>
      <c r="C891" s="2" t="s">
        <v>2404</v>
      </c>
      <c r="D891" s="2" t="s">
        <v>1827</v>
      </c>
      <c r="E891" s="2" t="s">
        <v>360</v>
      </c>
      <c r="F891" s="2" t="s">
        <v>15</v>
      </c>
      <c r="G891" s="2" t="s">
        <v>2405</v>
      </c>
      <c r="H891" s="2" t="s">
        <v>257</v>
      </c>
      <c r="I891" s="2" t="str">
        <f>IFERROR(__xludf.DUMMYFUNCTION("GOOGLETRANSLATE(C891,""fr"",""en"")"),"Entourloupe by masked phone.
Neoliane Health and Provident Having my Macif Macif, informs me that I had not sent a document that was said to be compulsory, and made me repeat an activation code by phone for a quote from assurance.
Doubtant of the Entour"&amp;"loupe, I phoned my mutual which confirmed to me that she was absolutely not associated with Néoliane Santé.
On this I called Néoliane to retract myself.
With doubt, I confirmed my non -membership by email according to the procedure indicated on their si"&amp;"te.
Following this they also confirmed to me by email that my request would be processed as soon as possible and not to make any other complaint so as not to clutter their services.
And amazement we receive 5 days after a letter that they were happy to "&amp;"count us among their new customers, and that soon we will receive by mail our schedule and membership certificate.
Upon receipt of this one we have reconfirmed our not membership by registered letter with acknowledgment of receipt (something they have st"&amp;"ill not answered).
The next day we receive as promised on our schedule and our membership number which took effect 4 days before receipt of this letter.
To date we can no longer contact them.
Following the next number.")</f>
        <v>Entourloupe by masked phone.
Neoliane Health and Provident Having my Macif Macif, informs me that I had not sent a document that was said to be compulsory, and made me repeat an activation code by phone for a quote from assurance.
Doubtant of the Entourloupe, I phoned my mutual which confirmed to me that she was absolutely not associated with Néoliane Santé.
On this I called Néoliane to retract myself.
With doubt, I confirmed my non -membership by email according to the procedure indicated on their site.
Following this they also confirmed to me by email that my request would be processed as soon as possible and not to make any other complaint so as not to clutter their services.
And amazement we receive 5 days after a letter that they were happy to count us among their new customers, and that soon we will receive by mail our schedule and membership certificate.
Upon receipt of this one we have reconfirmed our not membership by registered letter with acknowledgment of receipt (something they have still not answered).
The next day we receive as promised on our schedule and our membership number which took effect 4 days before receipt of this letter.
To date we can no longer contact them.
Following the next number.</v>
      </c>
    </row>
    <row r="892" ht="15.75" customHeight="1">
      <c r="B892" s="2" t="s">
        <v>2406</v>
      </c>
      <c r="C892" s="2" t="s">
        <v>2407</v>
      </c>
      <c r="D892" s="2" t="s">
        <v>1827</v>
      </c>
      <c r="E892" s="2" t="s">
        <v>360</v>
      </c>
      <c r="F892" s="2" t="s">
        <v>15</v>
      </c>
      <c r="G892" s="2" t="s">
        <v>2408</v>
      </c>
      <c r="H892" s="2" t="s">
        <v>257</v>
      </c>
      <c r="I892" s="2" t="str">
        <f>IFERROR(__xludf.DUMMYFUNCTION("GOOGLETRANSLATE(C892,""fr"",""en"")"),"Telephonic harassment !!! Asks me for a code in order to make me subscribe a contract when I already have one !! Why ask me for my bank account with a 5 -digit code?")</f>
        <v>Telephonic harassment !!! Asks me for a code in order to make me subscribe a contract when I already have one !! Why ask me for my bank account with a 5 -digit code?</v>
      </c>
    </row>
    <row r="893" ht="15.75" customHeight="1">
      <c r="B893" s="2" t="s">
        <v>2409</v>
      </c>
      <c r="C893" s="2" t="s">
        <v>2410</v>
      </c>
      <c r="D893" s="2" t="s">
        <v>1827</v>
      </c>
      <c r="E893" s="2" t="s">
        <v>360</v>
      </c>
      <c r="F893" s="2" t="s">
        <v>15</v>
      </c>
      <c r="G893" s="2" t="s">
        <v>36</v>
      </c>
      <c r="H893" s="2" t="s">
        <v>37</v>
      </c>
      <c r="I893" s="2" t="str">
        <f>IFERROR(__xludf.DUMMYFUNCTION("GOOGLETRANSLATE(C893,""fr"",""en"")"),"Mutual with good performance, after having been badly received this day by an advisor whose name I did not have, I was pleasantly surprised by the reception of Erika and by her professionalism. She was able to meet my expectations. Thank you")</f>
        <v>Mutual with good performance, after having been badly received this day by an advisor whose name I did not have, I was pleasantly surprised by the reception of Erika and by her professionalism. She was able to meet my expectations. Thank you</v>
      </c>
    </row>
    <row r="894" ht="15.75" customHeight="1">
      <c r="B894" s="2" t="s">
        <v>2411</v>
      </c>
      <c r="C894" s="2" t="s">
        <v>2412</v>
      </c>
      <c r="D894" s="2" t="s">
        <v>1827</v>
      </c>
      <c r="E894" s="2" t="s">
        <v>360</v>
      </c>
      <c r="F894" s="2" t="s">
        <v>15</v>
      </c>
      <c r="G894" s="2" t="s">
        <v>2413</v>
      </c>
      <c r="H894" s="2" t="s">
        <v>37</v>
      </c>
      <c r="I894" s="2" t="str">
        <f>IFERROR(__xludf.DUMMYFUNCTION("GOOGLETRANSLATE(C894,""fr"",""en"")"),"Staff listening to needs")</f>
        <v>Staff listening to needs</v>
      </c>
    </row>
    <row r="895" ht="15.75" customHeight="1">
      <c r="B895" s="2" t="s">
        <v>2414</v>
      </c>
      <c r="C895" s="2" t="s">
        <v>2415</v>
      </c>
      <c r="D895" s="2" t="s">
        <v>1827</v>
      </c>
      <c r="E895" s="2" t="s">
        <v>360</v>
      </c>
      <c r="F895" s="2" t="s">
        <v>15</v>
      </c>
      <c r="G895" s="2" t="s">
        <v>2416</v>
      </c>
      <c r="H895" s="2" t="s">
        <v>37</v>
      </c>
      <c r="I895" s="2" t="str">
        <f>IFERROR(__xludf.DUMMYFUNCTION("GOOGLETRANSLATE(C895,""fr"",""en"")"),"It is affordable the guarantees are interesting. Teletransmission is done without problem. Quotes are quickly
Requests are processed within a respectable time and with kindness. I recommend this mutual")</f>
        <v>It is affordable the guarantees are interesting. Teletransmission is done without problem. Quotes are quickly
Requests are processed within a respectable time and with kindness. I recommend this mutual</v>
      </c>
    </row>
    <row r="896" ht="15.75" customHeight="1">
      <c r="B896" s="2" t="s">
        <v>2417</v>
      </c>
      <c r="C896" s="2" t="s">
        <v>2418</v>
      </c>
      <c r="D896" s="2" t="s">
        <v>1827</v>
      </c>
      <c r="E896" s="2" t="s">
        <v>360</v>
      </c>
      <c r="F896" s="2" t="s">
        <v>15</v>
      </c>
      <c r="G896" s="2" t="s">
        <v>2419</v>
      </c>
      <c r="H896" s="2" t="s">
        <v>37</v>
      </c>
      <c r="I896" s="2" t="str">
        <f>IFERROR(__xludf.DUMMYFUNCTION("GOOGLETRANSLATE(C896,""fr"",""en"")"),"Very well supported by Jeremiah of the litigation service following a forcing by MMI Courage. Néoliane made the cancellation of the contract which had been sold to me by phone.")</f>
        <v>Very well supported by Jeremiah of the litigation service following a forcing by MMI Courage. Néoliane made the cancellation of the contract which had been sold to me by phone.</v>
      </c>
    </row>
    <row r="897" ht="15.75" customHeight="1">
      <c r="B897" s="2" t="s">
        <v>2420</v>
      </c>
      <c r="C897" s="2" t="s">
        <v>2421</v>
      </c>
      <c r="D897" s="2" t="s">
        <v>1827</v>
      </c>
      <c r="E897" s="2" t="s">
        <v>360</v>
      </c>
      <c r="F897" s="2" t="s">
        <v>15</v>
      </c>
      <c r="G897" s="2" t="s">
        <v>2422</v>
      </c>
      <c r="H897" s="2" t="s">
        <v>37</v>
      </c>
      <c r="I897" s="2" t="str">
        <f>IFERROR(__xludf.DUMMYFUNCTION("GOOGLETRANSLATE(C897,""fr"",""en"")"),"Very professional, and efficient. All the questions are dealt with.")</f>
        <v>Very professional, and efficient. All the questions are dealt with.</v>
      </c>
    </row>
    <row r="898" ht="15.75" customHeight="1">
      <c r="B898" s="2" t="s">
        <v>2423</v>
      </c>
      <c r="C898" s="2" t="s">
        <v>2424</v>
      </c>
      <c r="D898" s="2" t="s">
        <v>1827</v>
      </c>
      <c r="E898" s="2" t="s">
        <v>360</v>
      </c>
      <c r="F898" s="2" t="s">
        <v>15</v>
      </c>
      <c r="G898" s="2" t="s">
        <v>2425</v>
      </c>
      <c r="H898" s="2" t="s">
        <v>184</v>
      </c>
      <c r="I898" s="2" t="str">
        <f>IFERROR(__xludf.DUMMYFUNCTION("GOOGLETRANSLATE(C898,""fr"",""en"")"),"I am very satisfied with my insurance. Listening advisers and advisers, more very kind. Regarding the guarantees nothing to say. Very fast reimbursements. I really recommend this mutual.")</f>
        <v>I am very satisfied with my insurance. Listening advisers and advisers, more very kind. Regarding the guarantees nothing to say. Very fast reimbursements. I really recommend this mutual.</v>
      </c>
    </row>
    <row r="899" ht="15.75" customHeight="1">
      <c r="B899" s="2" t="s">
        <v>2426</v>
      </c>
      <c r="C899" s="2" t="s">
        <v>2427</v>
      </c>
      <c r="D899" s="2" t="s">
        <v>1827</v>
      </c>
      <c r="E899" s="2" t="s">
        <v>360</v>
      </c>
      <c r="F899" s="2" t="s">
        <v>15</v>
      </c>
      <c r="G899" s="2" t="s">
        <v>2428</v>
      </c>
      <c r="H899" s="2" t="s">
        <v>184</v>
      </c>
      <c r="I899" s="2" t="str">
        <f>IFERROR(__xludf.DUMMYFUNCTION("GOOGLETRANSLATE(C899,""fr"",""en"")"),"Correct insurance, am adher
Erente since 2015 at Neoliane, satisfied reimbursememt rapid and correct")</f>
        <v>Correct insurance, am adher
Erente since 2015 at Neoliane, satisfied reimbursememt rapid and correct</v>
      </c>
    </row>
    <row r="900" ht="15.75" customHeight="1">
      <c r="B900" s="2" t="s">
        <v>2429</v>
      </c>
      <c r="C900" s="2" t="s">
        <v>2430</v>
      </c>
      <c r="D900" s="2" t="s">
        <v>1827</v>
      </c>
      <c r="E900" s="2" t="s">
        <v>360</v>
      </c>
      <c r="F900" s="2" t="s">
        <v>15</v>
      </c>
      <c r="G900" s="2" t="s">
        <v>2431</v>
      </c>
      <c r="H900" s="2" t="s">
        <v>184</v>
      </c>
      <c r="I900" s="2" t="str">
        <f>IFERROR(__xludf.DUMMYFUNCTION("GOOGLETRANSLATE(C900,""fr"",""en"")"),"Very good rapid mutual insurance for reimbursements in line with my needs.")</f>
        <v>Very good rapid mutual insurance for reimbursements in line with my needs.</v>
      </c>
    </row>
    <row r="901" ht="15.75" customHeight="1">
      <c r="B901" s="2" t="s">
        <v>2432</v>
      </c>
      <c r="C901" s="2" t="s">
        <v>2433</v>
      </c>
      <c r="D901" s="2" t="s">
        <v>1827</v>
      </c>
      <c r="E901" s="2" t="s">
        <v>360</v>
      </c>
      <c r="F901" s="2" t="s">
        <v>15</v>
      </c>
      <c r="G901" s="2" t="s">
        <v>2431</v>
      </c>
      <c r="H901" s="2" t="s">
        <v>184</v>
      </c>
      <c r="I901" s="2" t="str">
        <f>IFERROR(__xludf.DUMMYFUNCTION("GOOGLETRANSLATE(C901,""fr"",""en"")"),"Price increase every year")</f>
        <v>Price increase every year</v>
      </c>
    </row>
    <row r="902" ht="15.75" customHeight="1">
      <c r="B902" s="2" t="s">
        <v>2434</v>
      </c>
      <c r="C902" s="2" t="s">
        <v>2435</v>
      </c>
      <c r="D902" s="2" t="s">
        <v>1827</v>
      </c>
      <c r="E902" s="2" t="s">
        <v>360</v>
      </c>
      <c r="F902" s="2" t="s">
        <v>15</v>
      </c>
      <c r="G902" s="2" t="s">
        <v>2436</v>
      </c>
      <c r="H902" s="2" t="s">
        <v>184</v>
      </c>
      <c r="I902" s="2" t="str">
        <f>IFERROR(__xludf.DUMMYFUNCTION("GOOGLETRANSLATE(C902,""fr"",""en"")"),"My interlocutor A was very friendly and courteous and my very well informed about all areas asking she had the patience and care required for a good advisor to process the whole of my requests I am very satisfied with my telephone interview")</f>
        <v>My interlocutor A was very friendly and courteous and my very well informed about all areas asking she had the patience and care required for a good advisor to process the whole of my requests I am very satisfied with my telephone interview</v>
      </c>
    </row>
    <row r="903" ht="15.75" customHeight="1">
      <c r="B903" s="2" t="s">
        <v>2437</v>
      </c>
      <c r="C903" s="2" t="s">
        <v>2438</v>
      </c>
      <c r="D903" s="2" t="s">
        <v>1827</v>
      </c>
      <c r="E903" s="2" t="s">
        <v>360</v>
      </c>
      <c r="F903" s="2" t="s">
        <v>15</v>
      </c>
      <c r="G903" s="2" t="s">
        <v>2439</v>
      </c>
      <c r="H903" s="2" t="s">
        <v>184</v>
      </c>
      <c r="I903" s="2" t="str">
        <f>IFERROR(__xludf.DUMMYFUNCTION("GOOGLETRANSLATE(C903,""fr"",""en"")"),"Favorable very service good reception competitive price ra s to recommend around me")</f>
        <v>Favorable very service good reception competitive price ra s to recommend around me</v>
      </c>
    </row>
    <row r="904" ht="15.75" customHeight="1">
      <c r="B904" s="2" t="s">
        <v>2440</v>
      </c>
      <c r="C904" s="2" t="s">
        <v>2441</v>
      </c>
      <c r="D904" s="2" t="s">
        <v>1827</v>
      </c>
      <c r="E904" s="2" t="s">
        <v>360</v>
      </c>
      <c r="F904" s="2" t="s">
        <v>15</v>
      </c>
      <c r="G904" s="2" t="s">
        <v>2442</v>
      </c>
      <c r="H904" s="2" t="s">
        <v>184</v>
      </c>
      <c r="I904" s="2" t="str">
        <f>IFERROR(__xludf.DUMMYFUNCTION("GOOGLETRANSLATE(C904,""fr"",""en"")"),"Effective neoliane health and listening to its customers
Effective neoliane health and listening to its customers
Effective neoliane health and listening to its customers
Effective neoliane health and listening to its customers
Effective neoliane heal"&amp;"th and listening to its customers
Effective neoliane health and listening to its customers
Effective neoliane health and listening to its customers
Effective neoliane health and listening to its customers
")</f>
        <v>Effective neoliane health and listening to its customers
Effective neoliane health and listening to its customers
Effective neoliane health and listening to its customers
Effective neoliane health and listening to its customers
Effective neoliane health and listening to its customers
Effective neoliane health and listening to its customers
Effective neoliane health and listening to its customers
Effective neoliane health and listening to its customers
</v>
      </c>
    </row>
    <row r="905" ht="15.75" customHeight="1">
      <c r="B905" s="2" t="s">
        <v>2443</v>
      </c>
      <c r="C905" s="2" t="s">
        <v>2444</v>
      </c>
      <c r="D905" s="2" t="s">
        <v>1827</v>
      </c>
      <c r="E905" s="2" t="s">
        <v>360</v>
      </c>
      <c r="F905" s="2" t="s">
        <v>15</v>
      </c>
      <c r="G905" s="2" t="s">
        <v>2442</v>
      </c>
      <c r="H905" s="2" t="s">
        <v>184</v>
      </c>
      <c r="I905" s="2" t="str">
        <f>IFERROR(__xludf.DUMMYFUNCTION("GOOGLETRANSLATE(C905,""fr"",""en"")"),"I have been a new Néoliane Mutuelle customer since October 1 and I couldn't create my customer area, it was blocking. Samuel explained to me that it could come from the fact that I did not yet have a repayment, however he took care of less than a minute t"&amp;"o create my space to me. It was very kind and natural, it was my 1st telephone contact with Néoliane (I subscribed through a broker) and it was effective.")</f>
        <v>I have been a new Néoliane Mutuelle customer since October 1 and I couldn't create my customer area, it was blocking. Samuel explained to me that it could come from the fact that I did not yet have a repayment, however he took care of less than a minute to create my space to me. It was very kind and natural, it was my 1st telephone contact with Néoliane (I subscribed through a broker) and it was effective.</v>
      </c>
    </row>
    <row r="906" ht="15.75" customHeight="1">
      <c r="B906" s="2" t="s">
        <v>2445</v>
      </c>
      <c r="C906" s="2" t="s">
        <v>2446</v>
      </c>
      <c r="D906" s="2" t="s">
        <v>1827</v>
      </c>
      <c r="E906" s="2" t="s">
        <v>360</v>
      </c>
      <c r="F906" s="2" t="s">
        <v>15</v>
      </c>
      <c r="G906" s="2" t="s">
        <v>2447</v>
      </c>
      <c r="H906" s="2" t="s">
        <v>184</v>
      </c>
      <c r="I906" s="2" t="str">
        <f>IFERROR(__xludf.DUMMYFUNCTION("GOOGLETRANSLATE(C906,""fr"",""en"")"),"Erika took the time to answer my questions and make sure that I was satisfied with it. She was kind, attentive and did not hesitate to ensure information given in order to guarantee me a real advice.")</f>
        <v>Erika took the time to answer my questions and make sure that I was satisfied with it. She was kind, attentive and did not hesitate to ensure information given in order to guarantee me a real advice.</v>
      </c>
    </row>
    <row r="907" ht="15.75" customHeight="1">
      <c r="B907" s="2" t="s">
        <v>2448</v>
      </c>
      <c r="C907" s="2" t="s">
        <v>2449</v>
      </c>
      <c r="D907" s="2" t="s">
        <v>1827</v>
      </c>
      <c r="E907" s="2" t="s">
        <v>360</v>
      </c>
      <c r="F907" s="2" t="s">
        <v>15</v>
      </c>
      <c r="G907" s="2" t="s">
        <v>2447</v>
      </c>
      <c r="H907" s="2" t="s">
        <v>184</v>
      </c>
      <c r="I907" s="2" t="str">
        <f>IFERROR(__xludf.DUMMYFUNCTION("GOOGLETRANSLATE(C907,""fr"",""en"")"),"The renborsation quickly made the price suit me to train them suits me")</f>
        <v>The renborsation quickly made the price suit me to train them suits me</v>
      </c>
    </row>
    <row r="908" ht="15.75" customHeight="1">
      <c r="B908" s="2" t="s">
        <v>2450</v>
      </c>
      <c r="C908" s="2" t="s">
        <v>2451</v>
      </c>
      <c r="D908" s="2" t="s">
        <v>1827</v>
      </c>
      <c r="E908" s="2" t="s">
        <v>360</v>
      </c>
      <c r="F908" s="2" t="s">
        <v>15</v>
      </c>
      <c r="G908" s="2" t="s">
        <v>2447</v>
      </c>
      <c r="H908" s="2" t="s">
        <v>184</v>
      </c>
      <c r="I908" s="2" t="str">
        <f>IFERROR(__xludf.DUMMYFUNCTION("GOOGLETRANSLATE(C908,""fr"",""en"")"),"10 Very good mutual, meet your needs and customer service, they are very useful. Thank you for your confidence")</f>
        <v>10 Very good mutual, meet your needs and customer service, they are very useful. Thank you for your confidence</v>
      </c>
    </row>
    <row r="909" ht="15.75" customHeight="1">
      <c r="B909" s="2" t="s">
        <v>2452</v>
      </c>
      <c r="C909" s="2" t="s">
        <v>2453</v>
      </c>
      <c r="D909" s="2" t="s">
        <v>1827</v>
      </c>
      <c r="E909" s="2" t="s">
        <v>360</v>
      </c>
      <c r="F909" s="2" t="s">
        <v>15</v>
      </c>
      <c r="G909" s="2" t="s">
        <v>2454</v>
      </c>
      <c r="H909" s="2" t="s">
        <v>184</v>
      </c>
      <c r="I909" s="2" t="str">
        <f>IFERROR(__xludf.DUMMYFUNCTION("GOOGLETRANSLATE(C909,""fr"",""en"")"),"Very easy to access friendly personal access for information always well informed and easy to reach")</f>
        <v>Very easy to access friendly personal access for information always well informed and easy to reach</v>
      </c>
    </row>
    <row r="910" ht="15.75" customHeight="1">
      <c r="B910" s="2" t="s">
        <v>2455</v>
      </c>
      <c r="C910" s="2" t="s">
        <v>2456</v>
      </c>
      <c r="D910" s="2" t="s">
        <v>1827</v>
      </c>
      <c r="E910" s="2" t="s">
        <v>360</v>
      </c>
      <c r="F910" s="2" t="s">
        <v>15</v>
      </c>
      <c r="G910" s="2" t="s">
        <v>2454</v>
      </c>
      <c r="H910" s="2" t="s">
        <v>184</v>
      </c>
      <c r="I910" s="2" t="str">
        <f>IFERROR(__xludf.DUMMYFUNCTION("GOOGLETRANSLATE(C910,""fr"",""en"")"),"I am going through feeling I received a customer reception, very well. satisfied with the customer advisor, very well informed")</f>
        <v>I am going through feeling I received a customer reception, very well. satisfied with the customer advisor, very well informed</v>
      </c>
    </row>
    <row r="911" ht="15.75" customHeight="1">
      <c r="B911" s="2" t="s">
        <v>2457</v>
      </c>
      <c r="C911" s="2" t="s">
        <v>2458</v>
      </c>
      <c r="D911" s="2" t="s">
        <v>1827</v>
      </c>
      <c r="E911" s="2" t="s">
        <v>360</v>
      </c>
      <c r="F911" s="2" t="s">
        <v>15</v>
      </c>
      <c r="G911" s="2" t="s">
        <v>2454</v>
      </c>
      <c r="H911" s="2" t="s">
        <v>184</v>
      </c>
      <c r="I911" s="2" t="str">
        <f>IFERROR(__xludf.DUMMYFUNCTION("GOOGLETRANSLATE(C911,""fr"",""en"")"),"Refunds are quick good reactivity of interlocutor The prices seem correct to me")</f>
        <v>Refunds are quick good reactivity of interlocutor The prices seem correct to me</v>
      </c>
    </row>
    <row r="912" ht="15.75" customHeight="1">
      <c r="B912" s="2" t="s">
        <v>2459</v>
      </c>
      <c r="C912" s="2" t="s">
        <v>2460</v>
      </c>
      <c r="D912" s="2" t="s">
        <v>1827</v>
      </c>
      <c r="E912" s="2" t="s">
        <v>360</v>
      </c>
      <c r="F912" s="2" t="s">
        <v>15</v>
      </c>
      <c r="G912" s="2" t="s">
        <v>2461</v>
      </c>
      <c r="H912" s="2" t="s">
        <v>184</v>
      </c>
      <c r="I912" s="2" t="str">
        <f>IFERROR(__xludf.DUMMYFUNCTION("GOOGLETRANSLATE(C912,""fr"",""en"")"),"I am a client nounveau Neoliane after an exchange
Telephone with Raba I was very well informed.")</f>
        <v>I am a client nounveau Neoliane after an exchange
Telephone with Raba I was very well informed.</v>
      </c>
    </row>
    <row r="913" ht="15.75" customHeight="1">
      <c r="B913" s="2" t="s">
        <v>2462</v>
      </c>
      <c r="C913" s="2" t="s">
        <v>2463</v>
      </c>
      <c r="D913" s="2" t="s">
        <v>1827</v>
      </c>
      <c r="E913" s="2" t="s">
        <v>360</v>
      </c>
      <c r="F913" s="2" t="s">
        <v>15</v>
      </c>
      <c r="G913" s="2" t="s">
        <v>2461</v>
      </c>
      <c r="H913" s="2" t="s">
        <v>184</v>
      </c>
      <c r="I913" s="2" t="str">
        <f>IFERROR(__xludf.DUMMYFUNCTION("GOOGLETRANSLATE(C913,""fr"",""en"")"),"first subscription I put to see it to rapidite it reimbursements")</f>
        <v>first subscription I put to see it to rapidite it reimbursements</v>
      </c>
    </row>
    <row r="914" ht="15.75" customHeight="1">
      <c r="B914" s="2" t="s">
        <v>2464</v>
      </c>
      <c r="C914" s="2" t="s">
        <v>2465</v>
      </c>
      <c r="D914" s="2" t="s">
        <v>1827</v>
      </c>
      <c r="E914" s="2" t="s">
        <v>360</v>
      </c>
      <c r="F914" s="2" t="s">
        <v>15</v>
      </c>
      <c r="G914" s="2" t="s">
        <v>2461</v>
      </c>
      <c r="H914" s="2" t="s">
        <v>184</v>
      </c>
      <c r="I914" s="2" t="str">
        <f>IFERROR(__xludf.DUMMYFUNCTION("GOOGLETRANSLATE(C914,""fr"",""en"")"),"Good contact always available good value for money fast customer reimbursement faithful since 2013")</f>
        <v>Good contact always available good value for money fast customer reimbursement faithful since 2013</v>
      </c>
    </row>
    <row r="915" ht="15.75" customHeight="1">
      <c r="B915" s="2" t="s">
        <v>2466</v>
      </c>
      <c r="C915" s="2" t="s">
        <v>2467</v>
      </c>
      <c r="D915" s="2" t="s">
        <v>1827</v>
      </c>
      <c r="E915" s="2" t="s">
        <v>360</v>
      </c>
      <c r="F915" s="2" t="s">
        <v>15</v>
      </c>
      <c r="G915" s="2" t="s">
        <v>2461</v>
      </c>
      <c r="H915" s="2" t="s">
        <v>184</v>
      </c>
      <c r="I915" s="2" t="str">
        <f>IFERROR(__xludf.DUMMYFUNCTION("GOOGLETRANSLATE(C915,""fr"",""en"")"),"Pleasant and listening staff, clear in their explanation, level rather reasonable price I recommend")</f>
        <v>Pleasant and listening staff, clear in their explanation, level rather reasonable price I recommend</v>
      </c>
    </row>
    <row r="916" ht="15.75" customHeight="1">
      <c r="B916" s="2" t="s">
        <v>2468</v>
      </c>
      <c r="C916" s="2" t="s">
        <v>2469</v>
      </c>
      <c r="D916" s="2" t="s">
        <v>1827</v>
      </c>
      <c r="E916" s="2" t="s">
        <v>360</v>
      </c>
      <c r="F916" s="2" t="s">
        <v>15</v>
      </c>
      <c r="G916" s="2" t="s">
        <v>2461</v>
      </c>
      <c r="H916" s="2" t="s">
        <v>184</v>
      </c>
      <c r="I916" s="2" t="str">
        <f>IFERROR(__xludf.DUMMYFUNCTION("GOOGLETRANSLATE(C916,""fr"",""en"")"),"Very pleasant and fast welcome from Cynthia
Given the start of my subscription and the information requested in view of the additional parts gave and join my file")</f>
        <v>Very pleasant and fast welcome from Cynthia
Given the start of my subscription and the information requested in view of the additional parts gave and join my file</v>
      </c>
    </row>
    <row r="917" ht="15.75" customHeight="1">
      <c r="B917" s="2" t="s">
        <v>2470</v>
      </c>
      <c r="C917" s="2" t="s">
        <v>2471</v>
      </c>
      <c r="D917" s="2" t="s">
        <v>1827</v>
      </c>
      <c r="E917" s="2" t="s">
        <v>360</v>
      </c>
      <c r="F917" s="2" t="s">
        <v>15</v>
      </c>
      <c r="G917" s="2" t="s">
        <v>2472</v>
      </c>
      <c r="H917" s="2" t="s">
        <v>184</v>
      </c>
      <c r="I917" s="2" t="str">
        <f>IFERROR(__xludf.DUMMYFUNCTION("GOOGLETRANSLATE(C917,""fr"",""en"")"),"Very good explanatory from my advisor, attentive, available, I went through her for the first time, will not hesitate to do it again")</f>
        <v>Very good explanatory from my advisor, attentive, available, I went through her for the first time, will not hesitate to do it again</v>
      </c>
    </row>
    <row r="918" ht="15.75" customHeight="1">
      <c r="B918" s="2" t="s">
        <v>2473</v>
      </c>
      <c r="C918" s="2" t="s">
        <v>2474</v>
      </c>
      <c r="D918" s="2" t="s">
        <v>1827</v>
      </c>
      <c r="E918" s="2" t="s">
        <v>360</v>
      </c>
      <c r="F918" s="2" t="s">
        <v>15</v>
      </c>
      <c r="G918" s="2" t="s">
        <v>2475</v>
      </c>
      <c r="H918" s="2" t="s">
        <v>184</v>
      </c>
      <c r="I918" s="2" t="str">
        <f>IFERROR(__xludf.DUMMYFUNCTION("GOOGLETRANSLATE(C918,""fr"",""en"")"),"Impeccable iiiiiiiiiiiiiiiiiiiiiiiiiiiiiiiiiiiiiiiiiiiiiiiiiiiiiiiiiiiiiiiiiiiiiiiiiiiiii")</f>
        <v>Impeccable iiiiiiiiiiiiiiiiiiiiiiiiiiiiiiiiiiiiiiiiiiiiiiiiiiiiiiiiiiiiiiiiiiiiiiiiiiiiii</v>
      </c>
    </row>
    <row r="919" ht="15.75" customHeight="1">
      <c r="B919" s="2" t="s">
        <v>2476</v>
      </c>
      <c r="C919" s="2" t="s">
        <v>2477</v>
      </c>
      <c r="D919" s="2" t="s">
        <v>1827</v>
      </c>
      <c r="E919" s="2" t="s">
        <v>360</v>
      </c>
      <c r="F919" s="2" t="s">
        <v>15</v>
      </c>
      <c r="G919" s="2" t="s">
        <v>2478</v>
      </c>
      <c r="H919" s="2" t="s">
        <v>184</v>
      </c>
      <c r="I919" s="2" t="str">
        <f>IFERROR(__xludf.DUMMYFUNCTION("GOOGLETRANSLATE(C919,""fr"",""en"")"),"I call to advance the date of my contract and I was very well listened to,")</f>
        <v>I call to advance the date of my contract and I was very well listened to,</v>
      </c>
    </row>
    <row r="920" ht="15.75" customHeight="1">
      <c r="B920" s="2" t="s">
        <v>2479</v>
      </c>
      <c r="C920" s="2" t="s">
        <v>2480</v>
      </c>
      <c r="D920" s="2" t="s">
        <v>1827</v>
      </c>
      <c r="E920" s="2" t="s">
        <v>360</v>
      </c>
      <c r="F920" s="2" t="s">
        <v>15</v>
      </c>
      <c r="G920" s="2" t="s">
        <v>2478</v>
      </c>
      <c r="H920" s="2" t="s">
        <v>184</v>
      </c>
      <c r="I920" s="2" t="str">
        <f>IFERROR(__xludf.DUMMYFUNCTION("GOOGLETRANSLATE(C920,""fr"",""en"")"),"Satisfied overall both on guarantees and care with professionals")</f>
        <v>Satisfied overall both on guarantees and care with professionals</v>
      </c>
    </row>
    <row r="921" ht="15.75" customHeight="1">
      <c r="B921" s="2" t="s">
        <v>2481</v>
      </c>
      <c r="C921" s="2" t="s">
        <v>2482</v>
      </c>
      <c r="D921" s="2" t="s">
        <v>1827</v>
      </c>
      <c r="E921" s="2" t="s">
        <v>360</v>
      </c>
      <c r="F921" s="2" t="s">
        <v>15</v>
      </c>
      <c r="G921" s="2" t="s">
        <v>2478</v>
      </c>
      <c r="H921" s="2" t="s">
        <v>184</v>
      </c>
      <c r="I921" s="2" t="str">
        <f>IFERROR(__xludf.DUMMYFUNCTION("GOOGLETRANSLATE(C921,""fr"",""en"")"),"I have been with you since 2016 Ormis the price that I find elevated, jesuis satisfied with the speed of reimbursements, I send requests for reimbursements by photos and everything is going well.")</f>
        <v>I have been with you since 2016 Ormis the price that I find elevated, jesuis satisfied with the speed of reimbursements, I send requests for reimbursements by photos and everything is going well.</v>
      </c>
    </row>
    <row r="922" ht="15.75" customHeight="1">
      <c r="B922" s="2" t="s">
        <v>2483</v>
      </c>
      <c r="C922" s="2" t="s">
        <v>2484</v>
      </c>
      <c r="D922" s="2" t="s">
        <v>1827</v>
      </c>
      <c r="E922" s="2" t="s">
        <v>360</v>
      </c>
      <c r="F922" s="2" t="s">
        <v>15</v>
      </c>
      <c r="G922" s="2" t="s">
        <v>2485</v>
      </c>
      <c r="H922" s="2" t="s">
        <v>184</v>
      </c>
      <c r="I922" s="2" t="str">
        <f>IFERROR(__xludf.DUMMYFUNCTION("GOOGLETRANSLATE(C922,""fr"",""en"")"),"Neoliane Assurance very serious, the very attractive prices, offers services adapted to your request, remind you of as soon as you need them and during the hours where you are available. We are very well guides during registration, very nice staff")</f>
        <v>Neoliane Assurance very serious, the very attractive prices, offers services adapted to your request, remind you of as soon as you need them and during the hours where you are available. We are very well guides during registration, very nice staff</v>
      </c>
    </row>
    <row r="923" ht="15.75" customHeight="1">
      <c r="B923" s="2" t="s">
        <v>2486</v>
      </c>
      <c r="C923" s="2" t="s">
        <v>2487</v>
      </c>
      <c r="D923" s="2" t="s">
        <v>1827</v>
      </c>
      <c r="E923" s="2" t="s">
        <v>360</v>
      </c>
      <c r="F923" s="2" t="s">
        <v>15</v>
      </c>
      <c r="G923" s="2" t="s">
        <v>2485</v>
      </c>
      <c r="H923" s="2" t="s">
        <v>184</v>
      </c>
      <c r="I923" s="2" t="str">
        <f>IFERROR(__xludf.DUMMYFUNCTION("GOOGLETRANSLATE(C923,""fr"",""en"")"),"Very well, Érika gives good advice, clear explanations. Accessible service, Super website, interesting concept, I would recommend you on the occasion.")</f>
        <v>Very well, Érika gives good advice, clear explanations. Accessible service, Super website, interesting concept, I would recommend you on the occasion.</v>
      </c>
    </row>
    <row r="924" ht="15.75" customHeight="1">
      <c r="B924" s="2" t="s">
        <v>2488</v>
      </c>
      <c r="C924" s="2" t="s">
        <v>2489</v>
      </c>
      <c r="D924" s="2" t="s">
        <v>1827</v>
      </c>
      <c r="E924" s="2" t="s">
        <v>360</v>
      </c>
      <c r="F924" s="2" t="s">
        <v>15</v>
      </c>
      <c r="G924" s="2" t="s">
        <v>184</v>
      </c>
      <c r="H924" s="2" t="s">
        <v>184</v>
      </c>
      <c r="I924" s="2" t="str">
        <f>IFERROR(__xludf.DUMMYFUNCTION("GOOGLETRANSLATE(C924,""fr"",""en"")"),"Perfect file management. I am completely satisfied, especially since they are treated very quickly and that the regulations are fast. Rare telephone exchanges are always very courteous and enriching.")</f>
        <v>Perfect file management. I am completely satisfied, especially since they are treated very quickly and that the regulations are fast. Rare telephone exchanges are always very courteous and enriching.</v>
      </c>
    </row>
    <row r="925" ht="15.75" customHeight="1">
      <c r="B925" s="2" t="s">
        <v>2490</v>
      </c>
      <c r="C925" s="2" t="s">
        <v>2491</v>
      </c>
      <c r="D925" s="2" t="s">
        <v>1827</v>
      </c>
      <c r="E925" s="2" t="s">
        <v>360</v>
      </c>
      <c r="F925" s="2" t="s">
        <v>15</v>
      </c>
      <c r="G925" s="2" t="s">
        <v>184</v>
      </c>
      <c r="H925" s="2" t="s">
        <v>184</v>
      </c>
      <c r="I925" s="2" t="str">
        <f>IFERROR(__xludf.DUMMYFUNCTION("GOOGLETRANSLATE(C925,""fr"",""en"")"),"Good follow -up, are well informed by Antar hoping that it lasts a long time, and especially that my mutual does not increase every year.")</f>
        <v>Good follow -up, are well informed by Antar hoping that it lasts a long time, and especially that my mutual does not increase every year.</v>
      </c>
    </row>
    <row r="926" ht="15.75" customHeight="1">
      <c r="B926" s="2" t="s">
        <v>2492</v>
      </c>
      <c r="C926" s="2" t="s">
        <v>2493</v>
      </c>
      <c r="D926" s="2" t="s">
        <v>1827</v>
      </c>
      <c r="E926" s="2" t="s">
        <v>360</v>
      </c>
      <c r="F926" s="2" t="s">
        <v>15</v>
      </c>
      <c r="G926" s="2" t="s">
        <v>2494</v>
      </c>
      <c r="H926" s="2" t="s">
        <v>188</v>
      </c>
      <c r="I926" s="2" t="str">
        <f>IFERROR(__xludf.DUMMYFUNCTION("GOOGLETRANSLATE(C926,""fr"",""en"")"),"very good communication")</f>
        <v>very good communication</v>
      </c>
    </row>
    <row r="927" ht="15.75" customHeight="1">
      <c r="B927" s="2" t="s">
        <v>2495</v>
      </c>
      <c r="C927" s="2" t="s">
        <v>2496</v>
      </c>
      <c r="D927" s="2" t="s">
        <v>1827</v>
      </c>
      <c r="E927" s="2" t="s">
        <v>360</v>
      </c>
      <c r="F927" s="2" t="s">
        <v>15</v>
      </c>
      <c r="G927" s="2" t="s">
        <v>2497</v>
      </c>
      <c r="H927" s="2" t="s">
        <v>188</v>
      </c>
      <c r="I927" s="2" t="str">
        <f>IFERROR(__xludf.DUMMYFUNCTION("GOOGLETRANSLATE(C927,""fr"",""en"")"),"Very satisfied with my interview with Lamia. She gave me all the necessary information.")</f>
        <v>Very satisfied with my interview with Lamia. She gave me all the necessary information.</v>
      </c>
    </row>
    <row r="928" ht="15.75" customHeight="1">
      <c r="B928" s="2" t="s">
        <v>2498</v>
      </c>
      <c r="C928" s="2" t="s">
        <v>2499</v>
      </c>
      <c r="D928" s="2" t="s">
        <v>1827</v>
      </c>
      <c r="E928" s="2" t="s">
        <v>360</v>
      </c>
      <c r="F928" s="2" t="s">
        <v>15</v>
      </c>
      <c r="G928" s="2" t="s">
        <v>2500</v>
      </c>
      <c r="H928" s="2" t="s">
        <v>188</v>
      </c>
      <c r="I928" s="2" t="str">
        <f>IFERROR(__xludf.DUMMYFUNCTION("GOOGLETRANSLATE(C928,""fr"",""en"")"),"Mutual health subscription, to see reimbursements over time")</f>
        <v>Mutual health subscription, to see reimbursements over time</v>
      </c>
    </row>
    <row r="929" ht="15.75" customHeight="1">
      <c r="B929" s="2" t="s">
        <v>2501</v>
      </c>
      <c r="C929" s="2" t="s">
        <v>2502</v>
      </c>
      <c r="D929" s="2" t="s">
        <v>1827</v>
      </c>
      <c r="E929" s="2" t="s">
        <v>360</v>
      </c>
      <c r="F929" s="2" t="s">
        <v>15</v>
      </c>
      <c r="G929" s="2" t="s">
        <v>2503</v>
      </c>
      <c r="H929" s="2" t="s">
        <v>188</v>
      </c>
      <c r="I929" s="2" t="str">
        <f>IFERROR(__xludf.DUMMYFUNCTION("GOOGLETRANSLATE(C929,""fr"",""en"")"),"The person I had is very competent, they explained to me very well in detail all the changes of my new insurance, and answered all my questions.")</f>
        <v>The person I had is very competent, they explained to me very well in detail all the changes of my new insurance, and answered all my questions.</v>
      </c>
    </row>
    <row r="930" ht="15.75" customHeight="1">
      <c r="B930" s="2" t="s">
        <v>2504</v>
      </c>
      <c r="C930" s="2" t="s">
        <v>2505</v>
      </c>
      <c r="D930" s="2" t="s">
        <v>1827</v>
      </c>
      <c r="E930" s="2" t="s">
        <v>360</v>
      </c>
      <c r="F930" s="2" t="s">
        <v>15</v>
      </c>
      <c r="G930" s="2" t="s">
        <v>2503</v>
      </c>
      <c r="H930" s="2" t="s">
        <v>188</v>
      </c>
      <c r="I930" s="2" t="str">
        <f>IFERROR(__xludf.DUMMYFUNCTION("GOOGLETRANSLATE(C930,""fr"",""en"")"),"Acceuile, always nice and clear in proposals and comparisons, and price it automatically has more than the Internet")</f>
        <v>Acceuile, always nice and clear in proposals and comparisons, and price it automatically has more than the Internet</v>
      </c>
    </row>
    <row r="931" ht="15.75" customHeight="1">
      <c r="B931" s="2" t="s">
        <v>2506</v>
      </c>
      <c r="C931" s="2" t="s">
        <v>2507</v>
      </c>
      <c r="D931" s="2" t="s">
        <v>1827</v>
      </c>
      <c r="E931" s="2" t="s">
        <v>360</v>
      </c>
      <c r="F931" s="2" t="s">
        <v>15</v>
      </c>
      <c r="G931" s="2" t="s">
        <v>2503</v>
      </c>
      <c r="H931" s="2" t="s">
        <v>188</v>
      </c>
      <c r="I931" s="2" t="str">
        <f>IFERROR(__xludf.DUMMYFUNCTION("GOOGLETRANSLATE(C931,""fr"",""en"")"),"Yesterday September 06, 2018 I was shot by a scrupulous broker of your products which pretended to be the official management center of the self -employed forcing me to sign a management contract by phone of course believer that the real management establ"&amp;"ishment it was, I Give the code received by SMS without making a contract for a 24 euro contract per month in addition it sends an out of the same SMS with an in addition to an additional contract of 20 euros or I do not send the code because I am Seen th"&amp;"at I was made to have the person called me she already knows my IBAN number I don't know how the person on the phone she is noticing that I notice that I want everything and hung me up to the nose is 44 euro of contract without anything ask I want any can"&amp;"cel")</f>
        <v>Yesterday September 06, 2018 I was shot by a scrupulous broker of your products which pretended to be the official management center of the self -employed forcing me to sign a management contract by phone of course believer that the real management establishment it was, I Give the code received by SMS without making a contract for a 24 euro contract per month in addition it sends an out of the same SMS with an in addition to an additional contract of 20 euros or I do not send the code because I am Seen that I was made to have the person called me she already knows my IBAN number I don't know how the person on the phone she is noticing that I notice that I want everything and hung me up to the nose is 44 euro of contract without anything ask I want any cancel</v>
      </c>
    </row>
    <row r="932" ht="15.75" customHeight="1">
      <c r="B932" s="2" t="s">
        <v>2508</v>
      </c>
      <c r="C932" s="2" t="s">
        <v>2509</v>
      </c>
      <c r="D932" s="2" t="s">
        <v>1827</v>
      </c>
      <c r="E932" s="2" t="s">
        <v>360</v>
      </c>
      <c r="F932" s="2" t="s">
        <v>15</v>
      </c>
      <c r="G932" s="2" t="s">
        <v>2510</v>
      </c>
      <c r="H932" s="2" t="s">
        <v>188</v>
      </c>
      <c r="I932" s="2" t="str">
        <f>IFERROR(__xludf.DUMMYFUNCTION("GOOGLETRANSLATE(C932,""fr"",""en"")"),"I was starting by phone on 06/09/2018 The broker to start talking to me about the CPAM I did not first make myself a letter that he had said to me to be sent and that I did not receive (response broker: loss of post) Verification of bank details !! But wh"&amp;"en I reacted it was too late it told me that the electronic signature was made. How can we abuse people at this point I would like to make my letter of withdrawal but do not have a member number to note I will oppose to My bank and if I can't have my memb"&amp;"er number I will do the necessary courts. So what are they honest and when they simply say that it is to offer us a mutual")</f>
        <v>I was starting by phone on 06/09/2018 The broker to start talking to me about the CPAM I did not first make myself a letter that he had said to me to be sent and that I did not receive (response broker: loss of post) Verification of bank details !! But when I reacted it was too late it told me that the electronic signature was made. How can we abuse people at this point I would like to make my letter of withdrawal but do not have a member number to note I will oppose to My bank and if I can't have my member number I will do the necessary courts. So what are they honest and when they simply say that it is to offer us a mutual</v>
      </c>
    </row>
    <row r="933" ht="15.75" customHeight="1">
      <c r="B933" s="2" t="s">
        <v>2511</v>
      </c>
      <c r="C933" s="2" t="s">
        <v>2512</v>
      </c>
      <c r="D933" s="2" t="s">
        <v>1827</v>
      </c>
      <c r="E933" s="2" t="s">
        <v>360</v>
      </c>
      <c r="F933" s="2" t="s">
        <v>15</v>
      </c>
      <c r="G933" s="2" t="s">
        <v>1555</v>
      </c>
      <c r="H933" s="2" t="s">
        <v>1033</v>
      </c>
      <c r="I933" s="2" t="str">
        <f>IFERROR(__xludf.DUMMYFUNCTION("GOOGLETRANSLATE(C933,""fr"",""en"")"),"As the mutual insurance company did not reimburse me and did not respond to my requests, I suspended 2 samples. They threaten me with litigation without having seen the problem on the bottom. Incredible !!!")</f>
        <v>As the mutual insurance company did not reimburse me and did not respond to my requests, I suspended 2 samples. They threaten me with litigation without having seen the problem on the bottom. Incredible !!!</v>
      </c>
    </row>
    <row r="934" ht="15.75" customHeight="1">
      <c r="B934" s="2" t="s">
        <v>2513</v>
      </c>
      <c r="C934" s="2" t="s">
        <v>2514</v>
      </c>
      <c r="D934" s="2" t="s">
        <v>1827</v>
      </c>
      <c r="E934" s="2" t="s">
        <v>360</v>
      </c>
      <c r="F934" s="2" t="s">
        <v>15</v>
      </c>
      <c r="G934" s="2" t="s">
        <v>2515</v>
      </c>
      <c r="H934" s="2" t="s">
        <v>1033</v>
      </c>
      <c r="I934" s="2" t="str">
        <f>IFERROR(__xludf.DUMMYFUNCTION("GOOGLETRANSLATE(C934,""fr"",""en"")"),"To strongly not recommend a disaster, dear to the sight of poor services. Follow very slow reimbursements, at deplorable rates, absent customer service.")</f>
        <v>To strongly not recommend a disaster, dear to the sight of poor services. Follow very slow reimbursements, at deplorable rates, absent customer service.</v>
      </c>
    </row>
    <row r="935" ht="15.75" customHeight="1">
      <c r="B935" s="2" t="s">
        <v>2516</v>
      </c>
      <c r="C935" s="2" t="s">
        <v>2517</v>
      </c>
      <c r="D935" s="2" t="s">
        <v>1827</v>
      </c>
      <c r="E935" s="2" t="s">
        <v>360</v>
      </c>
      <c r="F935" s="2" t="s">
        <v>15</v>
      </c>
      <c r="G935" s="2" t="s">
        <v>2518</v>
      </c>
      <c r="H935" s="2" t="s">
        <v>41</v>
      </c>
      <c r="I935" s="2" t="str">
        <f>IFERROR(__xludf.DUMMYFUNCTION("GOOGLETRANSLATE(C935,""fr"",""en"")"),"Today, on July 31, 2018, I have just been shocked by a scrupulous reseller of your products which was pretended to be the official official management center of the self -employed, forcing me to sign a management contract by telephone. Of course, believin"&amp;"g that it was the real management establishment, I accepted without being able to say a single question.
5 min later, I call him to retract (right of 14 days) and hang up on the nose saying that I could not do anything, and to see with Néoliane. I have j"&amp;"ust opposed the bank and send you an email to the complaint service!")</f>
        <v>Today, on July 31, 2018, I have just been shocked by a scrupulous reseller of your products which was pretended to be the official official management center of the self -employed, forcing me to sign a management contract by telephone. Of course, believing that it was the real management establishment, I accepted without being able to say a single question.
5 min later, I call him to retract (right of 14 days) and hang up on the nose saying that I could not do anything, and to see with Néoliane. I have just opposed the bank and send you an email to the complaint service!</v>
      </c>
    </row>
    <row r="936" ht="15.75" customHeight="1">
      <c r="B936" s="2" t="s">
        <v>2519</v>
      </c>
      <c r="C936" s="2" t="s">
        <v>2520</v>
      </c>
      <c r="D936" s="2" t="s">
        <v>1827</v>
      </c>
      <c r="E936" s="2" t="s">
        <v>360</v>
      </c>
      <c r="F936" s="2" t="s">
        <v>15</v>
      </c>
      <c r="G936" s="2" t="s">
        <v>2521</v>
      </c>
      <c r="H936" s="2" t="s">
        <v>41</v>
      </c>
      <c r="I936" s="2" t="str">
        <f>IFERROR(__xludf.DUMMYFUNCTION("GOOGLETRANSLATE(C936,""fr"",""en"")"),"I have subscribed to legal protection and a capital with Neoliane for 6 months already, I have already been able to benefit from a lawyer for several recovery, I am very happy to have a benefit of this aid for my little problems. ..")</f>
        <v>I have subscribed to legal protection and a capital with Neoliane for 6 months already, I have already been able to benefit from a lawyer for several recovery, I am very happy to have a benefit of this aid for my little problems. ..</v>
      </c>
    </row>
    <row r="937" ht="15.75" customHeight="1">
      <c r="B937" s="2" t="s">
        <v>2522</v>
      </c>
      <c r="C937" s="2" t="s">
        <v>2523</v>
      </c>
      <c r="D937" s="2" t="s">
        <v>1827</v>
      </c>
      <c r="E937" s="2" t="s">
        <v>360</v>
      </c>
      <c r="F937" s="2" t="s">
        <v>15</v>
      </c>
      <c r="G937" s="2" t="s">
        <v>2524</v>
      </c>
      <c r="H937" s="2" t="s">
        <v>1040</v>
      </c>
      <c r="I937" s="2" t="str">
        <f>IFERROR(__xludf.DUMMYFUNCTION("GOOGLETRANSLATE(C937,""fr"",""en"")"),"Following a comparison on the Internet, Santiane contacts me by telling me that he was going to terminate my old contract while ensuring better care. Today I have 2 mutuals (the old one has not been terminated), but above all I am still awaiting reimburse"&amp;"ments. Contract signed in March 2017, automatic renewal from December 2017 and for the year 2018, when I wanted to terminate following the renewal, it was refused because it was not a year that I was at home. Currently, following 2 messages + a letter wit"&amp;"h acknowledgment of receipt, I am still awaiting reimbursement for my hospital compensation. It is to ask if it reads their messaging and process their files correctly, because I still have not received the slightest notification from them ??? To believe "&amp;"that when we mean to them that we want to leave them, they no longer reimburse you, nor communicate with you, they ignore you. What a shame !!")</f>
        <v>Following a comparison on the Internet, Santiane contacts me by telling me that he was going to terminate my old contract while ensuring better care. Today I have 2 mutuals (the old one has not been terminated), but above all I am still awaiting reimbursements. Contract signed in March 2017, automatic renewal from December 2017 and for the year 2018, when I wanted to terminate following the renewal, it was refused because it was not a year that I was at home. Currently, following 2 messages + a letter with acknowledgment of receipt, I am still awaiting reimbursement for my hospital compensation. It is to ask if it reads their messaging and process their files correctly, because I still have not received the slightest notification from them ??? To believe that when we mean to them that we want to leave them, they no longer reimburse you, nor communicate with you, they ignore you. What a shame !!</v>
      </c>
    </row>
    <row r="938" ht="15.75" customHeight="1">
      <c r="B938" s="2" t="s">
        <v>2525</v>
      </c>
      <c r="C938" s="2" t="s">
        <v>2526</v>
      </c>
      <c r="D938" s="2" t="s">
        <v>1827</v>
      </c>
      <c r="E938" s="2" t="s">
        <v>360</v>
      </c>
      <c r="F938" s="2" t="s">
        <v>15</v>
      </c>
      <c r="G938" s="2" t="s">
        <v>1053</v>
      </c>
      <c r="H938" s="2" t="s">
        <v>1040</v>
      </c>
      <c r="I938" s="2" t="str">
        <f>IFERROR(__xludf.DUMMYFUNCTION("GOOGLETRANSLATE(C938,""fr"",""en"")"),"Good coverage that meets my needs without being excessively expensive")</f>
        <v>Good coverage that meets my needs without being excessively expensive</v>
      </c>
    </row>
    <row r="939" ht="15.75" customHeight="1">
      <c r="B939" s="2" t="s">
        <v>2527</v>
      </c>
      <c r="C939" s="2" t="s">
        <v>2528</v>
      </c>
      <c r="D939" s="2" t="s">
        <v>1827</v>
      </c>
      <c r="E939" s="2" t="s">
        <v>360</v>
      </c>
      <c r="F939" s="2" t="s">
        <v>15</v>
      </c>
      <c r="G939" s="2" t="s">
        <v>2529</v>
      </c>
      <c r="H939" s="2" t="s">
        <v>1040</v>
      </c>
      <c r="I939" s="2" t="str">
        <f>IFERROR(__xludf.DUMMYFUNCTION("GOOGLETRANSLATE(C939,""fr"",""en"")"),"My interlocutors from Santiane are always available and welcoming and good advice. My reimbursements by Teletransmissions are going very well. By cons I find that the optics are not reimbursed enough.")</f>
        <v>My interlocutors from Santiane are always available and welcoming and good advice. My reimbursements by Teletransmissions are going very well. By cons I find that the optics are not reimbursed enough.</v>
      </c>
    </row>
    <row r="940" ht="15.75" customHeight="1">
      <c r="B940" s="2" t="s">
        <v>2530</v>
      </c>
      <c r="C940" s="2" t="s">
        <v>2531</v>
      </c>
      <c r="D940" s="2" t="s">
        <v>1827</v>
      </c>
      <c r="E940" s="2" t="s">
        <v>360</v>
      </c>
      <c r="F940" s="2" t="s">
        <v>15</v>
      </c>
      <c r="G940" s="2" t="s">
        <v>2532</v>
      </c>
      <c r="H940" s="2" t="s">
        <v>1040</v>
      </c>
      <c r="I940" s="2" t="str">
        <f>IFERROR(__xludf.DUMMYFUNCTION("GOOGLETRANSLATE(C940,""fr"",""en"")"),"I have nothing to say if it is not the optics that is light .....? ......")</f>
        <v>I have nothing to say if it is not the optics that is light .....? ......</v>
      </c>
    </row>
    <row r="941" ht="15.75" customHeight="1">
      <c r="B941" s="2" t="s">
        <v>2533</v>
      </c>
      <c r="C941" s="2" t="s">
        <v>2534</v>
      </c>
      <c r="D941" s="2" t="s">
        <v>1827</v>
      </c>
      <c r="E941" s="2" t="s">
        <v>360</v>
      </c>
      <c r="F941" s="2" t="s">
        <v>15</v>
      </c>
      <c r="G941" s="2" t="s">
        <v>2532</v>
      </c>
      <c r="H941" s="2" t="s">
        <v>1040</v>
      </c>
      <c r="I941" s="2" t="str">
        <f>IFERROR(__xludf.DUMMYFUNCTION("GOOGLETRANSLATE(C941,""fr"",""en"")"),"To flee, price A + 10% per year with reduction in guarantees. 6 months to repay in too perceived after lrar.
Deplorable, incompetent, they fuck customers, must have too much.
Very bad experience of at least 5 years.")</f>
        <v>To flee, price A + 10% per year with reduction in guarantees. 6 months to repay in too perceived after lrar.
Deplorable, incompetent, they fuck customers, must have too much.
Very bad experience of at least 5 years.</v>
      </c>
    </row>
    <row r="942" ht="15.75" customHeight="1">
      <c r="B942" s="2" t="s">
        <v>2535</v>
      </c>
      <c r="C942" s="2" t="s">
        <v>2536</v>
      </c>
      <c r="D942" s="2" t="s">
        <v>1827</v>
      </c>
      <c r="E942" s="2" t="s">
        <v>360</v>
      </c>
      <c r="F942" s="2" t="s">
        <v>15</v>
      </c>
      <c r="G942" s="2" t="s">
        <v>2532</v>
      </c>
      <c r="H942" s="2" t="s">
        <v>1040</v>
      </c>
      <c r="I942" s="2" t="str">
        <f>IFERROR(__xludf.DUMMYFUNCTION("GOOGLETRANSLATE(C942,""fr"",""en"")"),"Call to lower my father's insurance.
Very good advice. Melanie ++++
Call to lower my father's insurance price.
Very good advice. Melanie ++++")</f>
        <v>Call to lower my father's insurance.
Very good advice. Melanie ++++
Call to lower my father's insurance price.
Very good advice. Melanie ++++</v>
      </c>
    </row>
    <row r="943" ht="15.75" customHeight="1">
      <c r="B943" s="2" t="s">
        <v>2537</v>
      </c>
      <c r="C943" s="2" t="s">
        <v>2538</v>
      </c>
      <c r="D943" s="2" t="s">
        <v>1827</v>
      </c>
      <c r="E943" s="2" t="s">
        <v>360</v>
      </c>
      <c r="F943" s="2" t="s">
        <v>15</v>
      </c>
      <c r="G943" s="2" t="s">
        <v>2539</v>
      </c>
      <c r="H943" s="2" t="s">
        <v>1040</v>
      </c>
      <c r="I943" s="2" t="str">
        <f>IFERROR(__xludf.DUMMYFUNCTION("GOOGLETRANSLATE(C943,""fr"",""en"")"),"Good")</f>
        <v>Good</v>
      </c>
    </row>
    <row r="944" ht="15.75" customHeight="1">
      <c r="B944" s="2" t="s">
        <v>2540</v>
      </c>
      <c r="C944" s="2" t="s">
        <v>2541</v>
      </c>
      <c r="D944" s="2" t="s">
        <v>1827</v>
      </c>
      <c r="E944" s="2" t="s">
        <v>360</v>
      </c>
      <c r="F944" s="2" t="s">
        <v>15</v>
      </c>
      <c r="G944" s="2" t="s">
        <v>2539</v>
      </c>
      <c r="H944" s="2" t="s">
        <v>1040</v>
      </c>
      <c r="I944" s="2" t="str">
        <f>IFERROR(__xludf.DUMMYFUNCTION("GOOGLETRANSLATE(C944,""fr"",""en"")"),"Price and warranty - Termination assistance .......................................... .................................................. .............................................")</f>
        <v>Price and warranty - Termination assistance .......................................... .................................................. .............................................</v>
      </c>
    </row>
    <row r="945" ht="15.75" customHeight="1">
      <c r="B945" s="2" t="s">
        <v>2542</v>
      </c>
      <c r="C945" s="2" t="s">
        <v>2543</v>
      </c>
      <c r="D945" s="2" t="s">
        <v>1827</v>
      </c>
      <c r="E945" s="2" t="s">
        <v>360</v>
      </c>
      <c r="F945" s="2" t="s">
        <v>15</v>
      </c>
      <c r="G945" s="2" t="s">
        <v>1040</v>
      </c>
      <c r="H945" s="2" t="s">
        <v>1040</v>
      </c>
      <c r="I945" s="2" t="str">
        <f>IFERROR(__xludf.DUMMYFUNCTION("GOOGLETRANSLATE(C945,""fr"",""en"")"),"Good mutual insurance very listening try to guide us at best very nice patient")</f>
        <v>Good mutual insurance very listening try to guide us at best very nice patient</v>
      </c>
    </row>
    <row r="946" ht="15.75" customHeight="1">
      <c r="B946" s="2" t="s">
        <v>2544</v>
      </c>
      <c r="C946" s="2" t="s">
        <v>2545</v>
      </c>
      <c r="D946" s="2" t="s">
        <v>1827</v>
      </c>
      <c r="E946" s="2" t="s">
        <v>360</v>
      </c>
      <c r="F946" s="2" t="s">
        <v>15</v>
      </c>
      <c r="G946" s="2" t="s">
        <v>1040</v>
      </c>
      <c r="H946" s="2" t="s">
        <v>1040</v>
      </c>
      <c r="I946" s="2" t="str">
        <f>IFERROR(__xludf.DUMMYFUNCTION("GOOGLETRANSLATE(C946,""fr"",""en"")"),"Customer service very attentive, advantageous, attractive rates no very rapid reimbursement.")</f>
        <v>Customer service very attentive, advantageous, attractive rates no very rapid reimbursement.</v>
      </c>
    </row>
    <row r="947" ht="15.75" customHeight="1">
      <c r="B947" s="2" t="s">
        <v>2546</v>
      </c>
      <c r="C947" s="2" t="s">
        <v>2547</v>
      </c>
      <c r="D947" s="2" t="s">
        <v>1827</v>
      </c>
      <c r="E947" s="2" t="s">
        <v>360</v>
      </c>
      <c r="F947" s="2" t="s">
        <v>15</v>
      </c>
      <c r="G947" s="2" t="s">
        <v>2548</v>
      </c>
      <c r="H947" s="2" t="s">
        <v>45</v>
      </c>
      <c r="I947" s="2" t="str">
        <f>IFERROR(__xludf.DUMMYFUNCTION("GOOGLETRANSLATE(C947,""fr"",""en"")"),"I am very satisfied with the neolian services and the quality of listening to the client advisers.
")</f>
        <v>I am very satisfied with the neolian services and the quality of listening to the client advisers.
</v>
      </c>
    </row>
    <row r="948" ht="15.75" customHeight="1">
      <c r="B948" s="2" t="s">
        <v>2549</v>
      </c>
      <c r="C948" s="2" t="s">
        <v>2550</v>
      </c>
      <c r="D948" s="2" t="s">
        <v>1827</v>
      </c>
      <c r="E948" s="2" t="s">
        <v>360</v>
      </c>
      <c r="F948" s="2" t="s">
        <v>15</v>
      </c>
      <c r="G948" s="2" t="s">
        <v>1056</v>
      </c>
      <c r="H948" s="2" t="s">
        <v>45</v>
      </c>
      <c r="I948" s="2" t="str">
        <f>IFERROR(__xludf.DUMMYFUNCTION("GOOGLETRANSLATE(C948,""fr"",""en"")"),"The reimbursement service is to the point, the effective and kind telephone reception, interesting formulas")</f>
        <v>The reimbursement service is to the point, the effective and kind telephone reception, interesting formulas</v>
      </c>
    </row>
    <row r="949" ht="15.75" customHeight="1">
      <c r="B949" s="2" t="s">
        <v>2551</v>
      </c>
      <c r="C949" s="2" t="s">
        <v>2552</v>
      </c>
      <c r="D949" s="2" t="s">
        <v>1827</v>
      </c>
      <c r="E949" s="2" t="s">
        <v>360</v>
      </c>
      <c r="F949" s="2" t="s">
        <v>15</v>
      </c>
      <c r="G949" s="2" t="s">
        <v>1056</v>
      </c>
      <c r="H949" s="2" t="s">
        <v>45</v>
      </c>
      <c r="I949" s="2" t="str">
        <f>IFERROR(__xludf.DUMMYFUNCTION("GOOGLETRANSLATE(C949,""fr"",""en"")"),"Very responsive people on the phone are very pleasant and the very precious advice to have them at almost every hour is very good for people like me, that is to say very active")</f>
        <v>Very responsive people on the phone are very pleasant and the very precious advice to have them at almost every hour is very good for people like me, that is to say very active</v>
      </c>
    </row>
    <row r="950" ht="15.75" customHeight="1">
      <c r="B950" s="2" t="s">
        <v>2553</v>
      </c>
      <c r="C950" s="2" t="s">
        <v>2554</v>
      </c>
      <c r="D950" s="2" t="s">
        <v>1827</v>
      </c>
      <c r="E950" s="2" t="s">
        <v>360</v>
      </c>
      <c r="F950" s="2" t="s">
        <v>15</v>
      </c>
      <c r="G950" s="2" t="s">
        <v>2555</v>
      </c>
      <c r="H950" s="2" t="s">
        <v>45</v>
      </c>
      <c r="I950" s="2" t="str">
        <f>IFERROR(__xludf.DUMMYFUNCTION("GOOGLETRANSLATE(C950,""fr"",""en"")"),"Ai finds the good mutual insurance perfect for the cover and the prices are very interesting by comparisons")</f>
        <v>Ai finds the good mutual insurance perfect for the cover and the prices are very interesting by comparisons</v>
      </c>
    </row>
    <row r="951" ht="15.75" customHeight="1">
      <c r="B951" s="2" t="s">
        <v>2556</v>
      </c>
      <c r="C951" s="2" t="s">
        <v>2557</v>
      </c>
      <c r="D951" s="2" t="s">
        <v>1827</v>
      </c>
      <c r="E951" s="2" t="s">
        <v>360</v>
      </c>
      <c r="F951" s="2" t="s">
        <v>15</v>
      </c>
      <c r="G951" s="2" t="s">
        <v>2558</v>
      </c>
      <c r="H951" s="2" t="s">
        <v>45</v>
      </c>
      <c r="I951" s="2" t="str">
        <f>IFERROR(__xludf.DUMMYFUNCTION("GOOGLETRANSLATE(C951,""fr"",""en"")"),"To register, it goes very quickly.
In terms of repayment, nothing very exceptional.
To unsubscribe, on the other hand is another story.
I am currently paying the administrative error that has been made on my file.
")</f>
        <v>To register, it goes very quickly.
In terms of repayment, nothing very exceptional.
To unsubscribe, on the other hand is another story.
I am currently paying the administrative error that has been made on my file.
</v>
      </c>
    </row>
    <row r="952" ht="15.75" customHeight="1">
      <c r="B952" s="2" t="s">
        <v>2559</v>
      </c>
      <c r="C952" s="2" t="s">
        <v>2560</v>
      </c>
      <c r="D952" s="2" t="s">
        <v>1827</v>
      </c>
      <c r="E952" s="2" t="s">
        <v>360</v>
      </c>
      <c r="F952" s="2" t="s">
        <v>15</v>
      </c>
      <c r="G952" s="2" t="s">
        <v>2561</v>
      </c>
      <c r="H952" s="2" t="s">
        <v>45</v>
      </c>
      <c r="I952" s="2" t="str">
        <f>IFERROR(__xludf.DUMMYFUNCTION("GOOGLETRANSLATE(C952,""fr"",""en"")"),"competent interlocutor")</f>
        <v>competent interlocutor</v>
      </c>
    </row>
    <row r="953" ht="15.75" customHeight="1">
      <c r="B953" s="2" t="s">
        <v>2562</v>
      </c>
      <c r="C953" s="2" t="s">
        <v>2563</v>
      </c>
      <c r="D953" s="2" t="s">
        <v>1827</v>
      </c>
      <c r="E953" s="2" t="s">
        <v>360</v>
      </c>
      <c r="F953" s="2" t="s">
        <v>15</v>
      </c>
      <c r="G953" s="2" t="s">
        <v>1059</v>
      </c>
      <c r="H953" s="2" t="s">
        <v>45</v>
      </c>
      <c r="I953" s="2" t="str">
        <f>IFERROR(__xludf.DUMMYFUNCTION("GOOGLETRANSLATE(C953,""fr"",""en"")"),"Not happy with this mutual")</f>
        <v>Not happy with this mutual</v>
      </c>
    </row>
    <row r="954" ht="15.75" customHeight="1">
      <c r="B954" s="2" t="s">
        <v>2564</v>
      </c>
      <c r="C954" s="2" t="s">
        <v>2565</v>
      </c>
      <c r="D954" s="2" t="s">
        <v>1827</v>
      </c>
      <c r="E954" s="2" t="s">
        <v>360</v>
      </c>
      <c r="F954" s="2" t="s">
        <v>15</v>
      </c>
      <c r="G954" s="2" t="s">
        <v>2566</v>
      </c>
      <c r="H954" s="2" t="s">
        <v>45</v>
      </c>
      <c r="I954" s="2" t="str">
        <f>IFERROR(__xludf.DUMMYFUNCTION("GOOGLETRANSLATE(C954,""fr"",""en"")"),"No reimbursement since October 2017, on the other hand the samples are well made every month. They lack the certificate of rights, and currently I have to provide them with all the social security accounts .... what a shame !!!")</f>
        <v>No reimbursement since October 2017, on the other hand the samples are well made every month. They lack the certificate of rights, and currently I have to provide them with all the social security accounts .... what a shame !!!</v>
      </c>
    </row>
    <row r="955" ht="15.75" customHeight="1">
      <c r="B955" s="2" t="s">
        <v>2567</v>
      </c>
      <c r="C955" s="2" t="s">
        <v>2568</v>
      </c>
      <c r="D955" s="2" t="s">
        <v>1827</v>
      </c>
      <c r="E955" s="2" t="s">
        <v>360</v>
      </c>
      <c r="F955" s="2" t="s">
        <v>15</v>
      </c>
      <c r="G955" s="2" t="s">
        <v>2569</v>
      </c>
      <c r="H955" s="2" t="s">
        <v>297</v>
      </c>
      <c r="I955" s="2" t="str">
        <f>IFERROR(__xludf.DUMMYFUNCTION("GOOGLETRANSLATE(C955,""fr"",""en"")"),"Completely satisfied with the telephone contact, I appreciated that my subscription is reduced. The explanations provided by my telephone contact were perfectly clear and have gone beyond my expectations.")</f>
        <v>Completely satisfied with the telephone contact, I appreciated that my subscription is reduced. The explanations provided by my telephone contact were perfectly clear and have gone beyond my expectations.</v>
      </c>
    </row>
    <row r="956" ht="15.75" customHeight="1">
      <c r="B956" s="2" t="s">
        <v>2570</v>
      </c>
      <c r="C956" s="2" t="s">
        <v>2571</v>
      </c>
      <c r="D956" s="2" t="s">
        <v>1827</v>
      </c>
      <c r="E956" s="2" t="s">
        <v>360</v>
      </c>
      <c r="F956" s="2" t="s">
        <v>15</v>
      </c>
      <c r="G956" s="2" t="s">
        <v>2569</v>
      </c>
      <c r="H956" s="2" t="s">
        <v>297</v>
      </c>
      <c r="I956" s="2" t="str">
        <f>IFERROR(__xludf.DUMMYFUNCTION("GOOGLETRANSLATE(C956,""fr"",""en"")"),"Good mutual with satisfactory price guarantees still a little high but in the means of all other mutuals .............................. ....................................................")</f>
        <v>Good mutual with satisfactory price guarantees still a little high but in the means of all other mutuals .............................. ....................................................</v>
      </c>
    </row>
    <row r="957" ht="15.75" customHeight="1">
      <c r="B957" s="2" t="s">
        <v>2572</v>
      </c>
      <c r="C957" s="2" t="s">
        <v>2573</v>
      </c>
      <c r="D957" s="2" t="s">
        <v>1827</v>
      </c>
      <c r="E957" s="2" t="s">
        <v>360</v>
      </c>
      <c r="F957" s="2" t="s">
        <v>15</v>
      </c>
      <c r="G957" s="2" t="s">
        <v>2574</v>
      </c>
      <c r="H957" s="2" t="s">
        <v>297</v>
      </c>
      <c r="I957" s="2" t="str">
        <f>IFERROR(__xludf.DUMMYFUNCTION("GOOGLETRANSLATE(C957,""fr"",""en"")"),"Good mutual ................................")</f>
        <v>Good mutual ................................</v>
      </c>
    </row>
    <row r="958" ht="15.75" customHeight="1">
      <c r="B958" s="2" t="s">
        <v>2575</v>
      </c>
      <c r="C958" s="2" t="s">
        <v>2576</v>
      </c>
      <c r="D958" s="2" t="s">
        <v>1827</v>
      </c>
      <c r="E958" s="2" t="s">
        <v>360</v>
      </c>
      <c r="F958" s="2" t="s">
        <v>15</v>
      </c>
      <c r="G958" s="2" t="s">
        <v>2574</v>
      </c>
      <c r="H958" s="2" t="s">
        <v>297</v>
      </c>
      <c r="I958" s="2" t="str">
        <f>IFERROR(__xludf.DUMMYFUNCTION("GOOGLETRANSLATE(C958,""fr"",""en"")"),"I received very good advice
Excellent welcome
It's perfect")</f>
        <v>I received very good advice
Excellent welcome
It's perfect</v>
      </c>
    </row>
    <row r="959" ht="15.75" customHeight="1">
      <c r="B959" s="2" t="s">
        <v>2577</v>
      </c>
      <c r="C959" s="2" t="s">
        <v>2578</v>
      </c>
      <c r="D959" s="2" t="s">
        <v>1827</v>
      </c>
      <c r="E959" s="2" t="s">
        <v>360</v>
      </c>
      <c r="F959" s="2" t="s">
        <v>15</v>
      </c>
      <c r="G959" s="2" t="s">
        <v>1065</v>
      </c>
      <c r="H959" s="2" t="s">
        <v>297</v>
      </c>
      <c r="I959" s="2" t="str">
        <f>IFERROR(__xludf.DUMMYFUNCTION("GOOGLETRANSLATE(C959,""fr"",""en"")"),"Customer since 2013 still well guaranteed.
good reimbursements. good contact")</f>
        <v>Customer since 2013 still well guaranteed.
good reimbursements. good contact</v>
      </c>
    </row>
    <row r="960" ht="15.75" customHeight="1">
      <c r="B960" s="2" t="s">
        <v>2579</v>
      </c>
      <c r="C960" s="2" t="s">
        <v>2580</v>
      </c>
      <c r="D960" s="2" t="s">
        <v>1827</v>
      </c>
      <c r="E960" s="2" t="s">
        <v>360</v>
      </c>
      <c r="F960" s="2" t="s">
        <v>15</v>
      </c>
      <c r="G960" s="2" t="s">
        <v>1065</v>
      </c>
      <c r="H960" s="2" t="s">
        <v>297</v>
      </c>
      <c r="I960" s="2" t="str">
        <f>IFERROR(__xludf.DUMMYFUNCTION("GOOGLETRANSLATE(C960,""fr"",""en"")"),"Satisfaction since 2013")</f>
        <v>Satisfaction since 2013</v>
      </c>
    </row>
    <row r="961" ht="15.75" customHeight="1">
      <c r="B961" s="2" t="s">
        <v>2581</v>
      </c>
      <c r="C961" s="2" t="s">
        <v>2582</v>
      </c>
      <c r="D961" s="2" t="s">
        <v>1827</v>
      </c>
      <c r="E961" s="2" t="s">
        <v>360</v>
      </c>
      <c r="F961" s="2" t="s">
        <v>15</v>
      </c>
      <c r="G961" s="2" t="s">
        <v>1065</v>
      </c>
      <c r="H961" s="2" t="s">
        <v>297</v>
      </c>
      <c r="I961" s="2" t="str">
        <f>IFERROR(__xludf.DUMMYFUNCTION("GOOGLETRANSLATE(C961,""fr"",""en"")"),"I am satisfied with the services and the card .............. ........................... .................................................. ............. ..................................... .................................................. ............"&amp;"...................................... .................................................. ..............................")</f>
        <v>I am satisfied with the services and the card .............. ........................... .................................................. ............. ..................................... .................................................. .................................................. .................................................. ..............................</v>
      </c>
    </row>
    <row r="962" ht="15.75" customHeight="1">
      <c r="B962" s="2" t="s">
        <v>2583</v>
      </c>
      <c r="C962" s="2" t="s">
        <v>2584</v>
      </c>
      <c r="D962" s="2" t="s">
        <v>1827</v>
      </c>
      <c r="E962" s="2" t="s">
        <v>360</v>
      </c>
      <c r="F962" s="2" t="s">
        <v>15</v>
      </c>
      <c r="G962" s="2" t="s">
        <v>2585</v>
      </c>
      <c r="H962" s="2" t="s">
        <v>297</v>
      </c>
      <c r="I962" s="2" t="str">
        <f>IFERROR(__xludf.DUMMYFUNCTION("GOOGLETRANSLATE(C962,""fr"",""en"")"),"Nice and professional advisor .................................................. .................................................. .................................................. ........................")</f>
        <v>Nice and professional advisor .................................................. .................................................. .................................................. ........................</v>
      </c>
    </row>
    <row r="963" ht="15.75" customHeight="1">
      <c r="B963" s="2" t="s">
        <v>2586</v>
      </c>
      <c r="C963" s="2" t="s">
        <v>2587</v>
      </c>
      <c r="D963" s="2" t="s">
        <v>1827</v>
      </c>
      <c r="E963" s="2" t="s">
        <v>360</v>
      </c>
      <c r="F963" s="2" t="s">
        <v>15</v>
      </c>
      <c r="G963" s="2" t="s">
        <v>296</v>
      </c>
      <c r="H963" s="2" t="s">
        <v>297</v>
      </c>
      <c r="I963" s="2" t="str">
        <f>IFERROR(__xludf.DUMMYFUNCTION("GOOGLETRANSLATE(C963,""fr"",""en"")"),"Excellent telephone contact with your agent - very relevant advice that led me to make an immediate decision - Thanks to Santia")</f>
        <v>Excellent telephone contact with your agent - very relevant advice that led me to make an immediate decision - Thanks to Santia</v>
      </c>
    </row>
    <row r="964" ht="15.75" customHeight="1">
      <c r="B964" s="2" t="s">
        <v>2588</v>
      </c>
      <c r="C964" s="2" t="s">
        <v>2589</v>
      </c>
      <c r="D964" s="2" t="s">
        <v>1827</v>
      </c>
      <c r="E964" s="2" t="s">
        <v>360</v>
      </c>
      <c r="F964" s="2" t="s">
        <v>15</v>
      </c>
      <c r="G964" s="2" t="s">
        <v>296</v>
      </c>
      <c r="H964" s="2" t="s">
        <v>297</v>
      </c>
      <c r="I964" s="2" t="str">
        <f>IFERROR(__xludf.DUMMYFUNCTION("GOOGLETRANSLATE(C964,""fr"",""en"")"),"Very positive opinion when the services offered, adaptable to my status, availability of customer advisers")</f>
        <v>Very positive opinion when the services offered, adaptable to my status, availability of customer advisers</v>
      </c>
    </row>
    <row r="965" ht="15.75" customHeight="1">
      <c r="B965" s="2" t="s">
        <v>2590</v>
      </c>
      <c r="C965" s="2" t="s">
        <v>2591</v>
      </c>
      <c r="D965" s="2" t="s">
        <v>1827</v>
      </c>
      <c r="E965" s="2" t="s">
        <v>360</v>
      </c>
      <c r="F965" s="2" t="s">
        <v>15</v>
      </c>
      <c r="G965" s="2" t="s">
        <v>2592</v>
      </c>
      <c r="H965" s="2" t="s">
        <v>297</v>
      </c>
      <c r="I965" s="2" t="str">
        <f>IFERROR(__xludf.DUMMYFUNCTION("GOOGLETRANSLATE(C965,""fr"",""en"")"),"Very satisfied with the services. Simole and good help the share of advisers")</f>
        <v>Very satisfied with the services. Simole and good help the share of advisers</v>
      </c>
    </row>
    <row r="966" ht="15.75" customHeight="1">
      <c r="B966" s="2" t="s">
        <v>2593</v>
      </c>
      <c r="C966" s="2" t="s">
        <v>2594</v>
      </c>
      <c r="D966" s="2" t="s">
        <v>1827</v>
      </c>
      <c r="E966" s="2" t="s">
        <v>360</v>
      </c>
      <c r="F966" s="2" t="s">
        <v>15</v>
      </c>
      <c r="G966" s="2" t="s">
        <v>2595</v>
      </c>
      <c r="H966" s="2" t="s">
        <v>297</v>
      </c>
      <c r="I966" s="2" t="str">
        <f>IFERROR(__xludf.DUMMYFUNCTION("GOOGLETRANSLATE(C966,""fr"",""en"")"),"Since 2013 the care has been reimbursed the prices have been correct since this intervention telephone")</f>
        <v>Since 2013 the care has been reimbursed the prices have been correct since this intervention telephone</v>
      </c>
    </row>
    <row r="967" ht="15.75" customHeight="1">
      <c r="B967" s="2" t="s">
        <v>2596</v>
      </c>
      <c r="C967" s="2" t="s">
        <v>2597</v>
      </c>
      <c r="D967" s="2" t="s">
        <v>1827</v>
      </c>
      <c r="E967" s="2" t="s">
        <v>360</v>
      </c>
      <c r="F967" s="2" t="s">
        <v>15</v>
      </c>
      <c r="G967" s="2" t="s">
        <v>2598</v>
      </c>
      <c r="H967" s="2" t="s">
        <v>201</v>
      </c>
      <c r="I967" s="2" t="str">
        <f>IFERROR(__xludf.DUMMYFUNCTION("GOOGLETRANSLATE(C967,""fr"",""en"")"),"Following a dispute, concerning a request for cancellation of membership by a broker on the phone.")</f>
        <v>Following a dispute, concerning a request for cancellation of membership by a broker on the phone.</v>
      </c>
    </row>
    <row r="968" ht="15.75" customHeight="1">
      <c r="B968" s="2" t="s">
        <v>2599</v>
      </c>
      <c r="C968" s="2" t="s">
        <v>2600</v>
      </c>
      <c r="D968" s="2" t="s">
        <v>1827</v>
      </c>
      <c r="E968" s="2" t="s">
        <v>360</v>
      </c>
      <c r="F968" s="2" t="s">
        <v>15</v>
      </c>
      <c r="G968" s="2" t="s">
        <v>2601</v>
      </c>
      <c r="H968" s="2" t="s">
        <v>201</v>
      </c>
      <c r="I968" s="2" t="str">
        <f>IFERROR(__xludf.DUMMYFUNCTION("GOOGLETRANSLATE(C968,""fr"",""en"")"),"Hello, I received a phone call from a messieur supposedly mandated by the MSA, following the opening of my business, no time to place a word that he asks me my rib, he tells me that this is Compulsory for any new company, after information MSA Mandates No"&amp;" mutual, sends a registered letter with AR and tomorrow filing of complaints to the gendarmerie, because I find it ashamed to pass for another person in order to obtain this that we want. Opposition of the samples and I am waiting for the following events"&amp;".")</f>
        <v>Hello, I received a phone call from a messieur supposedly mandated by the MSA, following the opening of my business, no time to place a word that he asks me my rib, he tells me that this is Compulsory for any new company, after information MSA Mandates No mutual, sends a registered letter with AR and tomorrow filing of complaints to the gendarmerie, because I find it ashamed to pass for another person in order to obtain this that we want. Opposition of the samples and I am waiting for the following events.</v>
      </c>
    </row>
    <row r="969" ht="15.75" customHeight="1">
      <c r="B969" s="2" t="s">
        <v>2602</v>
      </c>
      <c r="C969" s="2" t="s">
        <v>2603</v>
      </c>
      <c r="D969" s="2" t="s">
        <v>1827</v>
      </c>
      <c r="E969" s="2" t="s">
        <v>360</v>
      </c>
      <c r="F969" s="2" t="s">
        <v>15</v>
      </c>
      <c r="G969" s="2" t="s">
        <v>2604</v>
      </c>
      <c r="H969" s="2" t="s">
        <v>201</v>
      </c>
      <c r="I969" s="2" t="str">
        <f>IFERROR(__xludf.DUMMYFUNCTION("GOOGLETRANSLATE(C969,""fr"",""en"")"),"I am not a customer at home, however for two months I have samples from my account it is intolerable, I phone I write I send email no answer. I want the reimbursements of these samples that has lasted enough")</f>
        <v>I am not a customer at home, however for two months I have samples from my account it is intolerable, I phone I write I send email no answer. I want the reimbursements of these samples that has lasted enough</v>
      </c>
    </row>
    <row r="970" ht="15.75" customHeight="1">
      <c r="B970" s="2" t="s">
        <v>2605</v>
      </c>
      <c r="C970" s="2" t="s">
        <v>2606</v>
      </c>
      <c r="D970" s="2" t="s">
        <v>1827</v>
      </c>
      <c r="E970" s="2" t="s">
        <v>360</v>
      </c>
      <c r="F970" s="2" t="s">
        <v>15</v>
      </c>
      <c r="G970" s="2" t="s">
        <v>2604</v>
      </c>
      <c r="H970" s="2" t="s">
        <v>201</v>
      </c>
      <c r="I970" s="2" t="str">
        <f>IFERROR(__xludf.DUMMYFUNCTION("GOOGLETRANSLATE(C970,""fr"",""en"")"),"Canvassing following a request for information The broker had me signed a contract without terminating my former mutual and Neoliane started to take and I paid in January 2018 2 contributions impossible to be reimbursed so far alone Reporting my contract "&amp;"next year in 2019 unreachable broker and at Neoliane I walk from services to services a real hostage taking is a shame to do this to an elderly person who a small retirement")</f>
        <v>Canvassing following a request for information The broker had me signed a contract without terminating my former mutual and Neoliane started to take and I paid in January 2018 2 contributions impossible to be reimbursed so far alone Reporting my contract next year in 2019 unreachable broker and at Neoliane I walk from services to services a real hostage taking is a shame to do this to an elderly person who a small retirement</v>
      </c>
    </row>
    <row r="971" ht="15.75" customHeight="1">
      <c r="B971" s="2" t="s">
        <v>2607</v>
      </c>
      <c r="C971" s="2" t="s">
        <v>2608</v>
      </c>
      <c r="D971" s="2" t="s">
        <v>1827</v>
      </c>
      <c r="E971" s="2" t="s">
        <v>360</v>
      </c>
      <c r="F971" s="2" t="s">
        <v>15</v>
      </c>
      <c r="G971" s="2" t="s">
        <v>1098</v>
      </c>
      <c r="H971" s="2" t="s">
        <v>201</v>
      </c>
      <c r="I971" s="2" t="str">
        <f>IFERROR(__xludf.DUMMYFUNCTION("GOOGLETRANSLATE(C971,""fr"",""en"")"),"This formula corresponds to the expectations of my family and I am very satisfied with it. Very good mutual insurance
")</f>
        <v>This formula corresponds to the expectations of my family and I am very satisfied with it. Very good mutual insurance
</v>
      </c>
    </row>
    <row r="972" ht="15.75" customHeight="1">
      <c r="B972" s="2" t="s">
        <v>2609</v>
      </c>
      <c r="C972" s="2" t="s">
        <v>2610</v>
      </c>
      <c r="D972" s="2" t="s">
        <v>1827</v>
      </c>
      <c r="E972" s="2" t="s">
        <v>360</v>
      </c>
      <c r="F972" s="2" t="s">
        <v>15</v>
      </c>
      <c r="G972" s="2" t="s">
        <v>1567</v>
      </c>
      <c r="H972" s="2" t="s">
        <v>1113</v>
      </c>
      <c r="I972" s="2" t="str">
        <f>IFERROR(__xludf.DUMMYFUNCTION("GOOGLETRANSLATE(C972,""fr"",""en"")"),"Never refunded, impossible to reach them, but when we asked to terminate the contract, the response was immediate that it is not possible to terminate it without asking why !! Despite all the explanations for dissatisfaction in the registered letter what "&amp;"shame !!! to be fleeled, unfortunately there is not the option of 0 Star")</f>
        <v>Never refunded, impossible to reach them, but when we asked to terminate the contract, the response was immediate that it is not possible to terminate it without asking why !! Despite all the explanations for dissatisfaction in the registered letter what shame !!! to be fleeled, unfortunately there is not the option of 0 Star</v>
      </c>
    </row>
    <row r="973" ht="15.75" customHeight="1">
      <c r="B973" s="2" t="s">
        <v>2611</v>
      </c>
      <c r="C973" s="2" t="s">
        <v>2612</v>
      </c>
      <c r="D973" s="2" t="s">
        <v>1827</v>
      </c>
      <c r="E973" s="2" t="s">
        <v>360</v>
      </c>
      <c r="F973" s="2" t="s">
        <v>15</v>
      </c>
      <c r="G973" s="2" t="s">
        <v>1112</v>
      </c>
      <c r="H973" s="2" t="s">
        <v>1113</v>
      </c>
      <c r="I973" s="2" t="str">
        <f>IFERROR(__xludf.DUMMYFUNCTION("GOOGLETRANSLATE(C973,""fr"",""en"")"),"Insured since 2014 at Neoliane by the intermediary of the broker Framtis in Boulogne/Mer. In 2014 the reimbursement planned for the optics was 350 euros that I did not use, 2015 either. In 2016 mail de Neoliane informing me that the glasses are taken care"&amp;" of 100% and this to thank me for my fidelity but my contributions are increased
.2017 I still don't change my glasses
2018 no longer seeing anything I go to their optical partner 2000, quote 510 euros and to my surprise reimbursement of the Mutual Neol"&amp;"iane 250 euros instead of the 350 euros initially expected to the contract during the signing.
I contact my broker from Boulogne sur Mer that I am responsible for contacting Neoliane I await the answer. I am very very backwards and I feel ripped I will n"&amp;"ot fail to post the continuation of the events")</f>
        <v>Insured since 2014 at Neoliane by the intermediary of the broker Framtis in Boulogne/Mer. In 2014 the reimbursement planned for the optics was 350 euros that I did not use, 2015 either. In 2016 mail de Neoliane informing me that the glasses are taken care of 100% and this to thank me for my fidelity but my contributions are increased
.2017 I still don't change my glasses
2018 no longer seeing anything I go to their optical partner 2000, quote 510 euros and to my surprise reimbursement of the Mutual Neoliane 250 euros instead of the 350 euros initially expected to the contract during the signing.
I contact my broker from Boulogne sur Mer that I am responsible for contacting Neoliane I await the answer. I am very very backwards and I feel ripped I will not fail to post the continuation of the events</v>
      </c>
    </row>
    <row r="974" ht="15.75" customHeight="1">
      <c r="B974" s="2" t="s">
        <v>2613</v>
      </c>
      <c r="C974" s="2" t="s">
        <v>2614</v>
      </c>
      <c r="D974" s="2" t="s">
        <v>1827</v>
      </c>
      <c r="E974" s="2" t="s">
        <v>360</v>
      </c>
      <c r="F974" s="2" t="s">
        <v>15</v>
      </c>
      <c r="G974" s="2" t="s">
        <v>1113</v>
      </c>
      <c r="H974" s="2" t="s">
        <v>1113</v>
      </c>
      <c r="I974" s="2" t="str">
        <f>IFERROR(__xludf.DUMMYFUNCTION("GOOGLETRANSLATE(C974,""fr"",""en"")"),"Very very disappointed with Néoliane, a broker sold me a mutual contract, with so -called zero dependent for glasses, false, they do not specify that it is for glasses with glasses 1st price and a frame at 90 euros , or a total of 200 euros, these are the"&amp;" glasses that I currently have, really zero, now for the teeth, on a quote of 1,200 euros they only take charge 295 euros, the rest resource yourself !! Well I will remain without a tooth, I cannot afford to pay more than 700 euros, we sell you a wind, in"&amp;" addition we can never dialogue on the phone with anyone !!")</f>
        <v>Very very disappointed with Néoliane, a broker sold me a mutual contract, with so -called zero dependent for glasses, false, they do not specify that it is for glasses with glasses 1st price and a frame at 90 euros , or a total of 200 euros, these are the glasses that I currently have, really zero, now for the teeth, on a quote of 1,200 euros they only take charge 295 euros, the rest resource yourself !! Well I will remain without a tooth, I cannot afford to pay more than 700 euros, we sell you a wind, in addition we can never dialogue on the phone with anyone !!</v>
      </c>
    </row>
    <row r="975" ht="15.75" customHeight="1">
      <c r="B975" s="2" t="s">
        <v>2615</v>
      </c>
      <c r="C975" s="2" t="s">
        <v>2616</v>
      </c>
      <c r="D975" s="2" t="s">
        <v>1827</v>
      </c>
      <c r="E975" s="2" t="s">
        <v>360</v>
      </c>
      <c r="F975" s="2" t="s">
        <v>15</v>
      </c>
      <c r="G975" s="2" t="s">
        <v>2617</v>
      </c>
      <c r="H975" s="2" t="s">
        <v>208</v>
      </c>
      <c r="I975" s="2" t="str">
        <f>IFERROR(__xludf.DUMMYFUNCTION("GOOGLETRANSLATE(C975,""fr"",""en"")"),"Hello, I left this mutual on 12/31/2017. Unfortunately I had dental care at the end of November. As I had already sent my termination, I was not refunded by my care. On the other hand, they did not omit to take me the subscription of the month of December"&amp;" which assumed me until 12/31/2017. I wrote and again written but of course no answer or explanation.")</f>
        <v>Hello, I left this mutual on 12/31/2017. Unfortunately I had dental care at the end of November. As I had already sent my termination, I was not refunded by my care. On the other hand, they did not omit to take me the subscription of the month of December which assumed me until 12/31/2017. I wrote and again written but of course no answer or explanation.</v>
      </c>
    </row>
    <row r="976" ht="15.75" customHeight="1">
      <c r="B976" s="2" t="s">
        <v>2618</v>
      </c>
      <c r="C976" s="2" t="s">
        <v>2619</v>
      </c>
      <c r="D976" s="2" t="s">
        <v>1827</v>
      </c>
      <c r="E976" s="2" t="s">
        <v>360</v>
      </c>
      <c r="F976" s="2" t="s">
        <v>15</v>
      </c>
      <c r="G976" s="2" t="s">
        <v>2620</v>
      </c>
      <c r="H976" s="2" t="s">
        <v>208</v>
      </c>
      <c r="I976" s="2" t="str">
        <f>IFERROR(__xludf.DUMMYFUNCTION("GOOGLETRANSLATE(C976,""fr"",""en"")"),"Excellent welcome from Virginie Good Listen Very good services and very good skills in particular my termination letter The guarantees are perfect and the options adapted rapidity of answers and execution of the very fast file")</f>
        <v>Excellent welcome from Virginie Good Listen Very good services and very good skills in particular my termination letter The guarantees are perfect and the options adapted rapidity of answers and execution of the very fast file</v>
      </c>
    </row>
    <row r="977" ht="15.75" customHeight="1">
      <c r="B977" s="2" t="s">
        <v>2621</v>
      </c>
      <c r="C977" s="2" t="s">
        <v>2622</v>
      </c>
      <c r="D977" s="2" t="s">
        <v>1827</v>
      </c>
      <c r="E977" s="2" t="s">
        <v>360</v>
      </c>
      <c r="F977" s="2" t="s">
        <v>15</v>
      </c>
      <c r="G977" s="2" t="s">
        <v>207</v>
      </c>
      <c r="H977" s="2" t="s">
        <v>208</v>
      </c>
      <c r="I977" s="2" t="str">
        <f>IFERROR(__xludf.DUMMYFUNCTION("GOOGLETRANSLATE(C977,""fr"",""en"")"),"Insurer Adept of forced telephone sale.
Pass for your usual mutual or intermediary. Does not allow time to think.
To flee in the absence of all the elements necessary for a good reflection.")</f>
        <v>Insurer Adept of forced telephone sale.
Pass for your usual mutual or intermediary. Does not allow time to think.
To flee in the absence of all the elements necessary for a good reflection.</v>
      </c>
    </row>
    <row r="978" ht="15.75" customHeight="1">
      <c r="B978" s="2" t="s">
        <v>2623</v>
      </c>
      <c r="C978" s="2" t="s">
        <v>2624</v>
      </c>
      <c r="D978" s="2" t="s">
        <v>1827</v>
      </c>
      <c r="E978" s="2" t="s">
        <v>360</v>
      </c>
      <c r="F978" s="2" t="s">
        <v>15</v>
      </c>
      <c r="G978" s="2" t="s">
        <v>2625</v>
      </c>
      <c r="H978" s="2" t="s">
        <v>208</v>
      </c>
      <c r="I978" s="2" t="str">
        <f>IFERROR(__xludf.DUMMYFUNCTION("GOOGLETRANSLATE(C978,""fr"",""en"")"),"Hello,
I was contacted today by a lady who said he was alerted by a deficiency system in my health file
I tell him I don't need anything thank you ... but insists on the anomaly of my file
After having resumed my file and verified name, address, teleph"&amp;"one ... She asks me my IBAN code without distrust I give her (big mistake) she gives me my bic (she knows him !!) I ask her to re -explain I do not Do not understand, asks her on the part of whom she contacted me ... always the same blah blah and also tel"&amp;"ls me that we are registered to prove that I was contacted to regularize ""my situation""
The lady tells me send me 3 sms and give him the code of the 2nd ... all while staying online
My Tel Cup, I read the SMS
The 1st address to access the general con"&amp;"des of my provident death contract ???
The 2nd a code for the signature Me my contract which begins on 02/01/2018 for a 10 -month/month levy
The 3rd the general conditions of the IJH provident contract
I don't understand anything ... except that I am f"&amp;"ooled
The lady reminds me, I refuse to give him the code and tell her that I did not ask anything and that I do not understand .. (the tone rises a little).
It reminds me 3-4 times on fixed + as much on mobile
When I can finally answer, I always refuse"&amp;" to give it the code, she tells me that we are recorded and that she will use it to demonstrate that I did not want to regularize my situation
She hangs up.
What should I do, all your answers will be welcome ........................... thank you")</f>
        <v>Hello,
I was contacted today by a lady who said he was alerted by a deficiency system in my health file
I tell him I don't need anything thank you ... but insists on the anomaly of my file
After having resumed my file and verified name, address, telephone ... She asks me my IBAN code without distrust I give her (big mistake) she gives me my bic (she knows him !!) I ask her to re -explain I do not Do not understand, asks her on the part of whom she contacted me ... always the same blah blah and also tells me that we are registered to prove that I was contacted to regularize "my situation"
The lady tells me send me 3 sms and give him the code of the 2nd ... all while staying online
My Tel Cup, I read the SMS
The 1st address to access the general condes of my provident death contract ???
The 2nd a code for the signature Me my contract which begins on 02/01/2018 for a 10 -month/month levy
The 3rd the general conditions of the IJH provident contract
I don't understand anything ... except that I am fooled
The lady reminds me, I refuse to give him the code and tell her that I did not ask anything and that I do not understand .. (the tone rises a little).
It reminds me 3-4 times on fixed + as much on mobile
When I can finally answer, I always refuse to give it the code, she tells me that we are recorded and that she will use it to demonstrate that I did not want to regularize my situation
She hangs up.
What should I do, all your answers will be welcome ........................... thank you</v>
      </c>
    </row>
    <row r="979" ht="15.75" customHeight="1">
      <c r="B979" s="2" t="s">
        <v>2626</v>
      </c>
      <c r="C979" s="2" t="s">
        <v>2627</v>
      </c>
      <c r="D979" s="2" t="s">
        <v>1827</v>
      </c>
      <c r="E979" s="2" t="s">
        <v>360</v>
      </c>
      <c r="F979" s="2" t="s">
        <v>15</v>
      </c>
      <c r="G979" s="2" t="s">
        <v>2628</v>
      </c>
      <c r="H979" s="2" t="s">
        <v>49</v>
      </c>
      <c r="I979" s="2" t="str">
        <f>IFERROR(__xludf.DUMMYFUNCTION("GOOGLETRANSLATE(C979,""fr"",""en"")"),"Note that at Néoliane if your contract provides for a reimbursement of 125%of that of the SS he deduces this one from their CQFD service")</f>
        <v>Note that at Néoliane if your contract provides for a reimbursement of 125%of that of the SS he deduces this one from their CQFD service</v>
      </c>
    </row>
    <row r="980" ht="15.75" customHeight="1">
      <c r="B980" s="2" t="s">
        <v>2629</v>
      </c>
      <c r="C980" s="2" t="s">
        <v>2630</v>
      </c>
      <c r="D980" s="2" t="s">
        <v>1827</v>
      </c>
      <c r="E980" s="2" t="s">
        <v>360</v>
      </c>
      <c r="F980" s="2" t="s">
        <v>15</v>
      </c>
      <c r="G980" s="2" t="s">
        <v>2631</v>
      </c>
      <c r="H980" s="2" t="s">
        <v>49</v>
      </c>
      <c r="I980" s="2" t="str">
        <f>IFERROR(__xludf.DUMMYFUNCTION("GOOGLETRANSLATE(C980,""fr"",""en"")"),"Procure by phone he subscribed to a contract
 Without signature on my part and he has taken me since March 2017.
I launch a procedure with my lawyer for abusive subscription and I request the refund of all sums taken on my account without my authorizati"&amp;"on")</f>
        <v>Procure by phone he subscribed to a contract
 Without signature on my part and he has taken me since March 2017.
I launch a procedure with my lawyer for abusive subscription and I request the refund of all sums taken on my account without my authorization</v>
      </c>
    </row>
    <row r="981" ht="15.75" customHeight="1">
      <c r="B981" s="2" t="s">
        <v>2632</v>
      </c>
      <c r="C981" s="2" t="s">
        <v>2633</v>
      </c>
      <c r="D981" s="2" t="s">
        <v>1827</v>
      </c>
      <c r="E981" s="2" t="s">
        <v>360</v>
      </c>
      <c r="F981" s="2" t="s">
        <v>15</v>
      </c>
      <c r="G981" s="2" t="s">
        <v>1788</v>
      </c>
      <c r="H981" s="2" t="s">
        <v>49</v>
      </c>
      <c r="I981" s="2" t="str">
        <f>IFERROR(__xludf.DUMMYFUNCTION("GOOGLETRANSLATE(C981,""fr"",""en"")"),"These are people can scrupulous and who do not give all the information. I have been trying to terminate my contracts for 2 years now, they still manage to bring out one that they had not told me about. I strongly advise you not to adhere to them")</f>
        <v>These are people can scrupulous and who do not give all the information. I have been trying to terminate my contracts for 2 years now, they still manage to bring out one that they had not told me about. I strongly advise you not to adhere to them</v>
      </c>
    </row>
    <row r="982" ht="15.75" customHeight="1">
      <c r="B982" s="2" t="s">
        <v>2634</v>
      </c>
      <c r="C982" s="2" t="s">
        <v>2635</v>
      </c>
      <c r="D982" s="2" t="s">
        <v>1827</v>
      </c>
      <c r="E982" s="2" t="s">
        <v>360</v>
      </c>
      <c r="F982" s="2" t="s">
        <v>15</v>
      </c>
      <c r="G982" s="2" t="s">
        <v>2636</v>
      </c>
      <c r="H982" s="2" t="s">
        <v>53</v>
      </c>
      <c r="I982" s="2" t="str">
        <f>IFERROR(__xludf.DUMMYFUNCTION("GOOGLETRANSLATE(C982,""fr"",""en"")"),"10/26/2017 Ringage of my fixed such. An answering machine informs me of a problem concerning my social security file, I am informed to type on key 1 to be put in contact with my interlocutor. A person (feminine) makes a speed of words raised for 2 to 3 mi"&amp;"nutes I do not understand anything at all, she insists, asks me my laptop. Always thinking that I have to do to the CPAM I communicate it to him. On this, the trap is closed. She then asks me, the IBAN number of my bank cpte.D naivety and nomiced stupidit"&amp;"y, I transmit it to him. The doubt 'Install in me, I look again at my Tel Laptop, and I read that I am a new customer at Neoliane and only from 01/11/2017 I will be taken every month from 18 euros 66. How to qualify this kind of method ? How to qualify th"&amp;"ese people who pretend to act? Insurance Opinion Meet in order to denounce this predatory company. I could see on the forums that we are dozens of people victims of these actions. Honlate to her and to all those who represent her. Let us unite to denounce"&amp;" it.")</f>
        <v>10/26/2017 Ringage of my fixed such. An answering machine informs me of a problem concerning my social security file, I am informed to type on key 1 to be put in contact with my interlocutor. A person (feminine) makes a speed of words raised for 2 to 3 minutes I do not understand anything at all, she insists, asks me my laptop. Always thinking that I have to do to the CPAM I communicate it to him. On this, the trap is closed. She then asks me, the IBAN number of my bank cpte.D naivety and nomiced stupidity, I transmit it to him. The doubt 'Install in me, I look again at my Tel Laptop, and I read that I am a new customer at Neoliane and only from 01/11/2017 I will be taken every month from 18 euros 66. How to qualify this kind of method ? How to qualify these people who pretend to act? Insurance Opinion Meet in order to denounce this predatory company. I could see on the forums that we are dozens of people victims of these actions. Honlate to her and to all those who represent her. Let us unite to denounce it.</v>
      </c>
    </row>
    <row r="983" ht="15.75" customHeight="1">
      <c r="B983" s="2" t="s">
        <v>2637</v>
      </c>
      <c r="C983" s="2" t="s">
        <v>2638</v>
      </c>
      <c r="D983" s="2" t="s">
        <v>1827</v>
      </c>
      <c r="E983" s="2" t="s">
        <v>360</v>
      </c>
      <c r="F983" s="2" t="s">
        <v>15</v>
      </c>
      <c r="G983" s="2" t="s">
        <v>2639</v>
      </c>
      <c r="H983" s="2" t="s">
        <v>53</v>
      </c>
      <c r="I983" s="2" t="str">
        <f>IFERROR(__xludf.DUMMYFUNCTION("GOOGLETRANSLATE(C983,""fr"",""en"")"),"Prévivals advisor who contacts me and after discussion transmits a quote by email for Néoliane and who says she is working for courtyards
Little courteous after having told him that I couldn't open the attachment (quote) I block the number calls me by pr"&amp;"ivate number I tell him that I have no time to waste and that it seems weird to This moment much more than unpleasant when I tell him that I will not follow up on calls. This person is called Sarah Jardi")</f>
        <v>Prévivals advisor who contacts me and after discussion transmits a quote by email for Néoliane and who says she is working for courtyards
Little courteous after having told him that I couldn't open the attachment (quote) I block the number calls me by private number I tell him that I have no time to waste and that it seems weird to This moment much more than unpleasant when I tell him that I will not follow up on calls. This person is called Sarah Jardi</v>
      </c>
    </row>
    <row r="984" ht="15.75" customHeight="1">
      <c r="B984" s="2" t="s">
        <v>2640</v>
      </c>
      <c r="C984" s="2" t="s">
        <v>2641</v>
      </c>
      <c r="D984" s="2" t="s">
        <v>1827</v>
      </c>
      <c r="E984" s="2" t="s">
        <v>360</v>
      </c>
      <c r="F984" s="2" t="s">
        <v>15</v>
      </c>
      <c r="G984" s="2" t="s">
        <v>2642</v>
      </c>
      <c r="H984" s="2" t="s">
        <v>53</v>
      </c>
      <c r="I984" s="2" t="str">
        <f>IFERROR(__xludf.DUMMYFUNCTION("GOOGLETRANSLATE(C984,""fr"",""en"")"),"telephone subscription")</f>
        <v>telephone subscription</v>
      </c>
    </row>
    <row r="985" ht="15.75" customHeight="1">
      <c r="B985" s="2" t="s">
        <v>1945</v>
      </c>
      <c r="C985" s="2" t="s">
        <v>2643</v>
      </c>
      <c r="D985" s="2" t="s">
        <v>1827</v>
      </c>
      <c r="E985" s="2" t="s">
        <v>360</v>
      </c>
      <c r="F985" s="2" t="s">
        <v>15</v>
      </c>
      <c r="G985" s="2" t="s">
        <v>2644</v>
      </c>
      <c r="H985" s="2" t="s">
        <v>53</v>
      </c>
      <c r="I985" s="2" t="str">
        <f>IFERROR(__xludf.DUMMYFUNCTION("GOOGLETRANSLATE(C985,""fr"",""en"")"),"is not suitable for my situation (100% supported by the CPAM)")</f>
        <v>is not suitable for my situation (100% supported by the CPAM)</v>
      </c>
    </row>
    <row r="986" ht="15.75" customHeight="1">
      <c r="B986" s="2" t="s">
        <v>2645</v>
      </c>
      <c r="C986" s="2" t="s">
        <v>2646</v>
      </c>
      <c r="D986" s="2" t="s">
        <v>1827</v>
      </c>
      <c r="E986" s="2" t="s">
        <v>360</v>
      </c>
      <c r="F986" s="2" t="s">
        <v>15</v>
      </c>
      <c r="G986" s="2" t="s">
        <v>2647</v>
      </c>
      <c r="H986" s="2" t="s">
        <v>219</v>
      </c>
      <c r="I986" s="2" t="str">
        <f>IFERROR(__xludf.DUMMYFUNCTION("GOOGLETRANSLATE(C986,""fr"",""en"")"),"Telephone canvassing yesterday. A person took place for social security and at the end of the conversation presented himself as Neoliane.
The salesperson told me that with the Macron law, hospital costs are no longer taken into account by the SS and the "&amp;"mutual. They had the information about me, they forced me to take out a contract despite my refusal. This person was aggressive and not very conciliatory to dialogue. Suddenly, he tells me that I would receive a contract within 15 days and that the direct"&amp;" debits will start on November 1. No need for signature on my part.
My daughter contacted them to get more explanations. The tone has risen. They don't want to hear anything.
How to withdraw from a contract that we never wanted within 14 days without ha"&amp;"ving neither contract nor special conditions?
In addition, the law frames far more contracts and telephone demarchages with a consumer.")</f>
        <v>Telephone canvassing yesterday. A person took place for social security and at the end of the conversation presented himself as Neoliane.
The salesperson told me that with the Macron law, hospital costs are no longer taken into account by the SS and the mutual. They had the information about me, they forced me to take out a contract despite my refusal. This person was aggressive and not very conciliatory to dialogue. Suddenly, he tells me that I would receive a contract within 15 days and that the direct debits will start on November 1. No need for signature on my part.
My daughter contacted them to get more explanations. The tone has risen. They don't want to hear anything.
How to withdraw from a contract that we never wanted within 14 days without having neither contract nor special conditions?
In addition, the law frames far more contracts and telephone demarchages with a consumer.</v>
      </c>
    </row>
    <row r="987" ht="15.75" customHeight="1">
      <c r="B987" s="2" t="s">
        <v>2648</v>
      </c>
      <c r="C987" s="2" t="s">
        <v>2649</v>
      </c>
      <c r="D987" s="2" t="s">
        <v>1827</v>
      </c>
      <c r="E987" s="2" t="s">
        <v>360</v>
      </c>
      <c r="F987" s="2" t="s">
        <v>15</v>
      </c>
      <c r="G987" s="2" t="s">
        <v>2650</v>
      </c>
      <c r="H987" s="2" t="s">
        <v>219</v>
      </c>
      <c r="I987" s="2" t="str">
        <f>IFERROR(__xludf.DUMMYFUNCTION("GOOGLETRANSLATE(C987,""fr"",""en"")"),"I subscribed to them because my son must carry a dental device, so I took the initial option 3+ to be carried out at 200 %. And at the first quote I realize that it pays exactly the same sum as the CPAM .... or are 200 %? I have almost 900 euros to pay fr"&amp;"om my pocket so or that the mutual already costs me 112 per month ......")</f>
        <v>I subscribed to them because my son must carry a dental device, so I took the initial option 3+ to be carried out at 200 %. And at the first quote I realize that it pays exactly the same sum as the CPAM .... or are 200 %? I have almost 900 euros to pay from my pocket so or that the mutual already costs me 112 per month ......</v>
      </c>
    </row>
    <row r="988" ht="15.75" customHeight="1">
      <c r="B988" s="2" t="s">
        <v>2651</v>
      </c>
      <c r="C988" s="2" t="s">
        <v>2652</v>
      </c>
      <c r="D988" s="2" t="s">
        <v>1827</v>
      </c>
      <c r="E988" s="2" t="s">
        <v>360</v>
      </c>
      <c r="F988" s="2" t="s">
        <v>15</v>
      </c>
      <c r="G988" s="2" t="s">
        <v>2653</v>
      </c>
      <c r="H988" s="2" t="s">
        <v>219</v>
      </c>
      <c r="I988" s="2" t="str">
        <f>IFERROR(__xludf.DUMMYFUNCTION("GOOGLETRANSLATE(C988,""fr"",""en"")"),"Connected in 2016 by phone (several calls per day) by a certain ""Karine"" who no longer responds after signature, although her message tells that she will remind you of the day ....
Telestransmission problems of which I was not informed (?) Because I wa"&amp;"s unknown to the CPAM (normal, I am retired teacher and my cash register!)
Now I don't know what problem there can be but I have not yet received any refund except MGEN since January
No response to my emails either
No answer to the phone .....
Can we "&amp;"speak of dishonesty? incompetence? negligence?")</f>
        <v>Connected in 2016 by phone (several calls per day) by a certain "Karine" who no longer responds after signature, although her message tells that she will remind you of the day ....
Telestransmission problems of which I was not informed (?) Because I was unknown to the CPAM (normal, I am retired teacher and my cash register!)
Now I don't know what problem there can be but I have not yet received any refund except MGEN since January
No response to my emails either
No answer to the phone .....
Can we speak of dishonesty? incompetence? negligence?</v>
      </c>
    </row>
    <row r="989" ht="15.75" customHeight="1">
      <c r="B989" s="2" t="s">
        <v>2654</v>
      </c>
      <c r="C989" s="2" t="s">
        <v>2655</v>
      </c>
      <c r="D989" s="2" t="s">
        <v>1827</v>
      </c>
      <c r="E989" s="2" t="s">
        <v>360</v>
      </c>
      <c r="F989" s="2" t="s">
        <v>15</v>
      </c>
      <c r="G989" s="2" t="s">
        <v>2656</v>
      </c>
      <c r="H989" s="2" t="s">
        <v>219</v>
      </c>
      <c r="I989" s="2" t="str">
        <f>IFERROR(__xludf.DUMMYFUNCTION("GOOGLETRANSLATE(C989,""fr"",""en"")"),"I have this Mutual Neoliane since January 1, 2017 (I am 70 years old) This mutual is a real calamity especially on the administrative plan Example I made myself operate around the month of May. 2 months before I asked for care, she arrived at the hospital"&amp;" 1 month after my release, I had to advance all the costs. Other example, they systematically lose all the papers sent either mail or by emails and they say nothing to you it is by consulting the accounts that you realize it. One day I sent invoices by em"&amp;"ail, and well knowing the filibusters, I called the next day but to a secretary, who confirmed me that I have received the invoices by email. Account, I called the person who managed my whole file, and she had the cheek to tell me that he had received not"&amp;"hing. For teeth reimbursements is the same thing. To date I have been had on 2 reimbursements 1 of 60 euros and the other of 70 euros. I phoned, I wrote and nothing, they always happen to you by A+B that the reimbursements were made, and it is not true. P"&amp;"hone almost every day and I do like them, I play the ostrich by not dropping out. I inquired (too late) and their administrative is a real disaster I think of all these elderly people who never check their Neoliane accounts (reimbursements) which this mut"&amp;"ual must put it in the pocket.")</f>
        <v>I have this Mutual Neoliane since January 1, 2017 (I am 70 years old) This mutual is a real calamity especially on the administrative plan Example I made myself operate around the month of May. 2 months before I asked for care, she arrived at the hospital 1 month after my release, I had to advance all the costs. Other example, they systematically lose all the papers sent either mail or by emails and they say nothing to you it is by consulting the accounts that you realize it. One day I sent invoices by email, and well knowing the filibusters, I called the next day but to a secretary, who confirmed me that I have received the invoices by email. Account, I called the person who managed my whole file, and she had the cheek to tell me that he had received nothing. For teeth reimbursements is the same thing. To date I have been had on 2 reimbursements 1 of 60 euros and the other of 70 euros. I phoned, I wrote and nothing, they always happen to you by A+B that the reimbursements were made, and it is not true. Phone almost every day and I do like them, I play the ostrich by not dropping out. I inquired (too late) and their administrative is a real disaster I think of all these elderly people who never check their Neoliane accounts (reimbursements) which this mutual must put it in the pocket.</v>
      </c>
    </row>
    <row r="990" ht="15.75" customHeight="1">
      <c r="B990" s="2" t="s">
        <v>2657</v>
      </c>
      <c r="C990" s="2" t="s">
        <v>2658</v>
      </c>
      <c r="D990" s="2" t="s">
        <v>1827</v>
      </c>
      <c r="E990" s="2" t="s">
        <v>360</v>
      </c>
      <c r="F990" s="2" t="s">
        <v>15</v>
      </c>
      <c r="G990" s="2" t="s">
        <v>1132</v>
      </c>
      <c r="H990" s="2" t="s">
        <v>1133</v>
      </c>
      <c r="I990" s="2" t="str">
        <f>IFERROR(__xludf.DUMMYFUNCTION("GOOGLETRANSLATE(C990,""fr"",""en"")"),"Silver gachi by windows")</f>
        <v>Silver gachi by windows</v>
      </c>
    </row>
    <row r="991" ht="15.75" customHeight="1">
      <c r="B991" s="2" t="s">
        <v>2659</v>
      </c>
      <c r="C991" s="2" t="s">
        <v>2660</v>
      </c>
      <c r="D991" s="2" t="s">
        <v>1827</v>
      </c>
      <c r="E991" s="2" t="s">
        <v>360</v>
      </c>
      <c r="F991" s="2" t="s">
        <v>15</v>
      </c>
      <c r="G991" s="2" t="s">
        <v>2661</v>
      </c>
      <c r="H991" s="2" t="s">
        <v>57</v>
      </c>
      <c r="I991" s="2" t="str">
        <f>IFERROR(__xludf.DUMMYFUNCTION("GOOGLETRANSLATE(C991,""fr"",""en"")"),"Hello, note the guarantees will be complicated to me, because I will not be insured until later. I was confused on the phone by a ""healthy"" prospect who asked me for a lot of things. I learn that I would have concluded a contract with effect of 01/01/18"&amp;" and I have already been taken from management fees. Outside, I cannot terminate my current mutual insurance company with a solidarity deposit with it on a loan. I made opposition to the samples, and I think we will end up in court, the famous 14 -day wit"&amp;"hdrawal period being exceeded!")</f>
        <v>Hello, note the guarantees will be complicated to me, because I will not be insured until later. I was confused on the phone by a "healthy" prospect who asked me for a lot of things. I learn that I would have concluded a contract with effect of 01/01/18 and I have already been taken from management fees. Outside, I cannot terminate my current mutual insurance company with a solidarity deposit with it on a loan. I made opposition to the samples, and I think we will end up in court, the famous 14 -day withdrawal period being exceeded!</v>
      </c>
    </row>
    <row r="992" ht="15.75" customHeight="1">
      <c r="B992" s="2" t="s">
        <v>2662</v>
      </c>
      <c r="C992" s="2" t="s">
        <v>2663</v>
      </c>
      <c r="D992" s="2" t="s">
        <v>1827</v>
      </c>
      <c r="E992" s="2" t="s">
        <v>360</v>
      </c>
      <c r="F992" s="2" t="s">
        <v>15</v>
      </c>
      <c r="G992" s="2" t="s">
        <v>57</v>
      </c>
      <c r="H992" s="2" t="s">
        <v>57</v>
      </c>
      <c r="I992" s="2" t="str">
        <f>IFERROR(__xludf.DUMMYFUNCTION("GOOGLETRANSLATE(C992,""fr"",""en"")"),"I have been a Neoliane client for several years, everything has always gone well, reimbursed in times and the conditions of the contract have always been respected. Customer service is easy to reach.")</f>
        <v>I have been a Neoliane client for several years, everything has always gone well, reimbursed in times and the conditions of the contract have always been respected. Customer service is easy to reach.</v>
      </c>
    </row>
    <row r="993" ht="15.75" customHeight="1">
      <c r="B993" s="2" t="s">
        <v>2664</v>
      </c>
      <c r="C993" s="2" t="s">
        <v>2665</v>
      </c>
      <c r="D993" s="2" t="s">
        <v>1827</v>
      </c>
      <c r="E993" s="2" t="s">
        <v>360</v>
      </c>
      <c r="F993" s="2" t="s">
        <v>15</v>
      </c>
      <c r="G993" s="2" t="s">
        <v>2666</v>
      </c>
      <c r="H993" s="2" t="s">
        <v>223</v>
      </c>
      <c r="I993" s="2" t="str">
        <f>IFERROR(__xludf.DUMMYFUNCTION("GOOGLETRANSLATE(C993,""fr"",""en"")"),"6 months after my membership, Néoliane has not yet dealt with tele -transmission.
I am only reimbursed by SECU. PAS GERMESS MORE ON YOU CALL CUSTRY SEED Wait to wait at least 15 minutes ......")</f>
        <v>6 months after my membership, Néoliane has not yet dealt with tele -transmission.
I am only reimbursed by SECU. PAS GERMESS MORE ON YOU CALL CUSTRY SEED Wait to wait at least 15 minutes ......</v>
      </c>
    </row>
    <row r="994" ht="15.75" customHeight="1">
      <c r="B994" s="2" t="s">
        <v>2667</v>
      </c>
      <c r="C994" s="2" t="s">
        <v>2668</v>
      </c>
      <c r="D994" s="2" t="s">
        <v>1827</v>
      </c>
      <c r="E994" s="2" t="s">
        <v>360</v>
      </c>
      <c r="F994" s="2" t="s">
        <v>15</v>
      </c>
      <c r="G994" s="2" t="s">
        <v>1809</v>
      </c>
      <c r="H994" s="2" t="s">
        <v>1806</v>
      </c>
      <c r="I994" s="2" t="str">
        <f>IFERROR(__xludf.DUMMYFUNCTION("GOOGLETRANSLATE(C994,""fr"",""en"")"),"Refusal of termination for the notice of deadline not received does not receive the recommended does not deal with the unpleasant and impoliage personal emails which does not hesitate to hang up on the nose I will not have enough room to quote everything.")</f>
        <v>Refusal of termination for the notice of deadline not received does not receive the recommended does not deal with the unpleasant and impoliage personal emails which does not hesitate to hang up on the nose I will not have enough room to quote everything.</v>
      </c>
    </row>
    <row r="995" ht="15.75" customHeight="1">
      <c r="B995" s="2" t="s">
        <v>2669</v>
      </c>
      <c r="C995" s="2" t="s">
        <v>2670</v>
      </c>
      <c r="D995" s="2" t="s">
        <v>1827</v>
      </c>
      <c r="E995" s="2" t="s">
        <v>360</v>
      </c>
      <c r="F995" s="2" t="s">
        <v>15</v>
      </c>
      <c r="G995" s="2" t="s">
        <v>2671</v>
      </c>
      <c r="H995" s="2" t="s">
        <v>1806</v>
      </c>
      <c r="I995" s="2" t="str">
        <f>IFERROR(__xludf.DUMMYFUNCTION("GOOGLETRANSLATE(C995,""fr"",""en"")"),"Hello everyone, I hope my comment can help make a wise choice. Everything went well with Néoliane until I terminate my contract (I specify in the rules of the art with acknowledgment of receipt and largely within the time limits). Today my contract, howev"&amp;"er, terminated after many efforts on my part (email recovery and multiple telephone). Neoliane continues to take from my bank account while customer service confirms its termination of it !!!! Since January I have been arriving at more than 200 euros in u"&amp;"njustified levy ... No reaction of their services despite multiple reminders ...")</f>
        <v>Hello everyone, I hope my comment can help make a wise choice. Everything went well with Néoliane until I terminate my contract (I specify in the rules of the art with acknowledgment of receipt and largely within the time limits). Today my contract, however, terminated after many efforts on my part (email recovery and multiple telephone). Neoliane continues to take from my bank account while customer service confirms its termination of it !!!! Since January I have been arriving at more than 200 euros in unjustified levy ... No reaction of their services despite multiple reminders ...</v>
      </c>
    </row>
    <row r="996" ht="15.75" customHeight="1">
      <c r="B996" s="2" t="s">
        <v>2672</v>
      </c>
      <c r="C996" s="2" t="s">
        <v>2673</v>
      </c>
      <c r="D996" s="2" t="s">
        <v>1827</v>
      </c>
      <c r="E996" s="2" t="s">
        <v>360</v>
      </c>
      <c r="F996" s="2" t="s">
        <v>15</v>
      </c>
      <c r="G996" s="2" t="s">
        <v>2674</v>
      </c>
      <c r="H996" s="2" t="s">
        <v>353</v>
      </c>
      <c r="I996" s="2" t="str">
        <f>IFERROR(__xludf.DUMMYFUNCTION("GOOGLETRANSLATE(C996,""fr"",""en"")"),"In view of everything I can read on the Internet, it seems that Néoliane - Santiane - Mutua Management uses a good incompetence to disguise questionable methods. I have been at home for 4 years and admit that I have not been very vigilant on the reimburse"&amp;"ments. I nevertheless noted last year 6 months without the slightest reimbursement concerning my spouse. The reason given by customer service ""a computer problem that would have deleted my spouse's remote transmission to the security"". Today, they have "&amp;"decided to challenge my request for termination, however legitimate since I adhere to a mandatory business mutual. Since October 2016, the date on which I have been terminated by registered letter with an employer certificate, they relaunch me for the pay"&amp;"ment of the contributions to which I made opposition even going as far as mandated a collection company. I am obviously not talking to you about their deplorable customer service as incompetent as it is ignorant, which lies you and you walk from service t"&amp;"o service. In short, here I am obliged to enter an insurance mediator to stop this harassment and assert my rights.")</f>
        <v>In view of everything I can read on the Internet, it seems that Néoliane - Santiane - Mutua Management uses a good incompetence to disguise questionable methods. I have been at home for 4 years and admit that I have not been very vigilant on the reimbursements. I nevertheless noted last year 6 months without the slightest reimbursement concerning my spouse. The reason given by customer service "a computer problem that would have deleted my spouse's remote transmission to the security". Today, they have decided to challenge my request for termination, however legitimate since I adhere to a mandatory business mutual. Since October 2016, the date on which I have been terminated by registered letter with an employer certificate, they relaunch me for the payment of the contributions to which I made opposition even going as far as mandated a collection company. I am obviously not talking to you about their deplorable customer service as incompetent as it is ignorant, which lies you and you walk from service to service. In short, here I am obliged to enter an insurance mediator to stop this harassment and assert my rights.</v>
      </c>
    </row>
    <row r="997" ht="15.75" customHeight="1">
      <c r="B997" s="2" t="s">
        <v>2675</v>
      </c>
      <c r="C997" s="2" t="s">
        <v>2676</v>
      </c>
      <c r="D997" s="2" t="s">
        <v>1827</v>
      </c>
      <c r="E997" s="2" t="s">
        <v>360</v>
      </c>
      <c r="F997" s="2" t="s">
        <v>15</v>
      </c>
      <c r="G997" s="2" t="s">
        <v>2677</v>
      </c>
      <c r="H997" s="2" t="s">
        <v>353</v>
      </c>
      <c r="I997" s="2" t="str">
        <f>IFERROR(__xludf.DUMMYFUNCTION("GOOGLETRANSLATE(C997,""fr"",""en"")"),"During my adhesion in June 2014 I had indicated to me that the reimbursement of glasses was increased by 50% in the event of a change after 2 years (i.e. 250+125 = 375 € for single lenses and 400+200 = 600 € for complex glasses). However this year therefo"&amp;"re practically 3 years after when changing our glasses we learn after XXXX phone calls that the reimbursement conditions have changed and that there is no longer any additional 3 years later. We have never received this change of contract .... Impossible "&amp;"to have it, moreover,")</f>
        <v>During my adhesion in June 2014 I had indicated to me that the reimbursement of glasses was increased by 50% in the event of a change after 2 years (i.e. 250+125 = 375 € for single lenses and 400+200 = 600 € for complex glasses). However this year therefore practically 3 years after when changing our glasses we learn after XXXX phone calls that the reimbursement conditions have changed and that there is no longer any additional 3 years later. We have never received this change of contract .... Impossible to have it, moreover,</v>
      </c>
    </row>
    <row r="998" ht="15.75" customHeight="1">
      <c r="B998" s="2" t="s">
        <v>2678</v>
      </c>
      <c r="C998" s="2" t="s">
        <v>2679</v>
      </c>
      <c r="D998" s="2" t="s">
        <v>1827</v>
      </c>
      <c r="E998" s="2" t="s">
        <v>360</v>
      </c>
      <c r="F998" s="2" t="s">
        <v>15</v>
      </c>
      <c r="G998" s="2" t="s">
        <v>352</v>
      </c>
      <c r="H998" s="2" t="s">
        <v>353</v>
      </c>
      <c r="I998" s="2" t="str">
        <f>IFERROR(__xludf.DUMMYFUNCTION("GOOGLETRANSLATE(C998,""fr"",""en"")"),"Hello,
Since November 1, I have a compulsory business mutual, after several letters, emails and phone calls, Neoliane Health continues to take me and deaf ear.
")</f>
        <v>Hello,
Since November 1, I have a compulsory business mutual, after several letters, emails and phone calls, Neoliane Health continues to take me and deaf ear.
</v>
      </c>
    </row>
    <row r="999" ht="15.75" customHeight="1">
      <c r="B999" s="2" t="s">
        <v>2680</v>
      </c>
      <c r="C999" s="2" t="s">
        <v>2681</v>
      </c>
      <c r="D999" s="2" t="s">
        <v>1827</v>
      </c>
      <c r="E999" s="2" t="s">
        <v>360</v>
      </c>
      <c r="F999" s="2" t="s">
        <v>15</v>
      </c>
      <c r="G999" s="2" t="s">
        <v>1144</v>
      </c>
      <c r="H999" s="2" t="s">
        <v>61</v>
      </c>
      <c r="I999" s="2" t="str">
        <f>IFERROR(__xludf.DUMMYFUNCTION("GOOGLETRANSLATE(C999,""fr"",""en"")"),"I have been a member since January 1, 2016 at Néoliane, I opted for this complementary after having made comparisons with my broker and the range is very interesting because I needed good care so the compromise is interesting on my formula Because I do no"&amp;"t pay a fortune and the participation in reimbursements are correct")</f>
        <v>I have been a member since January 1, 2016 at Néoliane, I opted for this complementary after having made comparisons with my broker and the range is very interesting because I needed good care so the compromise is interesting on my formula Because I do not pay a fortune and the participation in reimbursements are correct</v>
      </c>
    </row>
    <row r="1000" ht="15.75" customHeight="1">
      <c r="B1000" s="2" t="s">
        <v>2682</v>
      </c>
      <c r="C1000" s="2" t="s">
        <v>2683</v>
      </c>
      <c r="D1000" s="2" t="s">
        <v>1827</v>
      </c>
      <c r="E1000" s="2" t="s">
        <v>360</v>
      </c>
      <c r="F1000" s="2" t="s">
        <v>15</v>
      </c>
      <c r="G1000" s="2" t="s">
        <v>2684</v>
      </c>
      <c r="H1000" s="2" t="s">
        <v>61</v>
      </c>
      <c r="I1000" s="2" t="str">
        <f>IFERROR(__xludf.DUMMYFUNCTION("GOOGLETRANSLATE(C1000,""fr"",""en"")"),"I put a star, because zero does not exist: I have just been tied up by phone in an aggressive way with a touch of blackmail ... I do not conclude anything by phone without other documentation or opinion, and I managed to Get rid of it, but what insistence"&amp;". It is a completely unworthy way of proceeding.")</f>
        <v>I put a star, because zero does not exist: I have just been tied up by phone in an aggressive way with a touch of blackmail ... I do not conclude anything by phone without other documentation or opinion, and I managed to Get rid of it, but what insistence. It is a completely unworthy way of proceeding.</v>
      </c>
    </row>
    <row r="1001" ht="15.75" customHeight="1">
      <c r="B1001" s="2" t="s">
        <v>2685</v>
      </c>
      <c r="C1001" s="2" t="s">
        <v>2686</v>
      </c>
      <c r="D1001" s="2" t="s">
        <v>1827</v>
      </c>
      <c r="E1001" s="2" t="s">
        <v>360</v>
      </c>
      <c r="F1001" s="2" t="s">
        <v>15</v>
      </c>
      <c r="G1001" s="2" t="s">
        <v>1147</v>
      </c>
      <c r="H1001" s="2" t="s">
        <v>61</v>
      </c>
      <c r="I1001" s="2" t="str">
        <f>IFERROR(__xludf.DUMMYFUNCTION("GOOGLETRANSLATE(C1001,""fr"",""en"")"),"The Néoliane Santé contract subscribed initially was canceled in accordance with my right of withdrawal at 31/01/2017. However, the Provident-Décès contract subscribed and linked to the previous one has not been jointly canceled while all the files relati"&amp;"ng to the bank details should have been deleted (requested by LR 17 and 22/12/2016).
Conclusion, 2 bank directors under this last contract were made in January and February 2017!
I relaunched this Neoliane day to obtain the reimbursement of these two fl"&amp;"ows.
Awaiting their response.
02/13/2017")</f>
        <v>The Néoliane Santé contract subscribed initially was canceled in accordance with my right of withdrawal at 31/01/2017. However, the Provident-Décès contract subscribed and linked to the previous one has not been jointly canceled while all the files relating to the bank details should have been deleted (requested by LR 17 and 22/12/2016).
Conclusion, 2 bank directors under this last contract were made in January and February 2017!
I relaunched this Neoliane day to obtain the reimbursement of these two flows.
Awaiting their response.
02/13/2017</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2022-12-16T15:48:31Z</dcterms:created>
</cp:coreProperties>
</file>