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jJ+vHcfabKmWKGpEfzdBFn0wHCg=="/>
    </ext>
  </extLst>
</workbook>
</file>

<file path=xl/sharedStrings.xml><?xml version="1.0" encoding="utf-8"?>
<sst xmlns="http://schemas.openxmlformats.org/spreadsheetml/2006/main" count="7011" uniqueCount="2766">
  <si>
    <t>note</t>
  </si>
  <si>
    <t>auteur</t>
  </si>
  <si>
    <t>avis</t>
  </si>
  <si>
    <t>assureur</t>
  </si>
  <si>
    <t>produit</t>
  </si>
  <si>
    <t>type</t>
  </si>
  <si>
    <t>date_publication</t>
  </si>
  <si>
    <t>date_exp</t>
  </si>
  <si>
    <t>avis_en</t>
  </si>
  <si>
    <t>avis_cor</t>
  </si>
  <si>
    <t>avis_cor_en</t>
  </si>
  <si>
    <t>estelle-51227</t>
  </si>
  <si>
    <t>j'ai quitté mon ancien contrat d'assurance chez Générali l'année derniere pour rejoindre le groupe Néoliane et je peux dire maitnenant après un an que la seule chose qui change... c'est le prix ! Je suis assuré de la même façon et pourtant je paye 30% de moins par mois ce uqi sur un an me fait économiser une fortune. Donc resté assuré aujourd'hui chez le même prouve bien que la seule chose que nous gagnons ce sont des hausses de cotisations. Marre de payer.</t>
  </si>
  <si>
    <t>Néoliane Santé</t>
  </si>
  <si>
    <t>sante</t>
  </si>
  <si>
    <t>test</t>
  </si>
  <si>
    <t>12/01/2017</t>
  </si>
  <si>
    <t>01/01/2017</t>
  </si>
  <si>
    <t>leadum-51107</t>
  </si>
  <si>
    <t xml:space="preserve">j'ai souscrit à cette mutuelle l'année derniere et je suis restée un an, j'ai trouvé la formule très avantageuse car le tarif était très intéressant pour mes lentilles et lunettes. J'ai pris la décision d'en changer car j'ai besoin d'orthodoncie et je ne l'avais pas par contre dans ma formule précédente.  </t>
  </si>
  <si>
    <t>09/01/2017</t>
  </si>
  <si>
    <t>enora-49520</t>
  </si>
  <si>
    <t xml:space="preserve">Impossible d'avoir le bon service , ils raccroche au nez quand il ne savent pas quoi répondre ils nous balade de service en service les papiers il faut les envoyer plusieurs fois et c'est jamais la même adresse ils sont mal poli je vous déconseillé cette mutuelle sincèrement </t>
  </si>
  <si>
    <t>24/11/2016</t>
  </si>
  <si>
    <t>01/11/2016</t>
  </si>
  <si>
    <t>bea-139295</t>
  </si>
  <si>
    <t>Génération est une mutuelle très chère pour un retraité : + de 150 € par mois ! et malgré cela, impossible d'avoir un conseiller en ligne ! à part une voix électronique qui répète toujours la même chose. comment se fait il que pour une question simple posée sur votre site, on n'ait toujours pas de réponse 5 jours après ???
pour une fois que j'essaie de vous contacter par téléphone, je suis très déçue.
je n'ose imaginer le jour où on doit vous contacter pour une hospitalisation urgente.... !</t>
  </si>
  <si>
    <t>Génération</t>
  </si>
  <si>
    <t>09/11/2021</t>
  </si>
  <si>
    <t>01/11/2021</t>
  </si>
  <si>
    <t>anna-139192</t>
  </si>
  <si>
    <t xml:space="preserve">je viens d apprendre que je suis radié... j appel, une conseillere ne peux me donner de reponse me renvoie a un numero ... le sien, que je viens de faire et auquel j ai passé plus de 5 minutes a attendre plus les 9 minutes quand elle a essaye de me mettre en relation avec une autre personne ( 21.54minutes en tout). L autre numero que la conseillere m a donné me recroche au bout de 4.26minutes c est moins long!.
Lors de mon adhesion j ai eu un probleme j etais deja chez eux en tant que salarié, j ai voulu garder mon contrat en tant que particulier : ils ne savent pas faire a priori puisqu il m ont changé mon centre de CPAM d un autre departement en me disant comme il etait question d un nouveau contrat j aurai dut transmettre mon attestation de CPAM, je suis d accord mais pourquoi me mettre dans un autre centre de securité sociale et en plus pas le meme departement! A ce jour aucune reponse depuis 2019.
Aujourd hui la conseillere que j ai eu me dit qu ils ont gardé mon ancien RIB ( de 2018) pour me prelever et mon nouveau RIB  ( donné lors de mon nouveau contrat) pour me rembourser.
Reponses evasives de la conseillere ( heureusement qu ils enregistrent...) , ne sait pas, ne voit pas, est d accord avec moi, ne peut rien faire pour moi, me comprend.
VRAIMENT PAS SERIEUX, LAMENTABLE, INCOMPETENT, A FUIR!!
</t>
  </si>
  <si>
    <t>08/11/2021</t>
  </si>
  <si>
    <t>anais-de-faria-138865</t>
  </si>
  <si>
    <t xml:space="preserve">Service client très accessible, temps d’attente de moins d’une minute à chaque appel, information donner parfaitement par rapport au demande. 
Niquel </t>
  </si>
  <si>
    <t>03/11/2021</t>
  </si>
  <si>
    <t>3661-137644</t>
  </si>
  <si>
    <t xml:space="preserve">Réactivité des professionnels à l écoute 
Je trouve cependant dommage que dans le cadre de cette mutuelle obligatoire, nous ne puissions abonder  notre mutuelle de certains services en corrélation avec nos besoins individuels </t>
  </si>
  <si>
    <t>18/10/2021</t>
  </si>
  <si>
    <t>01/09/2021</t>
  </si>
  <si>
    <t>nalesoceli-125055</t>
  </si>
  <si>
    <t>Catastrophique en relation client. Depuis des mois je me bats avec eux et ils ne prennent même pas le temps de répondre spécifiquement. Ils envoient une réponse bateau qui ne règle absolument pas mon problème.
Vraiment Catastrophique !!!</t>
  </si>
  <si>
    <t>27/07/2021</t>
  </si>
  <si>
    <t>01/07/2021</t>
  </si>
  <si>
    <t>domitille-124374</t>
  </si>
  <si>
    <t xml:space="preserve">jai pris contacte avec vos service se jour pour mon arrêt maladie accident de travail
j ai eu de tres bone renseignement
votre personnel a l écoute du client 
vous avec une super équipe car j ai toujours eu réponse a mes demandes
bien cordialement
</t>
  </si>
  <si>
    <t>23/07/2021</t>
  </si>
  <si>
    <t>christine-124092</t>
  </si>
  <si>
    <t>Je suis toujours dans l'attente du remboursement de ma cure thermale???...Tres deçu les tarifs augmentent mais moins vous rembourser ma demande recente de dépassement d'honoraires de 150 euros et non189,45</t>
  </si>
  <si>
    <t>21/07/2021</t>
  </si>
  <si>
    <t>sylvie-123224</t>
  </si>
  <si>
    <t>Accueillie par mon nom et prénom lors de mon arrivée en ligne. Echange très aimable. Reponse apportée sans une grande attente. Serveur horrible et long.</t>
  </si>
  <si>
    <t>12/07/2021</t>
  </si>
  <si>
    <t>meldion-121201</t>
  </si>
  <si>
    <t xml:space="preserve">Très satisfaite de ma mutuelle , application très simple d’utilisation ,délais de remboursements rapides, appels et communication rapide et efficace 
Je recommande </t>
  </si>
  <si>
    <t>25/06/2021</t>
  </si>
  <si>
    <t>01/06/2021</t>
  </si>
  <si>
    <t>maud-r-116447</t>
  </si>
  <si>
    <t>Je suis très contente de ma mutuelle, des agents qui s'occupent de moi quand j'ai besoin.
Ma seule bête noire, c'est le site qui ne fonctionne pour ainsi dire jamais, lorsque je veux adresser des factures de remboursement ! Et ce prendre la tête avec ça quand on souffre, que l'on est fatigué ?? c'est usant. Cela serait bien de remédier au problème car cela fait longtemps que ça ne fonctionne pas !!! Sinon, tout le reste est ok ??</t>
  </si>
  <si>
    <t>09/06/2021</t>
  </si>
  <si>
    <t>carolec-116358</t>
  </si>
  <si>
    <t>Pour l'appel de ce jour, Joao a été très patient et efficace. Il a su me répondre et me conseiller selon ma situation. J'ai transmis les documents nécessaire au bon traitement de mon dossier. Merci à vous.</t>
  </si>
  <si>
    <t>08/06/2021</t>
  </si>
  <si>
    <t>mariannelacroute-115937</t>
  </si>
  <si>
    <t xml:space="preserve">Excellente mutuelle santé, service client réactif et de bons conseils. On réussit généralement à les joindre rapidement, sur un numéro non surtaxé,ce qui est appréciable. </t>
  </si>
  <si>
    <t>04/06/2021</t>
  </si>
  <si>
    <t>lydie-115137</t>
  </si>
  <si>
    <t>Toujours un peu perdue dans les prises en charge de la sécurité sociale et de la mutuelle Génération ainsi que des différents process dans le cadre de ma grossesse, à chaque fois que j’appelle le service client Génération il y a toujours au bout du fil une personne serviable, patiente et pédagogue. Je raccroche toujours sereine malgré le stress en amont.
Merci à vous de me simplifier la vie !!</t>
  </si>
  <si>
    <t>28/05/2021</t>
  </si>
  <si>
    <t>01/05/2021</t>
  </si>
  <si>
    <t>mariond-115058</t>
  </si>
  <si>
    <t xml:space="preserve">Il s’agit de la mutuelle de mon ancien employeur, je suis en portabilité jusqu’à la fin de l’année ou jusqu’à ce que je trouve un nouvel emploi donc concernant les tarifs je ne sais pas trop, je n’ai pas d’éléments de comparaison. Par contre sur le service ils sont top. Réactifs, à l’écoute, les devis arrivent vite, les remboursements aussi et je trouve que les remboursements sont tout à fait convenables. Merci à eux </t>
  </si>
  <si>
    <t>27/05/2021</t>
  </si>
  <si>
    <t>mona-nou-113995</t>
  </si>
  <si>
    <t>Rapide et Efficace quand j’ai eu besoin de régler un litige, Suite à une erreurs . Facile à contacter, à l’écoute et agréable. Mon dossier a était pris en charges dans la journée. Rien à redire.</t>
  </si>
  <si>
    <t>17/05/2021</t>
  </si>
  <si>
    <t>3258745-112036</t>
  </si>
  <si>
    <t>BJR j avoue être agréablement surpris par la réactivité de vos servies et la gentillesse de vos intervenants.
J'aimerais savoir si je pourrais continuer avec cette mutuelle a mon départ en retraite</t>
  </si>
  <si>
    <t>29/04/2021</t>
  </si>
  <si>
    <t>01/04/2021</t>
  </si>
  <si>
    <t>france-110641</t>
  </si>
  <si>
    <t xml:space="preserve">Bonjour. A mon sens, plusieurs critères conditionnent une satisfaction de sa complémentaire santé :
1 La cotisation : Dans la mesure où l'employeur participe, cela reste correct.
2 Les Garanties et les remboursements associés : Il y'a toujours moyens d'améliorer les garanties, mais cela a un coût. Le montant des remboursements est globalement raisonnable.
3 Les délais de remboursement : Très rapide, rien à dire.
4 Les moyens pour joindre Génération : Espace client, tél... parfait, rien à ajouter
5 La qualité de l'accueil et des explications du télé-conseiller : J'ai eu l'occasion d'appeler à plusieurs reprises, et j'ai TOUJOURS eu des interlocuteurs compétents, ce qui est loin d'être le cas partout ! Bravo à vos équipes.
Cet avis n'engage que moi. Toutefois, étant Représentant du Personnel au sein de ma société, je souhaiterai effectuer un sondage auprès de l'ensemble des collaborateurs, cela pourrait être intéressant... J'ai d'ailleurs demandé à ma dernière télé-conseillère (Anaëlle je crois) de transmettre ma demande si vous aviez un Qualitel/Questionnaire de satisfaction, sait-on jamais.
Je vous souhaite une bonne fin de journée,
France POTIEZ / Sté LES MAISONS DU VOYAGE
</t>
  </si>
  <si>
    <t>16/04/2021</t>
  </si>
  <si>
    <t>st-110149</t>
  </si>
  <si>
    <t xml:space="preserve">Super accueil téléphonique  avec des renseignements precis personne très agréable  
Sens de l'écoute et conseil sur le site afin de pouvoir envoyer des documents </t>
  </si>
  <si>
    <t>12/04/2021</t>
  </si>
  <si>
    <t>lambersart--109026</t>
  </si>
  <si>
    <t>Mon fils, Devant être hospitalisé dans l’urgence, mon interlocuteur a été à l’écoute, d’une réelle efficacité, me simplifiant les démarches alors que je rencontrais des difficultés d’ordre administratives avec la cpam et l’hôpital concernant la prise en charge. 
Merci</t>
  </si>
  <si>
    <t>03/04/2021</t>
  </si>
  <si>
    <t>resa-108721</t>
  </si>
  <si>
    <t xml:space="preserve">Je remercie mon interlocuteur pour son excellent accueil, pour le temps pris à me répondre, et pour ses efforts déployés pour répondre au mieux à mes questions. </t>
  </si>
  <si>
    <t>31/03/2021</t>
  </si>
  <si>
    <t>01/03/2021</t>
  </si>
  <si>
    <t>thedirtybat-107056</t>
  </si>
  <si>
    <t>Mutuelle choisie par mon employeur, je ne l'ai pas choisie. En revanche nous (famille) en avons été très satisfaits pour tout les remboursements courants et bien remboursés également pour l'optique et le dentaire. Comme toute mutuelle je pense que cela dépend bien sur du forfait choisi. 
En revanche je voudrais souligner ici la grande efficacité du service clientèle de Génération. Suite à une erreur de ma part j'aurais pu ne pas être remboursé. Après un appel et une conseillère très aimable j'ai rédigé un mail de requête à l'adresse indiquée et 3 jours plus tard on m'informait que le soucis était réglé. Bravo!</t>
  </si>
  <si>
    <t>18/03/2021</t>
  </si>
  <si>
    <t>cerise44-107005</t>
  </si>
  <si>
    <t xml:space="preserve">Très déçue car aucune cohérence entre les gestionnaires, l arrive des courriers et les changements de situations, personne ne répond à vos questions donc je trouve abuser de nous obliger à prendre cette mutuelle avec notre entreprise le temps d un cdd et quand il s arrête plus personne au bout du fil vraiment aucun suivi j ai transmis le dossier à une association de consommateurs et un service juridique c est abuser
</t>
  </si>
  <si>
    <t>marc-cecchetti-104131</t>
  </si>
  <si>
    <t>Nous somme deux   sans changement de contrat TARIF 2020 pour 2 :200,71 EUROS
                                                                        TARIF 2021 pour 2 :277,75 EUROS
AUGMENTATION DE  38,38%
ATTENTION A CETTE MUTUELLE 
APRES AVOIR PRIS  CONTACT AVEC EUX IL TROUVENT  L AUGMENTATION NORMAL
trouver l' erreur il vive dans un autre monde</t>
  </si>
  <si>
    <t>14/02/2021</t>
  </si>
  <si>
    <t>01/02/2021</t>
  </si>
  <si>
    <t>gautier-103943</t>
  </si>
  <si>
    <t>Une catastrophe !
Pour 2021, j'ai reçu, en l'espace de 20 jours, 3 échéanciers de montants différents, cela sans aucune explication.
Les 2 prélèvements effectués à ce jour sur mon compte pour 2021 ne correspondent à aucun d'entre eux!
Le demandes d'explication sur le site restent sans réponses.
Au téléphone, mon interlocuteur me déclare ne pas comprendre ce qu'il se passe et ne peut donc me renseigner.
Manque total de professionnalisme.
Tout simplement lamentable...</t>
  </si>
  <si>
    <t>10/02/2021</t>
  </si>
  <si>
    <t>cyrpap-103705</t>
  </si>
  <si>
    <t xml:space="preserve">
Très bon conseil,  patient et pédagogue. Il m'a guidé étape par étape,  c'est pour la première fois que ça m'arrive que  le conseiller accorde autant de temps. 
Bravo pour le professionnalisme </t>
  </si>
  <si>
    <t>04/02/2021</t>
  </si>
  <si>
    <t>sophie--103573</t>
  </si>
  <si>
    <t>À chaque appel je suis satisfaite, les interlocuteurs sont très professionnels, ils sont à l’écoute et trouve toujours la solution à mes questions. Je recommande Génération.</t>
  </si>
  <si>
    <t>02/02/2021</t>
  </si>
  <si>
    <t>khal90-103380</t>
  </si>
  <si>
    <t>De moins de choses sont pris en compte et lorsqu'il y a un problème c'est compliqué. J'ai fournis tous les justificatifs pourtant mais rien n'est pris en compte aucune prévoyance ne prend la relève en cas de perte de salaire.
La teletransmission ne s'effectue pas.....</t>
  </si>
  <si>
    <t>28/01/2021</t>
  </si>
  <si>
    <t>01/01/2021</t>
  </si>
  <si>
    <t>ingrid-103180</t>
  </si>
  <si>
    <t xml:space="preserve">Personne qui donne des renseignements précis. 
Cependant besoin d'un devis pour connaître le remboursement  malgré le fait que je connaissais le prix des futurs soins, dommage. 
1 min d'attente franchement ça été très rapide pour joindre la personne. </t>
  </si>
  <si>
    <t>25/01/2021</t>
  </si>
  <si>
    <t>kascie-103177</t>
  </si>
  <si>
    <t xml:space="preserve">Sincèrement, je n'ai JAMAIS rencontré une mutuelle aussi incompétente dans la gestion des dossiers. C'est fascinant de non-professionnalisme. C'est une mutuelle d'entreprise, nous sommes juste pris en otage. C'est incroyable. </t>
  </si>
  <si>
    <t>taf-103056</t>
  </si>
  <si>
    <t xml:space="preserve">génération mutuelle de pire en pire à éviter soucis de paramétrage de mon compte impossible d'avoir mes remboursements ne répondent même plus aux mails  ?
sont incapable de me dire quand cela va être résolu ?  le flou total bonjour la galère </t>
  </si>
  <si>
    <t>21/01/2021</t>
  </si>
  <si>
    <t>pascal68-53223</t>
  </si>
  <si>
    <t>Rien a dire pour les remboursements, rapides et sérieux, mais la 39% d'augmentation je suis sidéré, alors que le ratio cotisation et remboursement est en leur faveur. Donc je suis satisfait mais pas pour les augmentations aussi importantes.</t>
  </si>
  <si>
    <t>30/12/2020</t>
  </si>
  <si>
    <t>01/12/2020</t>
  </si>
  <si>
    <t>familleb-102018</t>
  </si>
  <si>
    <t xml:space="preserve">Ma famille et moi-même sommes très satisfaits de notre mutuelle car les avantages que nous en tirons ne sont pas négligeables. De plus, le service client est toujours à l'écoute et disposé à aider le plus efficacement possible ! </t>
  </si>
  <si>
    <t>cedricdu06-101439</t>
  </si>
  <si>
    <t xml:space="preserve">Bonjours suis-je le seul qui n’arrive pas à ce connecter sur le site ? J’aimerai être contacté pour pouvoir me connecter pour être rembourser sur mes prochaine consultation merci . </t>
  </si>
  <si>
    <t>14/12/2020</t>
  </si>
  <si>
    <t>mom0059-101090</t>
  </si>
  <si>
    <t>Mon entreprise paye très cher la mutuelle GENERATION ma participation est cher aussi les remboursement on des délais très long est quand il y a des erreurs de remboursement il faut envoyé des papiers et encore des papiers et vous attendez encore et encore ....alors que de nos jours tout se fait par internet ça devrais être rapide mais avec eux NON . ET ILS REMBOURSE pour ma part avec la part secu 70%.</t>
  </si>
  <si>
    <t>08/12/2020</t>
  </si>
  <si>
    <t>coccinelle-100962</t>
  </si>
  <si>
    <t>Mutuelle à éviter à tout prix !!
Sauf si vous êtes un robot, bien-sûr ! Je m'explique, lorsque vous aurez besoin d'un renseignement au téléphone, vous tomber sur un robot vocal, qui ne comprendra votre question que si elle est très basique, et dans le meilleurs des cas vous répondra par oui ou non, vous irez vous brosser si vous souhaite un peu plus d'informations !
Ne comptez pas leur envoyer un mail non plus, puisque sur le site, vous pourrez seulement joindre des documents. Aucune question!
Si je pouvais mettre MOINS - 100, en service, c'est ce que cette mutuelle vaut !</t>
  </si>
  <si>
    <t>04/12/2020</t>
  </si>
  <si>
    <t>kate-100801</t>
  </si>
  <si>
    <t xml:space="preserve">Remboursement très rapide, bon service et accueil en ligne et téléphonique. Problème juste pour envoyer des fichiers , par exemple le document de contrat de travail apprentis de mon fils. </t>
  </si>
  <si>
    <t>30/11/2020</t>
  </si>
  <si>
    <t>01/11/2020</t>
  </si>
  <si>
    <t>aj-100205</t>
  </si>
  <si>
    <t>Conseiller très aimable à l'écoute et professionnelle qui prend le temps de tout expliquer en détail. Très satisfaite de leurs services. Je suis en plus très bien remboursée ??</t>
  </si>
  <si>
    <t>17/11/2020</t>
  </si>
  <si>
    <t>mir57-100172</t>
  </si>
  <si>
    <t>Comme je pars à la retraite l'an prochain, j'ai contacté Génération afin d'obtenir une proposition de complémentaire santé. Bien qu'ayant plusieurs fois répété à mon interlocutrice au cours de l'entretien téléphonique, que je ne souhaitais qu'un devis, elle m'a fait parvenir des documents à signer par internet, en me disant que j'avais 30 jours pour résilier. Une fois les documents signés on n'arrive plus du tout à accéder au devis. A ce jour je n'ai toujours reçu aucun document et j'ai peur que l'on m'ait forcé la main et que l'on fasse traîner en longueur l'expédition des documents, afin que je n'aie plus aucune possibilité de rétractation. J'ai demandé des devis à d'autres assurances et aucune ne m'a fait signer des documents. 
Est-ce que quelqu'un d'autre aurait vécu la même chose?</t>
  </si>
  <si>
    <t>16/11/2020</t>
  </si>
  <si>
    <t>emma1977-100154</t>
  </si>
  <si>
    <t>Suite à une question autours de la portabilité de mes droits, je suis très satisfaite par la réponse claire et pédagogique de la conseillère au téléphone.</t>
  </si>
  <si>
    <t>thomas-100142</t>
  </si>
  <si>
    <t xml:space="preserve">Au top ! Aucune attente et service ultra compétent ! J’ai eu aujourd’hui deux collaboratrice de génération qui ont repondu de façon très pro à mes questions , j’étais un peu perdu sur certaines démarches je ne savais pas comment m’y prendre  et j’ai eu la chance de tomber sur deux personne très compétentes 
Merci génération </t>
  </si>
  <si>
    <t>dorian-100018</t>
  </si>
  <si>
    <t xml:space="preserve">Mutuelle avec une latence énorme. A eviter. Standardiste parfois agresssive et discours incohérent. Apres un passage dans une banque j'ai perdu la portabilité du contrat et j'ai du rembourser les frais avec 2 mois de retard. Mutuelle a eviter </t>
  </si>
  <si>
    <t>12/11/2020</t>
  </si>
  <si>
    <t>laurence-99896</t>
  </si>
  <si>
    <t>Espace client bien fait. rapidité dans les remboursements. cependant manque de connaissance sur les dispositions législatives et règlementaires plus particulièrement sur la Loi Evin, pourtant capitale dans ce domaine.
Ce manque de professionnalisme ne m a pas permis de   bénéficier du report des garanties à un tarif équivalent. Le devoir de conseil au delà de la qualité de accueil  devrait être un des critères de recrutement des gestionnaires/conseillers de ces professionnels...</t>
  </si>
  <si>
    <t>09/11/2020</t>
  </si>
  <si>
    <t>zarah-delphine--99816</t>
  </si>
  <si>
    <t xml:space="preserve">Il faut s accrocher pour les avoir par téléphone.
Reponds assez rapidement par mail via l application, sauf pour la résiliation.
Dès que l on parle de resiliation ils deviennent complètement désagréable refuse la RÉSILIATION même pour les contrats de plus d un an . Il faut attendre la date de fin de contrat? Je n ai jamais vu ça. 
À fuir si vous chercher une mutuelle humaine.
Depuis la demande de resiliation 
Le remboursement de soin traîne et refus catégorique de la RÉSILIATION alors que je suis au chomage non indemnisé. 
</t>
  </si>
  <si>
    <t>07/11/2020</t>
  </si>
  <si>
    <t>mariedel09-99575</t>
  </si>
  <si>
    <t>très satisfaite jusqu'ici de la prise en charge de cette mutuelle.
Seul bémol ces derniers temsp le numéro de téléphone ne fonctionne plus et on ne nous répond pas à notre demande de devis pour notre fils. 3ème relance, rendez vous de pose de l'appareille dentaire vendredi ça devient compliqué là...</t>
  </si>
  <si>
    <t>03/11/2020</t>
  </si>
  <si>
    <t>mme-99466</t>
  </si>
  <si>
    <t>J'ai donné cette note car je trouve que les prix sont corrects par rapport aux couvertures maladie.
j'ai adhéré à cette mutuelle par le biais de ma société car j'ai trouvé les prix très attractifs.
j'espère pouvoir continuer mon adhésion suite a mon prochain départ en retraite, donc départ de mon entreprise.</t>
  </si>
  <si>
    <t>31/10/2020</t>
  </si>
  <si>
    <t>01/10/2020</t>
  </si>
  <si>
    <t>mira-99126</t>
  </si>
  <si>
    <t>j'ai toujours eu la réponse à mes demandes avec satisfaction.je n'ai jamais rencontré de problème particulier qui n'ai pas trouvé de solution.
je recommande ce service</t>
  </si>
  <si>
    <t>23/10/2020</t>
  </si>
  <si>
    <t>liulu-97789</t>
  </si>
  <si>
    <t>Le service client est disponible et à l’écoute. L’attente n’était pas très longue au téléphone. Le SAV est vraiment pris en charge par des personnes qui parlent bien français. Très efficace pour répondre aux questions. Le service va chercher les réponses pour ne pas laisser le client sans information. J’ai été Très agréablement surprise et accueillie.</t>
  </si>
  <si>
    <t>24/09/2020</t>
  </si>
  <si>
    <t>01/09/2020</t>
  </si>
  <si>
    <t>bof-97602</t>
  </si>
  <si>
    <t>Je n’ai pas vraiment d’avis,ma mutuelle c’est celle obligatoire du travail,j’en suis satisfait jusqu’à présent.Pour le prix ,je n’ai pas regardé ailleurs bien évidemment.</t>
  </si>
  <si>
    <t>19/09/2020</t>
  </si>
  <si>
    <t>chris-97558</t>
  </si>
  <si>
    <t xml:space="preserve">Satisfaite de la disponibilité des conseillers en ligne.
Assurance santé prise par le biais de mon employeur qui me satisfait pour le moment par rapport à mes dépenses </t>
  </si>
  <si>
    <t>18/09/2020</t>
  </si>
  <si>
    <t>sophir-97433</t>
  </si>
  <si>
    <t xml:space="preserve">Chaque appel est rapide et très précis, les conseillers sont à l'écoute et répondent clairement à toutes les questions posées, le suivi est parfait. Les remboursements sont rapides.
Je suis très satisfaite ! </t>
  </si>
  <si>
    <t>15/09/2020</t>
  </si>
  <si>
    <t>priscillia-97214</t>
  </si>
  <si>
    <t>Bonne mutuelle, les remboursements se font vite, accueil téléphonique agréable. 
Les contacts par mail sont fluides et les réponses sous 24 a 48h. Merci</t>
  </si>
  <si>
    <t>09/09/2020</t>
  </si>
  <si>
    <t>astrid761--97116</t>
  </si>
  <si>
    <t xml:space="preserve">Bonne prises en charge dans l’ensemble que ce soit dentaires ,optique ... 
Les devis sont traités rapidement et le personnel en ligne et très agréable . 
Je recommande génération </t>
  </si>
  <si>
    <t>07/09/2020</t>
  </si>
  <si>
    <t>stefan30-96990</t>
  </si>
  <si>
    <t>Je suis content de D’Anaelle qui me suis est qui me reconnaît au téléphone j’ai eu des soucie avec l’envoi de mais facture mais Anaëlle s’occupe de moi donc je patiente un peu est c régler merci à vous</t>
  </si>
  <si>
    <t>03/09/2020</t>
  </si>
  <si>
    <t>regis--96681</t>
  </si>
  <si>
    <t xml:space="preserve">Assurés auparavant à la MGEN, nous sommes très satisfait des prestations et des tarifs pratiqué chez GÉNÉRATION.
Tout à fait satisfait, je pourrais aisément conseiller un membre de ma famille à vous rejoindre </t>
  </si>
  <si>
    <t>26/08/2020</t>
  </si>
  <si>
    <t>01/08/2020</t>
  </si>
  <si>
    <t>val-96470</t>
  </si>
  <si>
    <t xml:space="preserve">Très professionnel ,très peu de délai d attente, conseillère très aimable,a chaque fois que j ai eu a joindre par téléphone jamais déçu des prestations </t>
  </si>
  <si>
    <t>19/08/2020</t>
  </si>
  <si>
    <t>sevilha-95505</t>
  </si>
  <si>
    <t xml:space="preserve">
J'attend le remboursement de cotisations indûment payes!!! J'ai envoyé lettre recommandée avec AR, pas de réponse! J'ai appelée plusieurs fois, personne est capable de me donner une réponse... toujours la même: le collègue du service concerné va vous appeler... jamais de retour!!!! 
</t>
  </si>
  <si>
    <t>28/07/2020</t>
  </si>
  <si>
    <t>01/07/2020</t>
  </si>
  <si>
    <t>assuree214-94055</t>
  </si>
  <si>
    <t>Service client &amp; éthique vraiment limites,  apres avoir souscrit à cette mutuelle de par mon ancien employeur, et me retrouvant au chômage indemnisée par pôle emploi, j'avais appelé le service client pour leur demander quelles étaient les démarches pour une continuité de souscription à la mutuelle durant ma période de chômage. Le téléconseiller m'avait indiqué où joindre mon attestation pole emploi et ma demande via le site, suite à quoi ils m'ont prélevés 216 euros 54, considérant que je devais avoir à charge la part employeur + la part employé sans jamais ne me demander mon accord (je crois qu'ils n'avaient même pas pris en compte me fait que j'étais indemnisée par pôle emploi, alors que j'avais transmis l'attestation exacte que m'avait indiqué le téléconseiller) ensuite cela a été la croix et la bannière et un délai de plus de 3 mois pour être remboursée des 216 euros, tout ça parce qu'ils me demandaient au préalable de rembourser 14 euros qui m'avaient été remboursés, via chèque par voie postale (ils ne me proposaient même pas le virement pour que ce soit plus rapide durant le covid 19, ou de ne me rembourser que 202 euros sur les 216 qu'ils me devaient).</t>
  </si>
  <si>
    <t>14/07/2020</t>
  </si>
  <si>
    <t>mutuel-87080</t>
  </si>
  <si>
    <t>Grande difficulté pour résilier le contrat. On nous demande divers justificatifs. On les fournit. De nouvelles demandes sont faites de leur part. Leur prélèvement continue... A fuir.</t>
  </si>
  <si>
    <t>12/06/2020</t>
  </si>
  <si>
    <t>01/06/2020</t>
  </si>
  <si>
    <t>mymy78250-89894</t>
  </si>
  <si>
    <t xml:space="preserve">Très déçue </t>
  </si>
  <si>
    <t>25/05/2020</t>
  </si>
  <si>
    <t>01/05/2020</t>
  </si>
  <si>
    <t>poobear-89135</t>
  </si>
  <si>
    <t>Je vous déconseille de vous souscrire à cette mutuelle. Je paie une fortune (environ 50$ par mois) pour qu'ils me remboursent même pas la moitié des soins que je prends. Même après que j'ai quitté cette mutuelle, Génération m'envoie des lettres disant que je leurs dois 10$, puis 20$ et après 39$ etc... à cause d'une soit disant erreur de leurs parts. Je trouve ça dégueulasse (excusez moi d'utiliser ce terme mais c'est le seul mot que je peut dire) de nous prendre pour des imbéciles afin de se gagner de l'argent dans le dos. De profiter des personnes ayant 3 enfants à charges. Je trouve tout cela scandaleux de votre part. Je comprends maintenant pourquoi c'est si mal noté.</t>
  </si>
  <si>
    <t>24/04/2020</t>
  </si>
  <si>
    <t>01/04/2020</t>
  </si>
  <si>
    <t>nad2-86595</t>
  </si>
  <si>
    <t>Bien remboursée comme me l'a confirmé mon opticien contrairement à d'autres mutuelles</t>
  </si>
  <si>
    <t>31/01/2020</t>
  </si>
  <si>
    <t>01/01/2020</t>
  </si>
  <si>
    <t>lorenzoch9-86394</t>
  </si>
  <si>
    <t xml:space="preserve">Fuyez sont complétement incompétent  , service client inexistant !!!dans l'incapacité d'envoyer les taux de prise en charge depuis plus d'un mois, soit disant la nouvelle réforme !!!!! Faudrait il peut être anticiper depuis plusieurs mois..... </t>
  </si>
  <si>
    <t>27/01/2020</t>
  </si>
  <si>
    <t>antsirabe-85674</t>
  </si>
  <si>
    <t>Mutuelle à fuir car ils sont nuls et ne réagissent pas vite aux problèmes par contre ils en créent toujours</t>
  </si>
  <si>
    <t>09/01/2020</t>
  </si>
  <si>
    <t>romain1389-81483</t>
  </si>
  <si>
    <t xml:space="preserve">Super expérience, Generation m'a beaucoup aidé et ils sont très réactifs au téléphone quand j'essaye de les joindre. Je recommande vivement leur service et la qualité des interlocuteurs est très appréciée. </t>
  </si>
  <si>
    <t>29/11/2019</t>
  </si>
  <si>
    <t>01/11/2019</t>
  </si>
  <si>
    <t>manon85-75786</t>
  </si>
  <si>
    <t xml:space="preserve">Bonjour,
J'avais pris la mutuelle de mon travail le 04/12/2017, depuis le 24/04/2019 j'ai démissionné de la société.
J'ai envoyé de nombreux courrier en expliquant mon cas et mettant des pièces justificatifs en leur disant que je ne fais plus partis des effectifs de Leclerc Rambouillet
Ce matin, j'ai eu un monsieur très gentil qui m'expliquait qu'ils avaient bien reçu mes courriers en expliquant que je résilier mon contrat avec eux. Il me dis que sans certificat de travail fourni ils ne peuvent pas résilier.
Depuis le 24 Avril 2019, je me bagarre avec cette société pour avoir tous mes documents
Je trouve sa très très décevant d ne rien pouvoir faire.
Une mutuelle que je déconseille fortement
</t>
  </si>
  <si>
    <t>10/05/2019</t>
  </si>
  <si>
    <t>01/05/2019</t>
  </si>
  <si>
    <t>cyril-75770</t>
  </si>
  <si>
    <t xml:space="preserve">Plusieurs demandes de remboursement en souffrance, rien n'avance depuis plusieurs semaines.
J'ai ouvert plusieurs demande pour escalader mes problèmes en cochant la case "mécontent", qui ne sert à rien, juste à faire croire pendant un instant que ca va permettre de résoudre le problème.
Génération, une mutuelle comme tellement d'autres, rembourse ultra lentement, source de mécontentement
Aussi "pas terrible" que les autres, mais avec un site web et une appli mobile pour vous faire espérer.. fatigue </t>
  </si>
  <si>
    <t>esthertxuyxu-75539</t>
  </si>
  <si>
    <t xml:space="preserve">On contacte pour se faire rembourser , depuis deux mois aucun remboursement, la télétransmission pas fait non plus . Vraiment une catastrophe. Personne trouve une solution . Pas possible,  c'est toujours pareil on appelle et toujours une personne diferente que répond donc rien à faire. C'est honteux!!!! </t>
  </si>
  <si>
    <t>priscilla-74812</t>
  </si>
  <si>
    <t>Une catastrophe, plus de 4 mois qu'aucun remboursement ne m'est effectué, j'ai beau envoyé le relevé sécurité sociale et facture, il y a toujours un problème, plus de 2 semaines pour recevoir une réponse au mail. Vivement la fin d'année que je résilie cette mutuelle !</t>
  </si>
  <si>
    <t>06/04/2019</t>
  </si>
  <si>
    <t>01/04/2019</t>
  </si>
  <si>
    <t>adc283-71802</t>
  </si>
  <si>
    <t>Délai irresponsable pour la mise en place d'un contrat de sortie de groupe loi evin, depuis on me  balade de service en service en me disant que le nécessaire sera fait mais cela va faire 2 semaines et je n'ai toujours pas eu de retour de leur part, alors même que c'est une obligation légale pour les personnes en invalidité, comme moi</t>
  </si>
  <si>
    <t>02/03/2019</t>
  </si>
  <si>
    <t>01/03/2019</t>
  </si>
  <si>
    <t>rayan95-67415</t>
  </si>
  <si>
    <t>Je suis pas du tout satisfait du service, j avais envoyé plus mail via leur plateforme, pour réclamer un remboursement, toujours sans réponse.
Par téléphone c est encore pire</t>
  </si>
  <si>
    <t>07/10/2018</t>
  </si>
  <si>
    <t>01/10/2018</t>
  </si>
  <si>
    <t>sphere14-64717</t>
  </si>
  <si>
    <t>Cette mutuelle m'a été imposé avec la nouvelle loi . Les cotisations avec l'option maximum sont correctes . J'ai une facture de 1920 euros pour la pose de deux prothèses dentaires et il reste 950 euros à ma charge sécurité sociale incluse . Si on vous propose plusieurs mutuelles , oubliez celle-là .</t>
  </si>
  <si>
    <t>12/06/2018</t>
  </si>
  <si>
    <t>01/06/2018</t>
  </si>
  <si>
    <t>acissej-63835</t>
  </si>
  <si>
    <t>A fuir absolument!!!!!Si on vous dit qu'un contrat de moins d'un an est possible,CE N'EST PAS VRAI. Je me retrouve à payer 2 mutuelles.De plus quand vous voulez résilier les infos sont introuvables sur le site.Et en cas de résiliation pour rejoindre une mutuelle obligatoire,bien le faire dans les 3 mois suivants la date de début du contrat.</t>
  </si>
  <si>
    <t>07/05/2018</t>
  </si>
  <si>
    <t>01/05/2018</t>
  </si>
  <si>
    <t>petitlou-62494</t>
  </si>
  <si>
    <t>A chaque début d'année, ils sont débordés, par rapport aux accidents de ski etc... donc les délais de remboursement sont très longs. J'ai envoyé un justificatif mi février, je viens de les appeler, je ne serai pas remboursée avant début avril (minimum).</t>
  </si>
  <si>
    <t>20/03/2018</t>
  </si>
  <si>
    <t>01/03/2018</t>
  </si>
  <si>
    <t>tonioal-62422</t>
  </si>
  <si>
    <t>Très mauvaise mutuelle,conseillers sans compétences ,mensualités chères pour les prestations qu'elle offre,remboursements devenant ridicules,A FUIR !!!!</t>
  </si>
  <si>
    <t>16/03/2018</t>
  </si>
  <si>
    <t>francesco-62185</t>
  </si>
  <si>
    <t xml:space="preserve">Une vrai catastrophe. Pas un remboursement depuis le 01/01/2018, date de l'adhesion de mon employeur. La mutuelle n'est toujours pas connue du régime générale malgré mes efforts. Pas un remboursement d'effectué à ce jour sur mes soins. En somme, pas une réponse à mes demandes, pas un euros reçu. </t>
  </si>
  <si>
    <t>10/03/2018</t>
  </si>
  <si>
    <t>ga-53568</t>
  </si>
  <si>
    <t>Il s'agit de la mutuelle de ma compagne à laquelle je suis rattaché. Pour ce qui me concerne, le niveau des garanties est très bon (par exemple, remboursement, avec limites, de l'ostéopathie ou de l'orthodontie adulte). Contrairement à ce que j'ai pu lire, on arrive relativement facilement à joindre quelqu'un (numéro non surtaxé). Le délai de traitement des demandes ou remboursements est tout-à-fait acceptable (entre 3 et 5 jours pour une réponse ou être remboursé à compter de l'envoi du justificatif). L'interface du site mériterait un coup de jeune mais c'est, pour l'instant, la seule chose que j'ai à reprocher à cette mutuelle.</t>
  </si>
  <si>
    <t>02/03/2018</t>
  </si>
  <si>
    <t>genapi-61614</t>
  </si>
  <si>
    <t xml:space="preserve">Plus de 3 semaines que j’attends le remboursement de mes frais d’optique (lentilles) ! Par téléphone, on a du retard, compte tenu du prix de cette mutuelle, c’est INACCEPTABLE ! Ras le bol. Ils répondent rarement aux messages ! </t>
  </si>
  <si>
    <t>21/02/2018</t>
  </si>
  <si>
    <t>01/02/2018</t>
  </si>
  <si>
    <t>chris-61392</t>
  </si>
  <si>
    <t>A fuir.</t>
  </si>
  <si>
    <t>13/02/2018</t>
  </si>
  <si>
    <t>chriss-60923</t>
  </si>
  <si>
    <t>Nul, voire scandaleux. A ce jour je n’ai toujours pas reçu mon attestation, ni même mon numéro d’adhérent et encore moins mes identifiants internet. Ce très mauvais choix imposé par notre société nous met tous en difficultés. Cette mutuelle existe-t-elle vraiment ou a-t-elle déjà fait faillite ?Cette mutuelle fantôme est injoignable. Je répète : tout simplement scandaleux, je songe vraiment à organiser une action collective et à déposer plainte.</t>
  </si>
  <si>
    <t>29/01/2018</t>
  </si>
  <si>
    <t>01/01/2018</t>
  </si>
  <si>
    <t>antonin-54823</t>
  </si>
  <si>
    <t>Mutuelle imposée par mon employeur avec un contrat sans aucun rapport avec son côut! À éviter, assureurs de base prêts à faire du pognon sur le dos des assurés.</t>
  </si>
  <si>
    <t>20/05/2017</t>
  </si>
  <si>
    <t>01/05/2017</t>
  </si>
  <si>
    <t>mathildeg13-139393</t>
  </si>
  <si>
    <t xml:space="preserve">À fuir, Assurance médiocre et personnel incompétent ! 
L'assurance m'a radié sans me prévenir au mois de septembre, après un appel pour savoir comment procéder pour être assuré de nouveau la personne nous annonce un délai de 8 semaines et que tous les frais durant cette période seront remboursés. 
Nous sommes aujourd'hui à 10 semaines de l'envoie des éléments demandés pour apprendre que je ne pourrais pas être assurée, malgré les nombreuses relances au durant ces derniers semaines personnes n'a été capable de me dire que je ne pourrais pas être assurée 
J'ai du partir vers une autre assurance avec de nombreux frais médicaux qui ne me seront jamais remboursés (consultation généraliste, consultation spécialiste, pharmacie, analyses...) 
</t>
  </si>
  <si>
    <t>Ag2r La Mondiale</t>
  </si>
  <si>
    <t>10/11/2021</t>
  </si>
  <si>
    <t>vero-139302</t>
  </si>
  <si>
    <t>FUYEZ !!!
Je viens d'apprendre que ma fille et moi même sommes radiés depuis 2 mois sans en avoir fait la demande ...! C'est par le biais de la sécu que j'ai découvert cela.
Pas un courrier , pas un mail d'AG2R !!! Pourtant je continue d'être débitée de mes mensualités.
A chaque interlocuteur une version .(Suite à conversation avec leurs services, hier on me dit que ma fille était couverte , pas moi . Aujourd'hui on me dit que ni elle ni moi ne sommes couvertes ...) Personne ne sait qui a fait cette demande. En tout cas ce n'est pas moi !
Une après- midi passée et personne ne sait.
Nous ne sommes  donc plus couvertes par nos mutuelles santé , grave.
Ils doivent m'appeler demain car ils ne comprennent pas ... 
A suivre pour cette histoire de fou.</t>
  </si>
  <si>
    <t>somey-133704</t>
  </si>
  <si>
    <t xml:space="preserve">Cette mutuelle est tout juste honteuse!!! 
Deux mois que j’attend le remboursement de mes frais optiques! Ils ont le décompte de remboursement, la facture acquittée, la prescription médicale et la carte de vue mais ça n’est pas encore assez pour qu’ils procèdent au remboursement! Une vraie honte de faire tourner les assurés de cette manière! Un vrai cauchemar!! Et lorsqu’on demande par téléphone si tout les papiers sont bons on me répond que oui! 
Je vais saisir le médiateur et me faire épauler par une association qui lutte contre ce type de pratique honteuses! </t>
  </si>
  <si>
    <t>20/09/2021</t>
  </si>
  <si>
    <t>nana-130202</t>
  </si>
  <si>
    <t xml:space="preserve">Nul honteux impossible à se faire rembourser des soins avec envoi de factures frais de médecin traitant non remboursé  service  assistance tel nullissime   n'y plys n'y moins </t>
  </si>
  <si>
    <t>30/08/2021</t>
  </si>
  <si>
    <t>01/08/2021</t>
  </si>
  <si>
    <t>valou54-127229</t>
  </si>
  <si>
    <t xml:space="preserve">pour mon cas j'ai eu un devis dentaire que j'ai envoyé par l'intermédiaire du site et j'ai fait toujours par le site l'envoi de mon RIB mon virement est effectué et je n'ai jamais eu de soucis. J ai déjà eu l'occasion de faire un changement de mutuelle par téléphone et mon interlocutrice était très serviable et j'ai attendu 1 semaine le temps que ma cpam valide ma mutuelle 
 c'est une mutuelle de travail et j'en suis contente.
</t>
  </si>
  <si>
    <t>09/08/2021</t>
  </si>
  <si>
    <t>ost0810-123772</t>
  </si>
  <si>
    <t xml:space="preserve">Assuré depuis 7 ans chez eux. Jamais eu de soucis car jamais malade ou gros soins médicaux.
Maintenant que j'engage des frais dentaires, que  j'ai un devis à zéro euros restant à charge validé par leurs soins, on m'annonce que je n'ai pas droit au remboursement car les décomptes sont transmis à mon ancienne mutuelle que j'ai quitté il y a presque 16 ans!!!!!J'ai contacté l'ancienne mutuelle ( hd assurances efficaces et réactifs) qui m'a transmis le jour même le certificat de radiation.
Donc tant que les frais restaient raisonnables, pas de problème pour prise en charge. Mais là que j'en ai pour près de 1000€, on me dit que j'ai pas droit au remboursement qui était pourtant accordé sur devis......
Tu les appelle on te dit jamais la même chose, tu dois tout réexpliquer à chaque fois, et sa fini toujours par c'est en cours de traitement, vous l'aurez semaine prochaine!! 
Je saisis le médiateur à ce jour et ufc que choisir. Ras le bol de ces gros cons 
</t>
  </si>
  <si>
    <t>19/07/2021</t>
  </si>
  <si>
    <t>lucie-123518</t>
  </si>
  <si>
    <t xml:space="preserve">Mardi- après midi le 13 juillet 2021 multiples appels à AG2R: ligne téléphonique HS: personne au bout du fil après le choix d’option, sonne dans le vide.
Jeudi 15 juillet, sur l’espace assuré en ligne, impossible de leur envoyer un mail, le message apparaît en rouge : PROBLÈME TECHNIQUE. 
Arpège ne répond pas aux mails envoyés de toute façon, sauf pour les nouvelles affiliations bien sur..
pas sérieux, ils ne savent pas gérer les imprévues techniques ou ils le font exprès tellement c’est ridicule, c’est à se demander…. 
</t>
  </si>
  <si>
    <t>15/07/2021</t>
  </si>
  <si>
    <t>sadia-43361</t>
  </si>
  <si>
    <t xml:space="preserve">Remboursement de chambre particulière toujours pas payé !!!
Il demande des documents au compte goutte je pense que je peux m asseoir sur le Remboursement 
Mutuelle a bannir </t>
  </si>
  <si>
    <t>18/06/2021</t>
  </si>
  <si>
    <t>peggy-114696</t>
  </si>
  <si>
    <t>Ils se sont enrichis sur mon dos : au départ mutuelle choisie par mon entreprise.
Je suis à la retraite et j'ai continué avec eux mais aucun remboursement depuis au moins 2-3 ans. Cette mutuelle ne me correspond pas et je ne veux pas payer plus cher pour 100 € pris en charge 1 fois par an. 
Je suis à 100% invalidité et 100% ALD;</t>
  </si>
  <si>
    <t>24/05/2021</t>
  </si>
  <si>
    <t>jeremie-111843</t>
  </si>
  <si>
    <t xml:space="preserve">1 ans et demi que je suis chez AG2R. Je réalise qu'ils ne m'ont jamais remboursé et ils m'expliquent qu'ils se sont trompés avec mon numéro de sécurité sociale.
Bilan, aucun remboursement parce qu'ils veulent des factures des frais médicaux. Si je n'ai pas de facture, je ne récupère pas mon argent.
J'ai déménagé, et je ne me souviens même plus de l'adresse de chaque professionnel de santé.
Aucun excuse, pas de courrier ou d'appel pour m'expliquer quoique ce soit.
Je compte bien raconter cette histoire sur tout les réseaux sociaux disponible,et demander à chaque personne que je connais de partager mon histoire,et qu'ils demandent à leur contact de partager à leur tour.
Il ne s'agit pas d'argent mais de principe. </t>
  </si>
  <si>
    <t>27/04/2021</t>
  </si>
  <si>
    <t>mariline13-111203</t>
  </si>
  <si>
    <t>Zéro !! Dès mois que je ne bénéficie  pas de ma complémentaire santé, et pourtant  je les contacte par téléphone,  pour écouter  les mêmes  réponses absurdes !
Et en voyant tous ces avis négatifs, je suis à  la fois rassurée  de savoir  que ça  ne viens pas de moi et à  la fois je me demande si un jour je l'aurai  cette complémentaire retraite !! SOS
À  fuir, quand c'est  possible !</t>
  </si>
  <si>
    <t>22/04/2021</t>
  </si>
  <si>
    <t>nico-110045</t>
  </si>
  <si>
    <t>Dossier d'invalidité transmis et reçu depuis le 4 mars 2021 et à ce jour et depuis le 4 mars le service gestion traite les dossiers du 28 janvier ce qui est inadmissible.</t>
  </si>
  <si>
    <t>corinnette--108784</t>
  </si>
  <si>
    <t>Bonjour,
Un conseil aux entreprises pour cette mutuelle de groupe : NE LA PRENEZ PAS SI VOUS NE VOULEZ PAS VOUS ATTIRER LES FOUDRES DE VOS SALARIÉS !
Jusqu'au 31/12/2020 mon entreprise adhérait à une mutuelle de groupe nommée ARPEGE ASSURANCE et tout se passait vraiment très bien : disponibilité et amabilité des intervenants, réactivité, facilité pour les joindre. Depuis le 01/01/2021, AG2R a fusionné avec ARPEGE  en prenant bien soin de garder leur nom, mais le personnel n'a pas suivi. Du coup, personnel borné, tout se fait à partir d'une plateforme informatique avec des réponses toutes faites. Tout le personnel de ma société est mécontent et l'a remonté au CSE. 
Concrètement pour moi, des soins en hôpital (public) de jour pour lesquels je ne payais que le tiers payant étaient remboursés intégralement, depuis des années, quelque que fut la mutuelle. Et là, cette mutuelle décide toute seule que ces soins ne seront plus remboursés dans leur intégralité alors que les conditions n'ont absolument pas changé et que la cotisation reste la même. J'ai téléphoné, écrit, le service administratif de l'hôpital s'en est aussi occupé : rien n'y a fait. C'est juste une honte !!! et autour de moi, au sein de mon entreprise les gens ne cessent de se plaindre.
Pour faire cesser ce genre de pratiques de mutuelle qui ne sait que prendre les cotisations pour enrichir son parc immobilier et ne pas redistribuer aux cotisants il faut juste ne plus adhérer. Le terme de mutuelle ne  convient pas. C'est juste une entreprise qui ne pense qu'à ses profits !
A bon entendeur...</t>
  </si>
  <si>
    <t>maxime-g-108025</t>
  </si>
  <si>
    <t>a fuir impossible a les joindre 
grosse galère......
aucune réponse de leur part au mail envoyé. 
aucune réponse au téléphone 
comment peut on être aussi peut professionnel ?????</t>
  </si>
  <si>
    <t>25/03/2021</t>
  </si>
  <si>
    <t>eza-107088</t>
  </si>
  <si>
    <t>Cote remboursements de frais classiques RAS. 
Par contre c'est une galère pour avoir la carte assuré annuelle. c'est la 2eme année que je ne la reçois pas. Pour la recevoir, il faut relancer, par le site web, 2 demandes il y a 3 semaines, toujours rien. En attendant il faut imprimer chaque mois une carte valable un mois ... Pratique. 
J'ai du mal à comprendre comment ce seul petit document peut être un problème.
Pas de temps à perdre sur ce genre de sujet, surtout que la cotisation annuelle est conséquente.</t>
  </si>
  <si>
    <t>oceane-106364</t>
  </si>
  <si>
    <t xml:space="preserve">Une complémentaire horrible a fuir !!! Une bataille épuisante plusieurs appel avec à chaque fois un problème différent dans mon dossier.. j’ai aussi eu le droit à l’excuse « faute de frappe » chaque mois j’ai une erreur dans mon dossier soit mon nom, mon code de rattachement ou dans mon numéro de sécurité sociale.. autant dire qu’ils ne sont pas capable d’inscrire correctement ce qu’ils lisent.. par contre aucune faute de frappe de mon RIB les prélèvements ce sont fait correctement dès le début.. ils m’ont déjà envoyé 3 cartes de tiers payant différentes et toujours aucunes vue sur les remboursements santé que j’ai du avancer de ma poche toujours la même phrase il faut patienter 7 à 10 jours cela fait des mois que ça dur.. </t>
  </si>
  <si>
    <t>12/03/2021</t>
  </si>
  <si>
    <t>tt-105282</t>
  </si>
  <si>
    <t xml:space="preserve">Gros soucis avec leur service client.
J'ai adressée une demande d'adhésion depuis janvier nous sommes le 3 mars et toujours pas d'enregistrement du dossier. 
Malgré de nombreux appels, réclamations, des conseillers qui donnent des versions différentes ou d'autres vous riant au nez. 
Personne ne peut apporter de réponse à ce jour. 
Je déconseille fortement, les conseillers commerciaux vous harcèlent pour vous faire signer leur contrat ensuite il n'y a plus personne. 
J'en suis réduit à faire appel à un service juridique afin de régler cela. </t>
  </si>
  <si>
    <t>03/03/2021</t>
  </si>
  <si>
    <t>xyz-104174</t>
  </si>
  <si>
    <t>Il faut tout le temps demander pour être remboursé. Le site est tout le temps en maintenance et inaccessible. Très pénible cette mutuelle choisie par mon employeur.</t>
  </si>
  <si>
    <t>15/02/2021</t>
  </si>
  <si>
    <t>lou-103862</t>
  </si>
  <si>
    <t xml:space="preserve">Dommage obligé de mettre une étoile .. j’aurais mis plutôt 0 ... mutuelle à éviter cher et me doivent plus de 3 mois de remboursement .... lettre recommandée, appel téléphonique rien ne fait j’attend toujours vraiment lamentable ... </t>
  </si>
  <si>
    <t>09/02/2021</t>
  </si>
  <si>
    <t>fabie17220-103366</t>
  </si>
  <si>
    <t>Le prix m'avait attirée. J'ai souscris une offre le 1er janvier, j'ai renvoyé tous les papiers, j'ai reçu un appel de leur part première semaine de janvier pour une précision que j'ai donnée. Et depuis, pas de carte mutuelle ! j'ai téléphoné le 21 janvier. Mon dossier est toujours "en ouverture au sce commercial". J'ai tenté  de créer mon espace client il y a 3 jours : je ne suis toujours "pas identifiée" ...j'ai adressé 2 mails au Sce Client, restés sans réponse. Et à l'instant, lorsque je tente de créer mon espace client, je ne suis toujours "pas identifiée, veuillez contacter le sce client" SERIEUX ??? vu ce que ça présage pour l'avenir, on ne va pas faire affaire ensemble. Je recherche un nouvel assureur, forcément plus sérieux !</t>
  </si>
  <si>
    <t>titou2607-103207</t>
  </si>
  <si>
    <t xml:space="preserve">Je suis chez AG2R depuis le 1er Octobre via mon employeur. C'est un repreneur. 
Côté assurance un désastre sans fin ou presque. 3 mois pour attendre d'être ok niveau dossier et d'être créer chez eux malgré les dossiers, mails et relances de l'employeur.
J'ai dû les menacer de porter plainte pour que ça bouge et que derrière ce soit en place!! Même mes 2 collègues en place avec eux depuis longtemps ont vu leurs contrats en clôture ou néant!! 
Heureusement qu'une conseillère top à pris le relais sinon je n'aurais pas de mutuelle à ce jour!! Ils ont mis un temps fou pour se rapprocher de la sécu.
Et aujourd'hui suite à un arrêt de 3 semaines (novembre 2020), alors que mon employeur cotise depuis le 1er Octobre pour maintien de salaire pour tous, ils me disent que je n'aurais pas d'indemnités journalières et remboursements en ce sens, lié à la mutuelle/prévoyance et qu'ils ne peuvent rien faire car je n'ai pas 1 an d'ancienneté alors que l'employeur et son comptable + AG2R m'avait assuré le contraire!! 
Si quelqu'un a eu le même soucis ou à pu faire un recours contre AG2R merci d'avance..Surtout cette assureur est plus qu'incompétent malgré les 2 conseillers top que j'ai eu. Une honte de cotiser pour une prise en charge nullissime et qui avantage cet assureur en tout point!! bon courage à tous en ces temps complétements fous et sombres !! </t>
  </si>
  <si>
    <t>dakota--102107</t>
  </si>
  <si>
    <t xml:space="preserve">nouvelle adhérente j'ai souscrit le 8 décembre 2020 pour un debut de contrat au 1er janvier...
a ce jour aucune nouvelle, impossible de créer un compte sur site, pas de carte tiers payant, des teleconseillers incompétents !!!
j'ai besoin de ma carte tiers payant et leur seule solution c'est que j'avance les frais...
</t>
  </si>
  <si>
    <t>03/01/2021</t>
  </si>
  <si>
    <t>cribier1-89235</t>
  </si>
  <si>
    <t>Bonjour à tous,
 J'ai été en accident du travail du 6 au 14 octobre, la sécu et l'entreprise ont été réactive et
 le dossier complet j'espérais un paiement avant noël connaissant leur lenteur proverbiale
 mais j'ai été trop optimiste ...
J'ai fait une rechute le 20 octobre pas de nouvelle j'ai appelé et. il m'ont dit qu'un de document n'était pas lisible, j'ai renvoyé  le document à l'employeur et depuis plus de nouvelle. Le problème c'est qu'ils ne répondent pas au mail et que les informations données au téléphone sont contradictoire.
La personne en charge des réseaux sociaux peut-elle se pencher sur mon cas pour que je puisse avoir au 1er de l'an ce que je n'ai pas eu a Noel</t>
  </si>
  <si>
    <t>22/12/2020</t>
  </si>
  <si>
    <t>phoolan-101160</t>
  </si>
  <si>
    <t>Nul, nul, nul,  pas de transmission automatique, je ne m'en suis aperçu qu'a la fin du contrat, malgré tout, suite a ma demande je m'aperçois qu'il n y as pas de transmission et on me demande les remboursement sécu et la facture des soins! autant vous dires que pour le retrouver ou les obtenir des mois plus tard, le jeu n'en vaut pas la chandelle, donc voila une mutuelle que vous payez, mais qui ne vous rembourse pas, déjà que la couverture et les services sont très mauvais. des frais sur mon bulletin de paie son liés à l’adhésion de cette mutuelle, et de plus on me retire sur mon compte l'adhésion a la mutuelle, là aussi je voudrais que l'on m'explique car mon entreprise m'a vanté le fait qu'elle prenait en charge la mutuelle, hors c'est faux. des oublie de carte de tiers payant, ou des renvois en double alors que la carte est toujours valide...passez votre chemin...</t>
  </si>
  <si>
    <t>09/12/2020</t>
  </si>
  <si>
    <t>joss-100193</t>
  </si>
  <si>
    <t>Effectivement, depuis 1 an, ayant changé d'entreprise, j'ai changé de Mutuelle ... Fuyez cette Mutuelle ... depuis 1 an aucun remboursement, j'ai envoyé plusieurs mails : aucune nouvelle, si vous tendez d'appeler : l'appel est surtaxé !!! inadmissible ! Par contre, je suis bien prélevée tous les mois...
La bonne nouvelle c'est que je suis cadre dans ma nouvelle entreprise et croyez moi, je vais faire tout ce qu'il faut pour que mon entreprise change de prestataire Mutuelle.</t>
  </si>
  <si>
    <t>marygg-100051</t>
  </si>
  <si>
    <t xml:space="preserve">ATTENTION !!!
Mutuelle qui m’a fait tourné en bourrique durant plusieurs mois.
Ne prend pas en charge les dépassements d’honoraires avec la Surcomplementaire sérénité dans le cadre de la Maternité, je n’ai toujours pas réussis à voir où c’est spécifié dans mon contrat et je n’ai jamais eu de retour de leur part personne ne sait répondre à ma question.
J’en conclu que nous sommes sur de la mauvaise fois.. </t>
  </si>
  <si>
    <t>13/11/2020</t>
  </si>
  <si>
    <t>doume--99963</t>
  </si>
  <si>
    <t>Bon rapport qualité prix comparé à d'autres compagnies
bons rapport lors des échanges telephoniques
très détaillé au niveau des explication 
satisfaite de nos remboursements</t>
  </si>
  <si>
    <t>10/11/2020</t>
  </si>
  <si>
    <t>msk-97133</t>
  </si>
  <si>
    <t>Prévoyance santé.
Une catastrophe en maladie depuis janvier nous sommes en septembre et toujours pas de versement il manque toujours un papier. A fuir.</t>
  </si>
  <si>
    <t>08/09/2020</t>
  </si>
  <si>
    <t>feeclochette-94719</t>
  </si>
  <si>
    <t>il m'ont résilier mon contrat sans m'avertir depuis avril 
ma famille et moi nous nous retrouvons sans rien même pas un courrier ou un mail merci beaucoup dans cette galère</t>
  </si>
  <si>
    <t>20/07/2020</t>
  </si>
  <si>
    <t>marichka33-93676</t>
  </si>
  <si>
    <t>J'ai pris cette mutuelle depuis 6 mois, suite à une erreur de leur part mon dossier n'a pas été raccordé à la CPAM et malgré mes démarches faite il y a 1 mois le dossier est toujours en cours de traitement.. alors oui je veux bien qu'il y est un délais plus long suite au récent évènements mais pour le moment j'ai juste l'impression de payer une mutuelle inutilement.. je suis à la limite d'engager des poursuites..</t>
  </si>
  <si>
    <t>10/07/2020</t>
  </si>
  <si>
    <t>mengui-91407</t>
  </si>
  <si>
    <t>Bonjour sincèrement mon taux de tolérance est proche de 0 mon mari a été greffe au mois de décembre le dossier a été constitué en temps et en heure cela fait depuis qu il na reçu aucune compensation de salaire donc du coup cela a pris du retard pour cause de covid certe mais nous sommes au mois de juin et rien je viens de téléphoner aujourd'hui et oh grande surprise il ny aura pas de versement avant septembre c vraiment désolant et je reste polie je ne sais plus quoi faire afin d'accélérer les choses je suis preneuse si qqun a un avis merci</t>
  </si>
  <si>
    <t>18/06/2020</t>
  </si>
  <si>
    <t>saratatouille-88183</t>
  </si>
  <si>
    <t>Comparé à PROBTP chez qui mes parents sont assurés, c'est un vrai régal... Aussi, je tiens à le signaler.</t>
  </si>
  <si>
    <t>10/03/2020</t>
  </si>
  <si>
    <t>01/03/2020</t>
  </si>
  <si>
    <t>namitch-86974</t>
  </si>
  <si>
    <t>J'ai subi un accident de travail du 03/03/2019 au 11/03/2019 et un autre du 16/03/2019 au 09/04/2019, à l'heure actuelle je n'ai toujours pas été indemnisé, mon employeur me certifie que vous n'avez rien versé.
J'ai contacté FO et un courrier va être adressé à mon employeur et vous également car il est inacceptable que je n'ai encore rien perçue de cet incident.
Si rien est fait pour m'indemniser, je serai dans l'obligation de contacter les Prud hommes par l'intermédiaire de mon syndicat FO.</t>
  </si>
  <si>
    <t>11/02/2020</t>
  </si>
  <si>
    <t>01/02/2020</t>
  </si>
  <si>
    <t>anne-86883</t>
  </si>
  <si>
    <t xml:space="preserve">Il faut mener une vraie bataille pour des remboursements des consultations. On nous demande des justificatifs que nous avons bien payé au médecin la partie de la consultation non prise en charge par la sécurité sociale. Cela dure depuis 7 mois. Ils sont extrêmement longs dans le traitement des demandes. Et même après l'avoir envoyé au bout de 3 semaines toujours pas de remboursement de 7€!!! Ils m'ont même envoyé un dossier d'une autre personne - où est secret professionnel !!!!!?- </t>
  </si>
  <si>
    <t>08/02/2020</t>
  </si>
  <si>
    <t>naniie06-86034</t>
  </si>
  <si>
    <t>Mon enfant est né le 23 novembre 2019 et ça va faire 2 mois que j'attends pour qu'il l'enregistre sur ma mutuelle après des appels toutes les semaines et après avoir des avis différents chaque semaine</t>
  </si>
  <si>
    <t>17/01/2020</t>
  </si>
  <si>
    <t>tata-85985</t>
  </si>
  <si>
    <t>11 jours d attente pour optique et toujours pas d accord j ai gros problème  ne prenne pas reclamation en compte  non aucun respect pour client.</t>
  </si>
  <si>
    <t>16/01/2020</t>
  </si>
  <si>
    <t>thomasjam31-60367</t>
  </si>
  <si>
    <t>très compliqué d'avoir des infos pour résilier, ne répond pas dans les temps pour que je dépasse les délais de résiliation, en comparaison avec ma nouvelle mutuelle, les niveaux de garanties sont très mauvais</t>
  </si>
  <si>
    <t>15/01/2020</t>
  </si>
  <si>
    <t>angielynh-85745</t>
  </si>
  <si>
    <t xml:space="preserve">Service client déplorable, à plusieurs reprises on leur envoie des décomptes et toujours une excuse pour ne pas rembourser (pas reçu, illisible ) alors qu'ils lisent très bien le reste ! Prendre les gens pour des idiots c'est bien , perdre des clients ça sera bien pour vous aussi. Sans compter les délais pour être rembourser 15 jours après.. </t>
  </si>
  <si>
    <t>10/01/2020</t>
  </si>
  <si>
    <t>mom-82157</t>
  </si>
  <si>
    <t>Aucune écoute du service client, pas de communications il faut toujours être derrière eux pour s'assurer que les démarches sont réalisées correctement et faites</t>
  </si>
  <si>
    <t>20/12/2019</t>
  </si>
  <si>
    <t>01/12/2019</t>
  </si>
  <si>
    <t>cllwg-82025</t>
  </si>
  <si>
    <t>La dame que j'ai eu au service client, elle comprend rien, aucune patience, se prend pour la secrétaire de Bill Gates en mode elle a pas le temps. Pourtant mon problème était simple, l'audit de l'entreprise à résilier le contrat par erreur, c'est qu'après qql mois après avoir payer le même prix chaque mois que la pharmacienne nous informe que le contrat est résilié depuis quelques mois, donc on renvoie le bulletin d'affiliation, pas de réponse. Je doute que ce soit la Poste qui l'ont paumé...</t>
  </si>
  <si>
    <t>17/12/2019</t>
  </si>
  <si>
    <t>rosemary-81413</t>
  </si>
  <si>
    <t>Que des promesses !</t>
  </si>
  <si>
    <t>02/12/2019</t>
  </si>
  <si>
    <t>lilas05-79604</t>
  </si>
  <si>
    <t xml:space="preserve">Gros problèmes de devis mal estimé de leur part (confusion entre frais réels et dépassement d'honoraires)et donc je me retrouve avec 500 euros en plus à payer. Mon dossier devait passer en commission? Mais quand? Depuis plusieurs échanges + lettre recommandée qui à été égarée. Heureusement que j'avais le récépissé. Un dossier qui traîne depuis Novembre 2018. J'appelle régulièrement. Le plus pathétique c'est que je viens de recevoir un nouveau devis qui remplace le précédent, de l'année passée(juin 2018), et là effectivement il est estimé correctement. Ce que j'aurais du recevoir à la première demande en juin 2018. Chercher l'erreur!!!! Ce qui prouve bien que l'erreur vient d'eux!!!! Je demande juste qu'on me rembourse la différence et que cette mutuelle reconnaisse son erreur. Pour sponsoriser des cyclistes qui se dopent, il n'y a pas de problèmes, c'est une bagatelle, mais pour rembourser des adhérents cela se complique.  </t>
  </si>
  <si>
    <t>30/09/2019</t>
  </si>
  <si>
    <t>01/09/2019</t>
  </si>
  <si>
    <t>chavand-79249</t>
  </si>
  <si>
    <t>113 euros/ mois de cotisation et on me rembourse à peine 160 euros pour un soin dentaire de 450 euros. le service client est inefficace. Les erreurs sont récurrentes et toujours votre désavantages.</t>
  </si>
  <si>
    <t>17/09/2019</t>
  </si>
  <si>
    <t>domido-79092</t>
  </si>
  <si>
    <t>159 euros par mois pour ma fille et moi ( mutuelle )</t>
  </si>
  <si>
    <t>10/09/2019</t>
  </si>
  <si>
    <t>patricknoko-76478</t>
  </si>
  <si>
    <t>Service pitoyable dossier déposé en agence perdu 
Délais de remboursement dépassant 3 mois 
Impossible d'avoir des renseignements sur suivi et traitement de dossier</t>
  </si>
  <si>
    <t>04/06/2019</t>
  </si>
  <si>
    <t>01/06/2019</t>
  </si>
  <si>
    <t>redpoppy-76005</t>
  </si>
  <si>
    <t xml:space="preserve">Forcing et harcèlement téléphonique lors de l'abonnement. Vices cachées. Ne prennent pas en charge les demandes de télétransmissions quand cela est demandé. E-mail écrit au service réclamation sans retour de leur part depuis 1 mois: le service client est déplorable 
Attente remboursement lentilles de contact depuis plus d'un mois 
Je suis très mécontente et j'aimerais cesser ce contrat </t>
  </si>
  <si>
    <t>17/05/2019</t>
  </si>
  <si>
    <t>daffit13-75080</t>
  </si>
  <si>
    <t xml:space="preserve">Depuis janvier 2018 je n'ai pas ma carte tiers payant suite à de multiples appels, courriers et même en me rendent en agence rien toujours rien les remboursements de professionnels ne s'effectue plus je reçois donc les relances chez moi un scandale sachant que mes cotisations sont à jours il me répondent nous vous avons perdu ... à ce jour toujours rien je ne sais même plus Comment faire. </t>
  </si>
  <si>
    <t>15/04/2019</t>
  </si>
  <si>
    <t>davido64-72149</t>
  </si>
  <si>
    <t>Mutuelle a éviter,plus d un mois que j attends un remboursement de soins dentaires. service clients qui ne sert a rien,réclamations a répétition jamais traitées bien sur, pas de réponse aux mails envoyés et cela me met dans une situation financière catastrophique.</t>
  </si>
  <si>
    <t>14/03/2019</t>
  </si>
  <si>
    <t>cecel-72114</t>
  </si>
  <si>
    <t>mutuelle très chère à éviter impossible de les joindre et ne répond pas aux mails j'aimerai changer mes garanties car je paie 176 euros par mois alors que l'optique et le dentaire ne m'est pas utile.</t>
  </si>
  <si>
    <t>13/03/2019</t>
  </si>
  <si>
    <t>pa7ra4de5-72012</t>
  </si>
  <si>
    <t xml:space="preserve">c'est vraiment une catastrophe car j'attends des remboursements depuis bientot 4 mois , depuis le 21 novembre 2018 , et depuis cette date ils ne cessent de me réclamer des factures , des décomptes sécu, etc Bref tout pour ne pas me payer . Pire , encore ces incapables m'ont réclamé le 27 février dernier des factures originales détaillées acquittées pour des prestations déjà prises à 100% par la sécu .
En règle générale lorsque des entreprises sont aussi mal gérées et proches du dépot de bilan , alors elles changent de nom pour se faire oublier . On peut citer  Vivendi devenu Véolia , Areva passé en Orano , etc </t>
  </si>
  <si>
    <t>09/03/2019</t>
  </si>
  <si>
    <t>isabelle04220-70869</t>
  </si>
  <si>
    <t>Je suis dans l attente d un remboursement concernant des frais d orthopédie depuis plus de deux mois. Ils se sont trompés et n ont pas pris en compte l option supplémentaire de mon contrat qui me garantissait une remboursement de 200 pour cent du BR Nous avons toujours réglés nos échéances. C.est une honte. Nous allons résilier notre contrat et informer notre employeur que cette mutuelle entreprise n est pas sérieuse. Ils n.assument pas leur erreurs et incompétence à traiter les dossiers des assurés.</t>
  </si>
  <si>
    <t>02/02/2019</t>
  </si>
  <si>
    <t>01/02/2019</t>
  </si>
  <si>
    <t>fabien929292-70802</t>
  </si>
  <si>
    <t>Juste une catastrophe, plus de 2 mois que j'attends le remboursement de mes soins dentaires.
facture transmise le lendemain de l'acte.
La CPAM a remboursé sa part dans 4 jours.
Eux me communiquent 6 semaines ouvrés de délai, or nous en sommes déjà à plus de 10.
Allez voir ailleurs il ne peut pas y avoir plus pire!</t>
  </si>
  <si>
    <t>31/01/2019</t>
  </si>
  <si>
    <t>01/01/2019</t>
  </si>
  <si>
    <t>chelo-70667</t>
  </si>
  <si>
    <t xml:space="preserve">Plus de 2 mois pour recevoir mon remboursement suite à une IRM ! Le service client n'a aucune réponse à donner à ce sujet et envoie la demande "au service compétent qui vous recontactera plus tard" jamais eu de retour de leur part ! Pas de problème quand ça passe par la télétransmission mais quand c'est à nous, client, d'envoyer une demande de remboursement c'est une autre histoire. </t>
  </si>
  <si>
    <t>28/01/2019</t>
  </si>
  <si>
    <t>jack-69154</t>
  </si>
  <si>
    <t xml:space="preserve">ne rembourse pas ses obligations et ne répond ni aux mail, ni aux lettres recommandées avec AR  pas croyable j'ai envoyé quatre demandes par mail, une lettre recommandée avec AR reçue le 26 novembre à ce jour, on ne peut même plus envoyer de mail </t>
  </si>
  <si>
    <t>05/12/2018</t>
  </si>
  <si>
    <t>01/12/2018</t>
  </si>
  <si>
    <t>fredch-69024</t>
  </si>
  <si>
    <t>Je suis client AG2R la Mondiale santé depuis plusieurs années. AU 1er janvier 2018, AG2R est passé Viasanté. C'est catastrophique. Service client en dessous de tout. Pas de réponse aux contact par écrit sur le site. Remboursement par virment impossible depuis le début malgré 3 demandes. Les chèques de remboursement sont envoyés avec un délai supérieur à 1 mois après 3 réclamations. Déplorable</t>
  </si>
  <si>
    <t>29/11/2018</t>
  </si>
  <si>
    <t>01/11/2018</t>
  </si>
  <si>
    <t>lecrabe-67883</t>
  </si>
  <si>
    <t>du même avis que Clairette.
A fuir pas d'interlocuteur lorsqu'il y a un problème de leur fait.</t>
  </si>
  <si>
    <t>19/10/2018</t>
  </si>
  <si>
    <t>pourcieux-67336</t>
  </si>
  <si>
    <t>Pourquoi transmettre un devis dentaire afin de connaître le montant de la prise en charge si au final le remboursement ne correspond pas de tout au informations transmises à l assuré ?</t>
  </si>
  <si>
    <t>04/10/2018</t>
  </si>
  <si>
    <t>titine-67074</t>
  </si>
  <si>
    <t xml:space="preserve">Très  mauvais à fuir cet assureur surtout pour le rapatriement  cherche la petite bête ne cherche pas à savoir la santé du client  ne veut rien savoir 
</t>
  </si>
  <si>
    <t>24/09/2018</t>
  </si>
  <si>
    <t>01/09/2018</t>
  </si>
  <si>
    <t>fredygem-64127</t>
  </si>
  <si>
    <t>A fuir ce sont des usuriers, ni plus ni moins, je détaille précisément ce à quoi vous vous exposez si vous prenez le risque de le faire confiance pour votre santé!</t>
  </si>
  <si>
    <t>22/05/2018</t>
  </si>
  <si>
    <t>c-m-63849</t>
  </si>
  <si>
    <t xml:space="preserve">J'ai bénéficié de la mutuelle obligatoire d'entreprise et lorsque je n'ai plus fait partie de l'entreprise j'ai pu en bénéficier avec la portabilité des droits j'en suis jusqu'à présent trés satisfaite </t>
  </si>
  <si>
    <t>loulou-63088</t>
  </si>
  <si>
    <t>J'ai souscrit au 1er mars une mutuelle entreprise AG2R qui est obligatoire. J'ai appelé à plusieurs reprises cette mutuelle pour savoir où en était mon dossier et ce n'est qu'au bout de plusieurs appels que j'ai eu comme information que je n'étais pas affilié... Mon employeur ne m'avait pas remis le document. J'ai donc envoyé le 27 mars dernier tous les documents nécessaires et n'ayant toujours pas reçu ma carte mutuelle j'ai repris contact avec le service client pour connaître l'état d'avancé de mon dossier. Une de mes interlocutrices m'a fait comprendre qu'il y avait plus de 3 semaines de délai dans TOUS LES TRAITEMENTS CONCERNANT CETTE MUTUELLE : adhésions, remboursements... Elle ne m'a donné aucun renseignement sur le suivi... Pas intéressée!!!! J'ai depuis rappelé le service et une nouvelle interlocutrice ENCORE MOINS COMPETENTE ET PAS AIMABLE qui n'a pas sa place dans un service client en lien avec la santé et les personnes! AG2R LA MONDIALE est débordée et pas apte à gérer la santé des gens!!!!! On n'hésite pas à vous dire que s'il vous arrive quoi que ce soit, ce sera à vous d'avancer les frais puisque toujours pas de carte!!!!!!!!!!! Je suis outré par ce manque de professionnalisme, ce manque d'amabilité, ce manque d'analyse, ce manque d'implication dans le métier, ce manque de respect dans la façon de s'exprimer, ce manque total de suivi et j'en appelle à la direction et aux responsables politiques pour que la santé des personnes soit confiée à des groupes sérieux et non à des fins lucratives... Cette mutuelle est à proscrire... MAIS OBLIGATOIRE!</t>
  </si>
  <si>
    <t>09/04/2018</t>
  </si>
  <si>
    <t>01/04/2018</t>
  </si>
  <si>
    <t>bogossdu63-62199</t>
  </si>
  <si>
    <t>J'ai du quitter Ag2r La Mondaile Via Santé pour prendre la mutuelle de mon entreprise et je le regrette. Je reviens dès que possible.
La qualité de service et de garantie à un prix et il est justifié.</t>
  </si>
  <si>
    <t>31/03/2018</t>
  </si>
  <si>
    <t>lucie-61702</t>
  </si>
  <si>
    <t>Depuis 7 ans je suis dans l obligation d avoir cette Mutuel par mon employeur . Celle ci est retiré directement de mon salaire . Depuis 7 ans je n ai jamais perçu aucun remboursements et ce n est pas fautes de les appeller pour demander des explications . Ils me répondent qu ils ne comprennent pas pourquoi mon dossier aurait été validé puis suprimé puis revalidé . De meme pour les compléments de salaires qu ils versent à l employeur directement , le problème ç est que mon employeur n a jamais rien touché . Je viens d avoir un bébé et j ai reçus beaucoup de soins car menace d accouchement prématuré . Cette Mutuel est un scandal !!!!</t>
  </si>
  <si>
    <t>23/02/2018</t>
  </si>
  <si>
    <t>oscar78-61573</t>
  </si>
  <si>
    <t xml:space="preserve">Ag2r pratique une politique de non paiement par tous les moyens. Malgré tous les justificatifs donnés étant inscrite comme demandeur d'emploi dans les délais demandés (Ag2r étant obligé par la loi de poursuivre l'assurance pendant la première année de chômage), j'apprend en février 2018 par hasard dans le traitement d'un remboursement d'être radié depuis novembre 2017 ! et cela sans aucune information préalable et surtout sans aucun droit de la part de AG2R de procéder ainsi. Remboursement dentaire compliqué dans le passé, demande des informations dont Ag2R a de toute manière la trace, ex: remboursement sécurité sociale (qui est directement envoyé à l'assureur)...Choquant </t>
  </si>
  <si>
    <t>19/02/2018</t>
  </si>
  <si>
    <t>doud-61370</t>
  </si>
  <si>
    <t>Mutuelle Via Santé du groupe AG2R la mondiale
Prélèvent sans aucun manque les cotisations mais ne remboursent pas les frais engagés. Pire, après deux lettres recommandées, ils inventent un remboursement sauf que la date de celui-ci est antérieur à  la date des soins. Le médiateur est aux abonnés absents (y compris par lettre recommandée).  Il faut les menacer des tribunaux et faire intervenir ses avocats pour qu'ils acceptent la résiliation pourtant adressée par lettre recommandée 3 mois avant l'échéance.</t>
  </si>
  <si>
    <t>12/02/2018</t>
  </si>
  <si>
    <t>papillon85-60971</t>
  </si>
  <si>
    <t>Cela fait depuis le mois de septembre que nous avons demandé notre résiliation, changeant de mutuelle en janvier de cette année
Nous avons eu du mal à avoir ce document,qui était indispensable à la nouvelle mutuelle.
Maintenant que nous sommes affiliés à cette nouvelle mutuelle, nous avons un autre problème qui est de taille. AG2R n'a toujours pas fait le nécessaire auprès de la CPAM. Malgré de nombreux appels téléphoniques personne ne semble être inquiété par ce soucis. C'est comme si nous n'avions pas de mutuelle.Rien à faire des adhérents donc un qui a résilié???? Si cela continue nous passerons par un médiateur, puisque c'est prévu. Combien de temps encore allons nous devoir attendre.Imaginez une hospitalisation ou acte chirurgical !! C'est indigne d'une mutuelle qui comme par hasard se trouve pas mal classée.</t>
  </si>
  <si>
    <t>30/01/2018</t>
  </si>
  <si>
    <t>carole-58424</t>
  </si>
  <si>
    <t xml:space="preserve">Via Santé me désespère. Pas de convention avec le CHU de Tours, obligation d'envoyer les documents à Lyon, Aucune réponse à mes mails, traitements des demandes de remboursement très longs, aucune visibilité sur le montant des remboursements espérés. Je suis pourtant une cliente qui demande peu de remboursements. Bref, je vais rompre mon contrat au bout de 3 ans. et me tourner vers un organisme fiable et qui ne se gargarise pas de mots ronflants pour vous appâter. </t>
  </si>
  <si>
    <t>27/10/2017</t>
  </si>
  <si>
    <t>01/10/2017</t>
  </si>
  <si>
    <t>mouhotep-56704</t>
  </si>
  <si>
    <t>Je viens de prendre ma mutuelle chez Viasanté suite a un changement d'emploi. Je ne recommande vraiment pas... Comme beaucoup de personne un délai pour les remboursements qui est très très très long... Aujourd'hui on me dit que je vais être remboursé par cheque et que le délai de traitement est de 21 jours... Pourtant j'ai bien fourni mon RIB et la preuve est que ma cotisation a bien été prélevée et sans retard elle !!!! J'ai aussi fait parvenir un devis dentaire il y a presque un mois mais aucunes nouvelles non plus... Au vu des tarifs c'est vraiment pas sérieux... Mutuelle à fuir, je vais moi même partir et reprendre un contrat dans une mutuelle digne de ce nom...</t>
  </si>
  <si>
    <t>16/08/2017</t>
  </si>
  <si>
    <t>01/08/2017</t>
  </si>
  <si>
    <t>sarrazin00-56610</t>
  </si>
  <si>
    <t xml:space="preserve">bonjour j'ai eut un arrêt maladie du 17 mai au 4 juin 2017  mon  dossier a été créé le 31/05/2017
et porte le numéro 2017151673265. aujourd'hui le 10 août 2017 j'attends toujours mon indemnisation honteux </t>
  </si>
  <si>
    <t>10/08/2017</t>
  </si>
  <si>
    <t>mannoo12-56066</t>
  </si>
  <si>
    <t xml:space="preserve">Attention !!! Service mutuelle santé très négligeant  et incompétent !! cela fais 4 fois que je rappelles et que je relances mon dossier car besoin de réponse pour un traitement urgent chez mon dentiste - je me suis prise assez en avance pourtant !!! on me rassure que le dossier à été bien reçu et qu'il est en cours de traitement, on m'invite à patienter ... Hélas au bout de cinquième appel une conseillère qui ose à hausser le ton, en me disant que le courriel n'a pas été reçu, car envoyé à l'adresse de relation clientèle ...! Pourtant  j'ai reçu la réponse automatique du serveur comme quoi le dossier à bien été reçu, et sera traité dans des meilleurs délais !!! Tout ce temps perdu - depuis obligé de commencer le traitement même sans avoir la réponse ne sachant toujours pas à combien je serais remboursé - J'attends toujours !! De plus demandés traités non par l'urgence mais par l'ordre d'arrivage- conseillères parfois haussent le ton et sont désagréables. Inacceptable sachant combien nous cotisons. </t>
  </si>
  <si>
    <t>17/07/2017</t>
  </si>
  <si>
    <t>01/07/2017</t>
  </si>
  <si>
    <t>co06-54717</t>
  </si>
  <si>
    <t>Mutuelle très très incompétente j'ai envoyer mon devis d'hospitalisation j'ai eu le temps de me faire opérer je ne savais toujours pas combien j'allais être rembourser quand on les appels ils n'ont aucune trace de mon envoi alors que j'avais été contacter par une tierce personne de ag2r par rapport à une réclamation qui m'a dis je m'en charge moi sa iras plus vite , un mois après toujours rien . Conseiller parfois désagréable au téléphone qui se permette de nous dire " vous n'êtes pas exceptionnelle le délai sera comme pour les autres " ( vis à vis du fait que cela faisais deux mois que j'attendais mon remboursement ) a fuire .. pour le prix , et pour l'attente !!!!</t>
  </si>
  <si>
    <t>16/05/2017</t>
  </si>
  <si>
    <t>guy-54410</t>
  </si>
  <si>
    <t xml:space="preserve">Organisation défaillante, opacité, y a-t-il un pilote à la REUNICA ?
Cela fait aujourd’hui 63 jours que j’attends un remboursement de 642,85 € suite à des soins dentaires.
Les différentes étapes de ce feuilleton interminable : 
Le 28/02 Je reçois un courrier de la S.S., m’informant de mon remboursement et de l’envoi automatique des éléments à la REUNICA.
Le 09/03, pas de nouvelles de la REUNICA.  J’appelle leur plateforme pour savoir où en est mon remboursement. Réponse :  nous n’avons rien reçu de la S.S.. Pour accélérer votre dossier vous pouvez nous envoyer les documents par email. Chose faite le jour même (document de prise en charge de la REUNICA, facture du dentiste, courrier de la S.S. attestant du remboursement et de la transmission à la REUNICA).
Le 27/03 toujours pas de nouvelles. Je rappelle la REUNICA. Réponse :  les documents ont bien été reçus, vous serez crédité sous 4 jours.
Le 05/04 Je reçois un courrier de la REUNICA (daté du 31/03) me demandant le dossier complet (alors qu’il m’a été précisé au téléphone qu’ils disposaient bien de tous les éléments du dossier). Il m’est impossible d’identifier sur le courrier la personne en charge du dossier… On est dans le flou…
Je rappelle immédiatement la REUNICA qui me confirme être en possession de tous les éléments pour procéder au versement, ne tenez pas compte du courrier. Ma question : quand serais-je crédité ? Ma correspondante ne peut pas me donner de date, même approximative. C’est au service gestion…
Je demande à parler au responsable. Ma correspondante le contacte mais ce dernier ne souhaite pas me prendre au téléphone… On est peu de chose à la REUNICA.
J’en suis là aujourd’hui… Mes prochaines étapes : 
Courrier de réclamation à la REUNICA en A/R, avec une nouvelle fois tous les éléments du dossier.
Transmission du dossier au médiateur (avec tout le dossier).
Courrier d’information à la Direction Générale de la REUNICA pour leur faire part des manquements de leur organisation et du peu de considération qu’ils apportent à leurs Clients (mais au vu du nombre de réclamations, il est peu probable qu’ils ne soient pas au courant de ces problèmes chroniques et de leurs impacts graves sur leurs Clients). Je ne m’attends pas à recevoir de réponse.
Courrier d’information à la répression des fraudes (La DGCCRF agit en faveur de la protection économique des consommateurs, de la sécurité et de la conformité des produits et des services).
Tout cela me prend du temps et représente un coût (qui ne me sera pas remboursé), mais je vous engage à faire de même afin que cette entreprise soit dans l’obligation de remédier à ses problèmes internes et de respecter les engagements contractuels qu’elle a envers ses Clients.
A noter que la REUNICA n’est jamais en retard pour prélever chaque mois le montant de leur cotisation.
Je vous tiendrai au courant des prochains épisodes.
</t>
  </si>
  <si>
    <t>02/05/2017</t>
  </si>
  <si>
    <t>cyril-54152</t>
  </si>
  <si>
    <t>C'est une mutuelle qui est catastrophique dans ces informations sur les contrats et transmissions... Elle n'a aucune réactivité et j'ai toujours eu des soucis avec eux du début jusqu'à la fin car aujourd'hui je viens d'apprendre par courriers qu'ils m'avais radiés suite à ma démission avec mon ancien patron il y à 3 semaines !!! Pas un courrier n'y même un coups de téléphone pour m'avertir que j'allais être sans Mutuelle du jour au lendemain ... Je me serais fait opérer pendant ce temps j'avais tout de ma poche et je trouve ça inadmissible sachant qu'on est obligés de souscrire avec eux et qu'ils nous lâchent comme une merde  en ce retrouvant... "sans mutuelle". Bravo le suivi et service clients . Une Mutuelle qui est vraiment  "A ÉVITER"</t>
  </si>
  <si>
    <t>19/04/2017</t>
  </si>
  <si>
    <t>01/04/2017</t>
  </si>
  <si>
    <t>fredo-54134</t>
  </si>
  <si>
    <t xml:space="preserve">cette assurance est catastrophique dans ces informations sur les contrats et n'a aucune réactivité (certainement sa taille qui la rend éloignée de ses assurés) A ÉVITER </t>
  </si>
  <si>
    <t>18/04/2017</t>
  </si>
  <si>
    <t>corinne-53780</t>
  </si>
  <si>
    <t xml:space="preserve">J'envoie une demande de remboursement optique, avec la facture, comme cela m'avait été demandé. 3 semaines après, on me renvoie le dossier, me disant qu'il faut le décompte sécu ??? or la sécu transmet directement à la mutuelle, et sur la facture , on constate bien que l'opticien a fait le tiers payant sécu !!! je vais encore être obligée de les rappeler... que ne ferait on pas pour gagner du temps et retarder les remboursements ! c'est décidé, je vais les quitter, pour moi-même et aussi tous les salariés que j'emploie au sein de ma société. </t>
  </si>
  <si>
    <t>02/04/2017</t>
  </si>
  <si>
    <t>moidu67100-53748</t>
  </si>
  <si>
    <t xml:space="preserve">c'est du grand n'importe quoi cette mutuelle , un vrai parcour de combattant pour se faire rembourser . j'ai souscrit cette mutuelle de part mon entreprise , et pour le remboursement  c'est des demandes de  document inutile . a croire que  c'est fais exprès pour retarder le remboursement , minimiser le remboursement  ou pour ne pas du tout rembourser simplement  . et le pire c'est que cette boite est pleine d'employé incompétent  qui donne des réponse toute faites a mes demande au tel.  heureusement j'ai garder une preuve de nos courrier échanger . j'attend toujours mon remboursement en orthodontie  et je ne vais pas les lâcher quitte a aller en justice </t>
  </si>
  <si>
    <t>31/03/2017</t>
  </si>
  <si>
    <t>01/03/2017</t>
  </si>
  <si>
    <t>vahine-nic-53254</t>
  </si>
  <si>
    <t>Nous sommes en mars ; mon contrat arrive à échéance en sept. J'ai demandé à modifier le contrat : refus.  Toute modification ne peut se faire qu'à l'échéance; Résultat : je résilierai ce contrat de complémentaire santé.</t>
  </si>
  <si>
    <t>14/03/2017</t>
  </si>
  <si>
    <t>romain56-51644</t>
  </si>
  <si>
    <t xml:space="preserve">Service client non qualifiés, le personnels nous racontent que se que le client veut entendre sans reellement l' orienter et l'informer des demarches importantes pour le bon deroulement de la situation! 
Baladé de plate-forme en plate-forme telephonique!!! 
Heureusement je suis tombé sur une personne honnête sur 5 appels,Qui m'a confirmé que les autres personnes n'ont pas fait leurs travail dans les regles car pressé de mettre fin a l' ecoute telephonique!  Heureusement que les appels sont enregistrés pour prouver de ma franchise et de mes dires!!!! </t>
  </si>
  <si>
    <t>25/01/2017</t>
  </si>
  <si>
    <t>nd33-51090</t>
  </si>
  <si>
    <t>Leur site est nul; leur organisation est nulle; les prises en charge nulles;</t>
  </si>
  <si>
    <t>aurier-50934</t>
  </si>
  <si>
    <t>Ne répondent jamais à vos demandes aussi bien par mail que par écrit et surtout qu ils ne vous communiquent jamais(surtout vers décembre) le cout de votre cotisation de la prochaine année par peur de la résiliation--- scandaleux?????????
passer votre chemin</t>
  </si>
  <si>
    <t>04/01/2017</t>
  </si>
  <si>
    <t>mitia87-50869</t>
  </si>
  <si>
    <t>Adhèrente depuis maintenant 4 ans, c'est la première fois que je dois utiliser ma garantie optique qui devrait être à 300 €, garantie acquise maximum atteinte dès la 3ème année et c'est sans aucune autre condition. C'est ce qui est écrit noir sur blanc dans mon contrat. Malheureusement dans la réalité ;  ce n'est pas du tout cela. On me dit que le montant remboursé dépend de la correction des vues ; ce qui n'est évidemment écrit nul part dans mon contrat. On a réussi à avoir quelqu'un du service client mais on arrête pas de nous promener de gauche à droite. Et la version des réponses change d'une personne à une autre.  Certaines me disent que effectivement j'ai droit au 300€ qu'on m'avait promis mais ce n'est pas le bon service et d'autres que je n'y ai pas droit mais qu'ils ne sont pas en possibilité de me dire clairement pourquoi ce n'est pas mentionné dans mon contrat. Très déçue par ce manque de professionnalisme</t>
  </si>
  <si>
    <t>03/01/2017</t>
  </si>
  <si>
    <t>annie-50026</t>
  </si>
  <si>
    <t>j'ai resilie mon contrat mutuelle pour adhérer chez AG 2R. J'ai envoyé les documents , mais aucune certitude que AG 2r l'ai reçu. J'ai envoyé 2 mails , pas de réponse et j'ai téléphone apres 20 minutes d'attente, une personne incompétente et désinvolte a été incapable de répondre à savoir  avez vous  reçu mon adhésion. Je stresse au vu de vos commentaires car je suis couverte par mon ancienne mutuelle jusqu'au 31 janvier.  Je voudrais bien savoir de quoi il retourne pour éventuellement  adherer à un autre assureur! Mais comment savoir  sans  me retrouver avec 2 mutuelles. Je commence déjà  à regretter  surtout apres mon contact au téléphone.</t>
  </si>
  <si>
    <t>07/12/2016</t>
  </si>
  <si>
    <t>01/12/2016</t>
  </si>
  <si>
    <t>faikr-49570</t>
  </si>
  <si>
    <t>je paye un maximum pour une bonne couverture mais pour les remboursement on me demande des papiers qu'aucune mutuelle ne m'a jamais demandé, exemple vous allez à l'hopital pour un rdv, vous payez le tiers payant et vous recevez donc une quittance, et bien la mutuelle me demande la facture totale ce que ne m'a pas fourni l'hôpital. on marche sur la tête en ce moment avec cette mutuelle</t>
  </si>
  <si>
    <t>25/11/2016</t>
  </si>
  <si>
    <t>cesrib-139601</t>
  </si>
  <si>
    <t>Bonjour à tous
J'attends depuis mars 2021 des remboursements prisent en charge dans le tarif de ma cotisation. Lettres suivies, fax, mails n'ont rien donné. Impossible de les avoir au téléphone. J'attends toujours mes remboursements d'hôpitaux et diététicienne. Jai finalement envoyé un recommandé en octobre pour leur indiquer que je résiliais mon contrat du 31 décembre, date anniversaire des 1 an. Je vais faire opposition de la dernière échéance de décembre. Peut être que là ils se manifesteront !!!
A fuir à tout prix</t>
  </si>
  <si>
    <t>Cegema Assurances</t>
  </si>
  <si>
    <t>15/11/2021</t>
  </si>
  <si>
    <t>heldo-137486</t>
  </si>
  <si>
    <t>depuis plus de 6 mois Cegema rembourse avec plus de 20 jours voir 1 mois de retard de plus il faut téléphoner ou écrire   aucune réponse écrite sauf aprés 5 ou 6 relances téléphone des  minutes d'attente je me pose la question si cette mutuelle de puis 2021 n'a pas de difficultés si auparavant année 2019-2020 rien a redire j'ai d'ailleurs l'intention de saisir le médiateur des assurances il n'est pas normal que les prélèvements n'admettent aucun retard mais les remboursements au bon vouloir de l'assureur</t>
  </si>
  <si>
    <t>15/10/2021</t>
  </si>
  <si>
    <t>01/10/2021</t>
  </si>
  <si>
    <t>lufo-110630</t>
  </si>
  <si>
    <t>Adhésion pour ma mère de 88 ans par l'intermédiaire d'un courtier et je suis très déçu.
Ne vous laissez pas endormir par le commercial et la cotisation moins élevée parce qu'ensuite vous le regretterez. Rien ne remplacera un contact, un échange direct avec un assureur local.
"Une personne avertie en vaut deux " donc je vous conseille une grande vigilance avant de signer !</t>
  </si>
  <si>
    <t>calagane-134724</t>
  </si>
  <si>
    <t>nul a fuir moi j attend juin 2022 avec impatience pour resillier promesse de remboursement mais toujours rien a l horizon et ce depuis juillet 2021 il parait que le virement est parti je ne demande qu a voir</t>
  </si>
  <si>
    <t>27/09/2021</t>
  </si>
  <si>
    <t>eyota-129611</t>
  </si>
  <si>
    <t xml:space="preserve">Fuyez cette Mutuelle ils sont nuls ! on les paie et ils perdent les chèques ou ne retouvent pas les traces des paiements, jamais vu ça et bravo ACSSUR pour m'avoir recommandé cette mutuelle !!! </t>
  </si>
  <si>
    <t>26/08/2021</t>
  </si>
  <si>
    <t>zaza-129127</t>
  </si>
  <si>
    <t xml:space="preserve">Aucun service pas de suivi pas de réponses aux appels téléphoniques remboursements médiocres voir inexistants 
Je suis hyper déçu par rapport aux tarifs </t>
  </si>
  <si>
    <t>23/08/2021</t>
  </si>
  <si>
    <t>midori-124346</t>
  </si>
  <si>
    <t>Je suis assurée pour l'assurance hospitalisation dont l'attestation tiers payant m'est délivrée 2 fois par an couvrant la période du janvier-juin et du juillet décembre.  Comme je n'ai pas reçu l'attestation du deuxième semestre, j'ai téléphoné à CEGEMA.  En suivant l'indication du message automatique, j'arrive au service de l'attestation de tiers payant qui me répond systématiquement que tout le personnel est occupé et qu'il faut rappeler.  Comme les appels téléphoniques répétés n'aboutissent pas, je suis allée à leur site pour télécharger l'attestation.  Leur site est confus et je n'ai pu arriver à mon espace personnel.  Enfin, je leur ai écrit pour leur demander de m'envoyer l'attestation.  Toujours rien, et le montant de cotisation pour juillet est prélevé de mon compte...  Résultat: je n'ai toujours pas de carte d'assurée malgré que je cotise et je pars en vacances après-demain.  Que faire en cas d'hospitalisation?</t>
  </si>
  <si>
    <t>nico-124218</t>
  </si>
  <si>
    <t>Satisfaite jusqu'à maintenant, mais j'attends des remboursements depuis juin et pas de réponse à mes reclamations par mail et sur le site. Il s'agissait de factures d'une diététicienne garanties dans mon contrat</t>
  </si>
  <si>
    <t>22/07/2021</t>
  </si>
  <si>
    <t>klemaire-124081</t>
  </si>
  <si>
    <t xml:space="preserve">Parce que je ne peux pas mettre 0 étoiles sinon pas de possibilité de commentaire.
NULLE, aucune communication, pas de réponse aux mails ni au courrier. Au téléphone on vous dit que le problème va être réglé et puis Rien, le NÉANT. 
Ne rembourse pas les cotisations trop versées (2 mois), continue à vous prélever alors que nous ne sommes plus chez eux, cela dure depuis janvier 2021.
Juste une honte cette mutuelle.
A FUIR. </t>
  </si>
  <si>
    <t>loucat-123947</t>
  </si>
  <si>
    <t xml:space="preserve">Dommage de ne pas pouvoir noter 0 !!! 
Mutuelle qui n’honore pas les termes des contrats, aucun remboursement, silence total sauf bien sûr pour réclamer les cotisations ! Des courriers RAR qui restent sans réponse !! Inadmissible !!
Nous allons porter plainte ! </t>
  </si>
  <si>
    <t>20/07/2021</t>
  </si>
  <si>
    <t>malauni-123564</t>
  </si>
  <si>
    <t>Une vraie catastrophe, à fuir absolument. Assurée depuis janvier 2021, je ne parviens pas à obtenir les remboursements de soins hors CPAM, ni les tickets modérateurs de soins délivrés en hopital car la mutuelle n'y est souvent pas agréée. Malgré la production des attestations de paiement des hopitaux, la CEGEMA ne me rembourse pas, exigeant le décompte CPAM, ce qui en l'espèce n'existe pas. Aucune réponse à mes réclamations. Je suis d'ores et déjà à la recherche d'un autre assureur pour 2022, il me faut malheureusement subir la première année.</t>
  </si>
  <si>
    <t>16/07/2021</t>
  </si>
  <si>
    <t>kiwi9*1-123218</t>
  </si>
  <si>
    <t>très déçue depuis ler janvier2021 car pas moyen d'avoir les relevés de remboursement : le site ne fonctionne pas malgre X... plaintes et demandes - quelques rares fois, eu au téléphone une employée fort aimable,  mais Covid n'ayant rien arrangé  il est BEAUCOUP + facile d'abréger les "échanges" en ne répondant pas et surtout AUCUN ACCES SUR LE SITE : soit disant faute à mon "navigateur" = MDR! Je me sers de l'ordi pour le travail - une copropriété etc .. tous les jours- ET DEPUIS DES ANNEES  donc fonctionnement et anomalies : je connais !
 cela fait 6 MOIS que je vois arriver de "maigres remboursements" sur mon compte bancaire  SANS SAVOIR A QUOI ou A QUI LES ATTRIBUER !!! mais que je vois partir -à la "bonne date" le versement cotisation-mensuelle PRV/cegema de 151,63€ : le robot bancaire, LUI, fonctionne ! il me semble que X 12 MOIS cela va faire une somme absolument pas en RAPPORT AVEC LE MAIGRE SERVICE reçu !  voilà comment on se fait rouler dans la farine -poings liés et compte en banque ouvert  ! ceci pour les internautes et non pour cégéma puisqu'ils se moquent des ressentis des  clients !</t>
  </si>
  <si>
    <t>escalles-122763</t>
  </si>
  <si>
    <t>Pas de remboursement malgré l'intervention du responsable régional, manque total d'information pour se connecter sur le site internet Le site internet santé facile n'as aucune utilité</t>
  </si>
  <si>
    <t>08/07/2021</t>
  </si>
  <si>
    <t>sand-122490</t>
  </si>
  <si>
    <t xml:space="preserve">bjr je note nulle cette assureur j en suis a plus de 3 semaines d attente d un retour sur un devis avec deja 2 relances. j attends la date anniversaire et je m'en vais ! pas compétent du tout ! A ce rythme la on est pas près de se faire soigner....
nous avons été harcelé pour la souscription, mais le suivi est nulle aucun suivi client .merci  
 </t>
  </si>
  <si>
    <t>06/07/2021</t>
  </si>
  <si>
    <t>so06-121421</t>
  </si>
  <si>
    <t xml:space="preserve">Délais de remboursement abusifs (sauf pour ce qui passe par télétransmission), aucune possibilité de les joindre, ne répondent ni aux courriers, ni aux mails, ni au téléphone ...  je ne sais pas s'il est possible de faire consigner les cotisations jusqu'aux remboursements dûs ? quelqu'un a't'il un avis à ce sujet ? </t>
  </si>
  <si>
    <t>28/06/2021</t>
  </si>
  <si>
    <t>bigourelle-121220</t>
  </si>
  <si>
    <t>ma pharmacienne vient de me dire que tous les dossiers envoyés depuis février 2021 ont été refusés. Cependant mes cotisations (97,71 !!) est bien prélevée chaque mois. Je viens de passer 5 heures au téléphone pour les joindre. Tous leurs agents sont en ligne, il vous est demandé d'attendre, on va vous répondre, mais jamais on vous répond.
j'aimerais avoir un contact avec CEGEMA afin d'obtenir des explications et que ces dossiers soient enfin acceptés comme ils doivent l'être puisque je règle mes cotisations</t>
  </si>
  <si>
    <t>jack06-119107</t>
  </si>
  <si>
    <t>Ne répond pas aux demandes faites sur le site, ni au téléphone malgré qu'un message indique que si l'on souhaite être rappelé de cliquer sur 1 blabla
bientôt 2 mois que j'ai fait une demande de remboursement ostéo et aucune nouvelle</t>
  </si>
  <si>
    <t>24/06/2021</t>
  </si>
  <si>
    <t>annie-117254</t>
  </si>
  <si>
    <t xml:space="preserve">Aucun contact par téléphone aucune réponse par mail je suis déçue je ne ferais pas une bonne publicité les remboursements sont très longs  merci je n’ai pas d’imprimante et j’ai demandé de recevoir mes cartes tiers payant par courrier </t>
  </si>
  <si>
    <t>16/06/2021</t>
  </si>
  <si>
    <t>raslebol06-117013</t>
  </si>
  <si>
    <t>Cegema une mutuelle santé qui ne rembourse pas sauf dans un délai de 3 mois après multitude de mails et d'appels. Ceux ci d'ailleurs répondent peu ou pas. Prix qui augmentent chaque année pas d'application... À fuir.</t>
  </si>
  <si>
    <t>14/06/2021</t>
  </si>
  <si>
    <t>jullien-116199</t>
  </si>
  <si>
    <t>Je suis à cette mutuelle depuis janvier 2011 : j'ai souscrit via un courtier qui est à Nice car le prix était apparemment compétitif : mais pour les remboursements c'est une vraie catastrophe : il faut les relancer sans arrêt par courrier car ils ont injoignables au téléphone : les délais sont très longs ; soins dentaires remboursés plus de 2 moi après ....soins dentaires basiques remboursés par la CPAM du 30/03/2021 : le complément de la mutuelle n'est toujours pas remboursé ...
Mutuelle à rayer de vos contacts : chercher ailleurs....</t>
  </si>
  <si>
    <t>07/06/2021</t>
  </si>
  <si>
    <t>patmad-115663</t>
  </si>
  <si>
    <t>très mauvaise mutuelle a éviter limite de l honnêteté. remboursements aléatoire, contact clientèle inexistant a dénoncer aux associations de consommateurs.</t>
  </si>
  <si>
    <t>02/06/2021</t>
  </si>
  <si>
    <t>sante-115419</t>
  </si>
  <si>
    <t>Pas d'interlocuteur, pas de respect du contrat, un interlocuteur particulièrement agressif et des remboursement qui n'arrivent jamais
J'ai eu de grandes difficulté à obtenir un remboursement de mon appareil dentaire du bas alors que j'ai souscrit à un remboursement 100% 
pas de réponse pour l'appareil du haut malgré de multiples relances
pas de réponse pour les autres soins
je suis très déçue par rapport à ce qui m'avait été annoncé lorsque j'ai souscrit</t>
  </si>
  <si>
    <t>31/05/2021</t>
  </si>
  <si>
    <t>leinad-115270</t>
  </si>
  <si>
    <t>Malgré de nombreuses relances depuis plus de deux mois dans mon "espace personnel", aucun remboursement, aucune explication, aucune réponse à mes demandes. Je suis scandalisé et inquiet, car dans le même temps, je continue à me voir prélever chaque mois près de 150 euros ! Dommage qu’il ne soit pas possible de résilier en cours d’année car mon adhésion date du 1/1/2021 !</t>
  </si>
  <si>
    <t>29/05/2021</t>
  </si>
  <si>
    <t>marie76210-115251</t>
  </si>
  <si>
    <t xml:space="preserve">je suis en attente d un remboursement dentaire important depuis avril ils ne repondent pas aux mails et au telephone l autre jour j ai attendu presqu une heure et ca a raccroche j ai envoye un courrier recommande avec accuse de reception pas de reponse par contre ils savent bien prelever je suis tres deçue mais si pas de reponse je vais porter plainte contre eux hors de question que je leur fasse cadeaux de presque 700 euros </t>
  </si>
  <si>
    <t>mareva-115094</t>
  </si>
  <si>
    <t xml:space="preserve">tres mauvaise  mutuelle ca fait 6 mois que j ai envoye des factures impossible de me faire rembourser on peut joindre personne
si on envoie trop de messages on vous verrouille votre compte vous ne pouvez plus vous connecter hate de changer de mutuelle 
</t>
  </si>
  <si>
    <t>bambou-115028</t>
  </si>
  <si>
    <t xml:space="preserve">je suis inquiète de tout les avis que je viens de lire j ai moi même envoyé un devis dentaire sans réponse pour l instant  et impossible de les joindre par téléphone .
je viens juste de souscrire il y a 1 mois et je pense que cela et trop tard pour annuler .
  </t>
  </si>
  <si>
    <t>mickey-114947</t>
  </si>
  <si>
    <t>c'est une très mauvaise expérience,
 j'ai souscrit en ligne un contrat mutuelle cegema en début d'année  avec les assurances de l'ADOUR.
je voulais changer de mutuelle et j'ai été contacté par une personne très compétente qui m'a bien expliqué en détail les conditions du contrat et même fait une simulation de remboursement à partir d'un devis de soins et prothèses dentaires fourni par mon dentiste.  j'ai fait remarqué qu'il n'y avait aucune mention au sujet du délai de carence, la réponse c'est justement s'il n'y a rien c'est qu'il n'y en a pas.
une fois le contrat et le formulaire sepa signés , plus de nouvelle, injoignable, mes soins dentaires commencés, j'ai eu une première facture au début avril acceptée par la ss et transmise mais rien , pas de remboursement malgré de nombreux mails et messages laissés sur la site dans mon dossier. c'est très inquiétant. que faire? faudra t-il à l'avenir se faire assister par un avocat avant chaque décision à prendre ?</t>
  </si>
  <si>
    <t>26/05/2021</t>
  </si>
  <si>
    <t>martin-114470</t>
  </si>
  <si>
    <t>J ai changé de mutuelle en janvier pour Cegema ,quelle déception,3 mois pour avoir un remboursement de podologue,  Après de nombreux coup de fils de mon courtier, 1 mois pour avoir un gros remboursement dentaire.Si vous leur laissez des messages ,ils ne répondent même pas.
Très très déçue
et je ne recommande pas cette mutuelle</t>
  </si>
  <si>
    <t>21/05/2021</t>
  </si>
  <si>
    <t>gezim-113876</t>
  </si>
  <si>
    <t xml:space="preserve">Nous avons changé de mutuelle pour aller chez eux mais quel déception, aucune réponse à nos demandes, et pas de remboursement de nos frais dentaire depuis des mois.
A FUIR </t>
  </si>
  <si>
    <t>16/05/2021</t>
  </si>
  <si>
    <t>frk92-113392</t>
  </si>
  <si>
    <t>Pas de retour sur un devis dentaire depuis le 15 mars ; pas non plus de remboursement des frais engagés. Impossible de les joindre au téléphone. Aucune réponse aux mails, même ceux adressés au service réclamation. Les relances faites tant par moi-même que par le courtier restent lettres mortes. je leur ai envoyé une mise en demeure par courrier recommandé le 4 mai dernier. Toujours rien. On ne peut même pas saisir le médiateur puisqu'ils ne figurent pas sur la liste des assurances adhérant à la Médiation de l'assurance qui est pourtant indiquée à l'article 18 de leur contrat. Dernier recours, faire opposition aux prélèvements et saisir la justice !</t>
  </si>
  <si>
    <t>11/05/2021</t>
  </si>
  <si>
    <t>la-puce-112822</t>
  </si>
  <si>
    <t>impossible de les avoir au téléphone, toujours le même disque que tous les conseillers sont occupés de 9 heures à 18 heures. toujours aucun remboursement depuis le mois de février 2021. fuyez cette mutuelle et surtout faites de la publicité car elle est peu efficace.</t>
  </si>
  <si>
    <t>06/05/2021</t>
  </si>
  <si>
    <t>magni66-112781</t>
  </si>
  <si>
    <t>Assuré chez Cegema depuis 15 ans sans problème, fonctionnement normal. Depuis 2021, mépris total du client. remboursement optique en attente depuis 4 mois. Communication téléphonique impossible. Ce changement de comportement est-il le signe annonciateur d'une débâcle financière dont les assurés feront les frais ? La question peut se poser. Cet assureur m'a donné satisfaction pendant 15 ans, désormais, à l'issue de mon contrat, ce sera terminé.</t>
  </si>
  <si>
    <t>05/05/2021</t>
  </si>
  <si>
    <t>eve-110323</t>
  </si>
  <si>
    <t xml:space="preserve">on ne peut pas mettre zéro, dommage ! Mutuelle à fuir, pour prélever les cotisations pas de problème, pour les remboursements c'est une autre chose, j'y suis depuis le 1er mars et pour l'instant je n'ai pas été de mes sois. </t>
  </si>
  <si>
    <t>speckaert-112728</t>
  </si>
  <si>
    <t>Comme très souvent plus rapide à vous faire signer un contrat que de rembourser
Ne pas répondre aux courrier  ni aux mails mais pour les augmentations çà va.</t>
  </si>
  <si>
    <t>th-cdx-112706</t>
  </si>
  <si>
    <t xml:space="preserve">Les collaboratrices du Groupe Huebert sont très agréables et persuasives lors de la souscription.
En revanche, CEGEMA ne répond jamais ni au téléphone, ni aux email, ni (en dernier recours) aux lettres recommandées.
Plus de 1000€ de factures concernant des frais dentaires en RAC zéro. Uniquement la facture de détartrage remboursée (7€ et quelques)
Retour de leur part d’un devis pour une prothèse dentaire 6 mois après ma demande.
Le devis à valider par fax (l’âge de pierre) n’était même pas le bon.
Depuis, j’attends toujours....
Les frais datent de début mars 2021 et nous sommes en mai....
Je vais donc contacter le médiateur en assurance.
Je ne recommande pas du tout cette mutuelle qui est aux abonnés absents dès que la somme à rembourser devient importante </t>
  </si>
  <si>
    <t>sabrina-112570</t>
  </si>
  <si>
    <t>Vraiment à fuir.....impossible de se faire rembourser des soins dentaires et optiques, personne ne repond au téléphone, ni au mail, ni aux messages facebook!!!!!
ils  peuvent vanter leur mérite lors de l'inscription du foutage de g.....!!!!</t>
  </si>
  <si>
    <t>04/05/2021</t>
  </si>
  <si>
    <t>0-112115</t>
  </si>
  <si>
    <t>compagnie a fuir, ne reponds jamais au téléphone . ils doivent toujours vous rappeler le lendemain jamais de réponse
ils m'ont fait souscrire un contrat alors que je ne pouvais pas résilier le précédent
je pense que je vais contacter le médiateur de l'assurance</t>
  </si>
  <si>
    <t>jose-111613</t>
  </si>
  <si>
    <t xml:space="preserve">Je suis chez Cegema malheureusement depuis 1 an . Quand il n’y a aucune demande pas de problème.
Cela fait 3 mois que j’attends un remboursement rien en vu on me dit chaque fois qu’on s’occupe personnellement de moi .
Je change de mutuelle je vais chez MMA qui est depuis plus de 10 ans mon assurance voiture jamais aucun problème avec eux toujours clean et à l’écoute mon interlocutrice est à 10 Kms de chez moi pas à 700 kms ( j’habite le var).
CERISE SUR LE GÂTEAU lorsque j’ai eu ma référente  Cegema pour lui dire que j’allais chez MMA  elle m’a dit «  avez vous lu les avis sur MMA ...» ????. j’ai cru que c’était une blague de mauvais goût .
Un conseil passez votre chemin 
</t>
  </si>
  <si>
    <t>25/04/2021</t>
  </si>
  <si>
    <t>monsieur--111032</t>
  </si>
  <si>
    <t xml:space="preserve">C'est honnêtement l'une des mutuelle qui rembourse avec des lance pierres, c'est de la mendicité, quand vous appelez impossible de les joindre soit disant qu'il sont submergé et pourquoi pas les autres mutuelles ?????? 
Et pour les remboursement c'est toujours en traitement massive ??????
Un mois et dix jours et pas de remboursement. 
Merci cegema </t>
  </si>
  <si>
    <t>20/04/2021</t>
  </si>
  <si>
    <t>gece-110889</t>
  </si>
  <si>
    <t>Comme d'autres, avant cegema j'étais chez neoliane, le même courtier Meleine change non seulement de compagnie mais d'interlocuteurs le seul point commun entre-eux est que personne n'est au courant de ce que l'autre a fait ou pas fait ! formidable : aucun remboursement en trois mois mais par contre tous les prélèvements ont eu lieu à l'heure...
A BANNIR C'EST UNE HONTE 
IMPOSSIBLE D'AVOIR QUELQU'UN AU TELEPHONE
le répondeur dit invariablement " vous êtes chez michel, je ne suis pas là, laissez-moi un message "
FUYEZ FUYEZ - DANGER</t>
  </si>
  <si>
    <t>19/04/2021</t>
  </si>
  <si>
    <t>choco-110774</t>
  </si>
  <si>
    <t>A FUIR ABSOLUMENT ne repond jamais au tel coute chers courtier
Ne rembourse pas le dentaire prothese
Au cunes communnication 
Nenvoie pas les actes de remboursement  par courrier
Jai quittee la maff 
Pour eux je le regrette  trop chers pas serieux</t>
  </si>
  <si>
    <t>17/04/2021</t>
  </si>
  <si>
    <t>monia-110139</t>
  </si>
  <si>
    <t>Je suis très déçue car nouvellement arrivée chez CEgema , je n’arrive pas avoir mes remboursements de Docteur, ni la personne qui s’occupe de mon dossier car elle ne me répond plus, j’ai demandé plusieurs devis avec le reste à ma charge ce qu’elle ignore complètement, je regrette fortement d’avoir changer de mutuelle et j’attends avec impatience de pouvoir repartir vers mon ancienne mutuelle ! Je verrais si je reçois mes remboursements en temps et en heure sinon j’irai à la défense du consommateur ce que j’ai déjà dit à cette demoiselle vraiment très très déçue et apparemment je ne suis pas là seule ??</t>
  </si>
  <si>
    <t>bla10-110082</t>
  </si>
  <si>
    <t xml:space="preserve">plusieurs appels  téléphonique  a 11h45 rester 15mn  sans résultat puis  a  13h 10 rester 12 mn sans résultat    cela fait  2 mois que je suis dans cette nouvelle  mutuel  impossible d’avoir  quelqu’un  au telephone   pour des renseignement   je ne renouvellerai pas mon contrat    très déçue </t>
  </si>
  <si>
    <t>demeter34-109339</t>
  </si>
  <si>
    <t>Je suis très mécontente de cette mutuelle, impossible à joindre au téléphone, j'attends un remboursement depuis un mois ,j'ai envoyé la demande par recommandé avec AR ET RIEN !!!!!!! depuis, c'est la première assurance dont je suis mécontente , à fuir 
Claudine ANDREU  R000l22164</t>
  </si>
  <si>
    <t>06/04/2021</t>
  </si>
  <si>
    <t>alain-108210</t>
  </si>
  <si>
    <t xml:space="preserve">satisfait pendant 2 ans, puis a la fin de mon contrat en 2020 Cegema bloque mes remboursements dentaires alors que j'ai bien reglé la mensualité et que j'etais toujours couvert par Cegema. J'attends depuis fin janvier des nouvelles de leur part et je suis tres decu de cette attitude.   </t>
  </si>
  <si>
    <t>27/03/2021</t>
  </si>
  <si>
    <t>philocean-108088</t>
  </si>
  <si>
    <t xml:space="preserve">Je suis assuré à CEGEMA depuis plus d'un an et j'ai reçu une augmentation de cotisation passant de 118€ à 126,90€ sans explication alors qu'on est en période de covid donc, on ne prends aucun risque étant vulnérable. Résilié après un an en lettre recommandée avec AR le 06/02, réception de la lettre le 09/02. Sur mon espace client ils prétendent : résilié le 09/04 et ils m'envoient un mail d'appel de fonds pour une cotisation de 39,07 de restant dû. Impossible de les avoir au téléphone ni au siège ni le courtier. Messages laissés sur le site mais ils vous dédaignent. C'est lamentable. Mon seul recours : opposition au prélèvement et je cherche par voie juridique. </t>
  </si>
  <si>
    <t>26/03/2021</t>
  </si>
  <si>
    <t>cricri-107616</t>
  </si>
  <si>
    <t>idem j'essaie de les joindre par téléphone, par email et ce depuis 1 mois. toujours le même répondeur, pas de rappel, pas de prise en charge hospitalière, pas de remboursement. Mutuelle à éviter à tout prix. Par contre les prélèvements sont bien effectués et temps et en heure. Très en colère...</t>
  </si>
  <si>
    <t>23/03/2021</t>
  </si>
  <si>
    <t>jcbas69-107048</t>
  </si>
  <si>
    <t>Petite filiale à 100% de SwissLife qui n'est pas du tout à la hauteur de ce qu'elle prétend : depuis 4 jours j'essaie de les joindre pour obtenir une prise en charge d'hospitalisation, (c'est une trentaine d'appels téléphoniques) avec toujours ce répondeur dont le message date de l'automne 2020! et demandes de rappel qui restent sans effet ! Bref, ils se moquent complètement de leurs assurés, il n'y a que l'augmentation de leur chiffre d'affaire et des cotisations qui les motivent. Puisqu'ils ne daignent pas répondre ni au téléphone, ni aux mails des clients, vous pouvez aussi laisser un commentaire/réclamation chez la maison mère.
Le comportement de Cegema est inadmissible et simplement scandaleux, et j'en avertis le courtier qui m'a suggéré cet organisme.</t>
  </si>
  <si>
    <t>lisi-106885</t>
  </si>
  <si>
    <t xml:space="preserve">Bonjour. Mutuel irrespectueux de ses assurés. IMPOSSIBLE DE LES JOINDRE. ON vous dit que l on vous rappelle. Mais au bout d'un mois...j attends toujours. </t>
  </si>
  <si>
    <t>17/03/2021</t>
  </si>
  <si>
    <t>kate-106815</t>
  </si>
  <si>
    <t>Je suis très déçue par cette mutuelle, impossible de les joindre par téléphone, leur système de rappel et bien on ne vous rappelle paset au niveau remboursement on vous dit délai anormal désolée mais ce n'est pas notre problème et sans parler de l'accord pour le tiers payant pour l'optique un délai de 15 jours et mon opticien n'a toujours pas de réponse. Je ne ferais pas de publicité pour cette mutuelle et dès que je peux changer je n'hésiterai pas</t>
  </si>
  <si>
    <t>16/03/2021</t>
  </si>
  <si>
    <t>chantang-106633</t>
  </si>
  <si>
    <t xml:space="preserve">Depuis 2 mois et demie impossible d obtenir mes remboursements ophtalmo Soit 50e et visite medecin en date de janvier 
Divers appels mails etc je vais devoir faire appel au médiateur 
Plus jamais un contrat avec eux 
</t>
  </si>
  <si>
    <t>15/03/2021</t>
  </si>
  <si>
    <t>jocelyne--105977</t>
  </si>
  <si>
    <t xml:space="preserve">J’attend des remboursements de soins dentaires depuis février 
Aucun traitement de mon dossier malgré des relances par mail 
Impossible de les joindre au tél 
Scandale 
Je vais résilier mon contrat chez eux 
Pour prélever la cotisation chaque mois ils ne sont pas retard </t>
  </si>
  <si>
    <t>09/03/2021</t>
  </si>
  <si>
    <t>patou-105961</t>
  </si>
  <si>
    <t>Je suis entièrement d'accord avec tous les avis que je viens de lire. Affilié depuis le début d'année 2021, j'attends également plusieurs remboursements, toujours promis mais jamais faits bien qu'ayant réclamé à de nombreuses reprises tant par mails que par téléphone et avoir envoyé plusieurs copies des factures. Je n'ai jamais connu pire mutuelle. Je la déconseille à quiconque serait tenté de croire aux belles annonces de la démarcheuse et viens même à douter d'être un jour remboursé. HONTEUX !!!!!!!!!!!</t>
  </si>
  <si>
    <t>philippe-105852</t>
  </si>
  <si>
    <t>Il est impossible d'avoir un conseiller, ni même d'avoir une réponse à une question concernant un non remboursement, alors qu'ils sont ISO9001. Surtout ne pas  écouter ces courtiers qui sont là uniquement pour ces mutuelles. Un conseil! ne pas prendre la CEGEMA comme mutuelle! Avant j'étais chez GRAS SAVOYE, aucun problème pour les avoir.</t>
  </si>
  <si>
    <t>08/03/2021</t>
  </si>
  <si>
    <t>pastel-105573</t>
  </si>
  <si>
    <t xml:space="preserve">J'attends toujours le remboursement des soins du 05 janvier 2021.
Mails, appels téléphoniques, contacts via la page Facebook, rien ne bouge.
La facture a été envoyée 4 fois, aucune réponse.
La lettre recommandée va donc partir semaine prochaine, après ce sera  la saisine du médiateur.
Inadmissible, j'en arrive à ne plus aller chez le médecin, tant les remboursement se font attendre.
</t>
  </si>
  <si>
    <t>05/03/2021</t>
  </si>
  <si>
    <t>katy-105291</t>
  </si>
  <si>
    <t>Impossible de joindre qui que se soit au téléphone, nous sommes au mois de mars et je n'ai toujours pas reçu mon attestation de tiers payant. Je suis très mécontente de cette mutuelle</t>
  </si>
  <si>
    <t>nadia-104684</t>
  </si>
  <si>
    <t xml:space="preserve">Je suis très déçue de cette mutuelle.
Ils sont injoignables j’attends des remboursements de frais dentaires depuis plus d’un mois et aucune réponse 
</t>
  </si>
  <si>
    <t>24/02/2021</t>
  </si>
  <si>
    <t>joy-104409</t>
  </si>
  <si>
    <t>Je n'ai rien a dire sur la mutuelle UCR, j'en suis très content que ca soit au niveau des garanties, remboursements et cotisations chose que je n'ai pas trouvé chez d'autres</t>
  </si>
  <si>
    <t>18/02/2021</t>
  </si>
  <si>
    <t>maclairelu6-104374</t>
  </si>
  <si>
    <t xml:space="preserve">Bonjour, j'avais comparé ce qui était comparable et je suis satisfaite de la CEGEMA
cela fait quelques années que j'y suis.
Tarif raisonnable.
rapidité des remboursements,.
site internet simple et réactif.
personnes bienveillantes au téléphone.
Pour le moment, Je suis satisfaite.
</t>
  </si>
  <si>
    <t>17/02/2021</t>
  </si>
  <si>
    <t>mariefrance-104207</t>
  </si>
  <si>
    <t xml:space="preserve">Je ne recommande pas aucune réponse au email et par tel une charmante personne qui me répond je transmets votre demande une personne vous répondra. J'attend toujours. </t>
  </si>
  <si>
    <t>jp-104206</t>
  </si>
  <si>
    <t xml:space="preserve">lamentable.
impossible de joindre un conseiller, pas de rappel.
J'ai appelé 5 jours de suite, promesse de rappel à chaque fois, jamais rappelé, quel gâchis!
A l'échéance, ce sera good bye!
</t>
  </si>
  <si>
    <t>phil-104118</t>
  </si>
  <si>
    <t xml:space="preserve">
 Fuyez brave gens fuyez à toute jambes cette complementaire qui augmente   sans cesse et sans vous avertir 
A la Cegema depuis quatre ans ..toujours pas de teletransmission ..(faut envoyer vos factures ,sinon rien )
Pour un remboursement ,de 150 euros ,j'ai attendu plus d'un mois et obtenu 10,76 Super complementaire 
Pour un remboursement de 25 euros , attente de plus de trois mois et demi et des milliers de coup de fi  en "labyrinthe pour vous decourager ..je quitte ce navire  Fuyez ,je vous dis 
</t>
  </si>
  <si>
    <t>13/02/2021</t>
  </si>
  <si>
    <t>bibi47-57869</t>
  </si>
  <si>
    <t>Lorsqu'il n'y a pas de télétransmission, c'est comme si vous n'existiez pas. Les réponses à vos questions inexistantes, les remboursements au bout de 20 jours toujours rien. Je regrette de mettre enfournée dans cette mutuelle. Lorsqu'on vous harponne, tout est super, rapidité de remboursement...etc...et à la fin toutes les mutuelles se ressemblent, il faut toujours réclamer quand vous ne tombez contre un mur!</t>
  </si>
  <si>
    <t>gaillot-102975</t>
  </si>
  <si>
    <t>Bonjour
J'ai contracté une mutuelle auprès de CEGEMA ASSURANCES depuis le 18 Novembre 2020 et depuis, impossible de créer mon espace client. Après des dizaines de tentatives pour les contacter par téléphone, aujour'hui, 20 Janvier 2021,
hourra !!! j'ai eu 2 conseillés, incompétents et pressés, avec qui, je n'ai toujours pas réussi à ouvrir mon compte.
C'est le tarif qui m'a attiré, mais après avoir lu plusieurs commentaires défavorables au sujet de cette mutuelle, je constate qu'ils sont véridiques.
J'attends avec impatience la fin de cette année pour résilier ce contrat.</t>
  </si>
  <si>
    <t>20/01/2021</t>
  </si>
  <si>
    <t>perseverante-77516</t>
  </si>
  <si>
    <t>Nouvelle assurée depuis le 01/2021 via 1 courtier, je découvre à mes dépens! Certes le logiciel de "carte blanche" est en maintenance(pour ne pas dire en panne...), mais Cegema tout comme le courtier, annonce que ce n'est pas leur pb et que pour connaitre les opticiens concernés (10 proche de chez moi) , je n'ai qu'à prendre mon bâton de pèlerin et faire la tournée de ces derniers: bonjour Covid ! A savoir qu'ils avaient les renseignements en main pour me les avoir donné par tel avant signature du contrat : je n'avais qu'à les noter à ce moment là!!!!! Affaire à suivre .</t>
  </si>
  <si>
    <t>07/01/2021</t>
  </si>
  <si>
    <t>ef-101932</t>
  </si>
  <si>
    <t xml:space="preserve">Bonjour,
Je suis d'origine suisse, né en Suisse à Zürich. Je vis à Nice à 83 ans. Je suis absolument déçus de cet mutuelle, pensent au sérieux suisse.  J'ai signé un contrat Vitanéor 2 175 %, avec le coutier Cégéma Compassur.                                                                             
Mais après plusieurs appels, envois de message et pièces demandés avec facture de mon dentiste et le dossier de remboursement de la Sécu à 70 %. J'ai payé par chèque de 2770 € pour des soins et une prothèse mon dentiste, remis ma carte Vitale.                      Depuis nov. 2020, Compassurl ne me rembourse  pas le complément !
C'est inadmissible, je paie mes cotisation par prélèvement chaque mois !
Cordialement
                              Eric Fontolliet
                         </t>
  </si>
  <si>
    <t>28/12/2020</t>
  </si>
  <si>
    <t>eliane-101927</t>
  </si>
  <si>
    <t>Apres  forcing, je signe(en annulant le nouveau contrat) le 10/09 pour 70,13€ mensuel..Le 28/O9 2eme courrier tarif change:71, 71€ mensuel...3eme courrier: 81,71€ a regler le 12/01/ 21 , ensuite : 71,71€
    Envoi 1mail : sans reponse ...1er appel :c'est normal :taxes (mais , ils evitent d'en parler , c 'est la surprise)Quel degré d'honneteté posséde cette assurance ???Je change en fin d'année..Je crains les remboursements Fuyez cette assurance</t>
  </si>
  <si>
    <t>nat-101316</t>
  </si>
  <si>
    <t xml:space="preserve">Des personnes sans humanité nous avons perdu une proche le 1 et novembre et on nous demande de payer 7.80 euro pour la journée sachant que cette personne payait 239 euro par mois en étant pris à cent pour cent pour sa maladie honte à eux </t>
  </si>
  <si>
    <t>11/12/2020</t>
  </si>
  <si>
    <t>marcel-100955</t>
  </si>
  <si>
    <t>Sur les remboursements rien à dire pour la pharmacie, par contre pour des frais dentaires malgré une cotisation pour notre couple qui avoisine les 200 € au ras des pâquerettes. Par contre nous en sommes à 3 semaines d'attente pour un devis de remboursement de lunettes. Après avoir téléphoné plusieurs fois, nous venons de recevoir un mail pour nous indiquer qu'ils avaient pris en compte notre réclamation. pire que les fonctionnaires.</t>
  </si>
  <si>
    <t>assure-100427</t>
  </si>
  <si>
    <t>Je viens de payer le 1er mois de cotisation, il est vrai que pour avoir un renseignement sur la mutuelle j'ai envoyé un mail, et effectivement je n'ai reçu aucune réponse. Vu tous les avis négatifs sur cette société, j'ai contesté immédiatement ce 1er prélèvement et bloqué le mandat pour cegema. Je ne perdrais pas de temps avec des sociétés telles que celles-ci et je ne suis pas là pour les engraisser. Il est vrai aussi qu'il est impossible de trouver le site pour se connecter à son compte client. D'ailleurs j'attends un remboursement visite médecin que je n'ai pas encore reçu. Je pense qu'il est préférable de souscrire dans une grande enseigne qui a pignon sur rue</t>
  </si>
  <si>
    <t>21/11/2020</t>
  </si>
  <si>
    <t>christal--100234</t>
  </si>
  <si>
    <t xml:space="preserve">Je nai  jamais reçu aucun remboursement de leur part !!! Jai changer récemment mais jamais je nai eu de remboursement pas le moindre! Je me suis senti voler . jaurais au monde voulu être rembourser de mon médecin toutes les fois que jy suis allée. </t>
  </si>
  <si>
    <t>18/11/2020</t>
  </si>
  <si>
    <t>valerie-99234</t>
  </si>
  <si>
    <t xml:space="preserve">
Une assurance à l'écoute, personnels compétant, bon rapport qualité prix. Ne changez rien. Bonne journée à toute l'équipe AG CONSEIL Ce que j'apprécie particulièrement chez AG Conseil, c'est le suivi actif de ma conseillère pour les documents, les réponses rapides qu'elle m'apporte. Je me sens réellement suivi et je sais qu'un échange régulier est possible, ce qui me rassure.</t>
  </si>
  <si>
    <t>26/10/2020</t>
  </si>
  <si>
    <t>marco-98271</t>
  </si>
  <si>
    <t>J’ai souscris un contrat mutuelle santé Cegema pour 2020 par l’intermédiaire d’un cabinet de courtage. Au début, j’avais un doute sur la fiabilité du courtier et de Cegema au vu des avis de leurs adhérents. A ce jour, je suis rassuré car ils ont toujours répondu à mes demandes, par téléphone et mail, avec professionnalisme. Aucun des  professionnels de santé ( pharmacie, radiologie,Hôpital  ) ne m’a jamais posé de problème pour accepter la carte de cette mutuelle.
J’ai pu joindre, à plusieurs reprises,  les services de Cegema à Villeneuve  les Louvet et j’ai été, à chaque fois , très bien accueilli et renseigné.</t>
  </si>
  <si>
    <t>02/10/2020</t>
  </si>
  <si>
    <t>grincheux-97160</t>
  </si>
  <si>
    <t>Une mutuelle qui ne répond pas à ses adhérents, n'est pas une bonne mutuelle. De plus, les remboursements sont vraiment minimes, par rapport aux dires de la prospectrice qui nous a berné. A fuire!!!!</t>
  </si>
  <si>
    <t>scombrus-79470</t>
  </si>
  <si>
    <t>Bonjour
j'avais écris un commentaire mi septembre 2019 car après 15j d'adhésion des problèmes commençaient à arriver. Toute l'année 2019 il y a eu des soucis: remboursements très tardifs, demande de pièces justificatives plusieurs fois dans le même mois, et, plus grave non paiement au pharmacien des médicaments prescrits. Pas plus tard qu'aujourd'hui je demande si le changement de mes lunettes va être pris en charge car ma vue a brusquement changée suite à une cataracte. La cegema à l'ordonnance et le devis de l'opticien depuis 3 semaines. Je ne sais toujours pas si je vais être pris en charge. A fuir au plus vite. J'ai envoyer une lettre avec AR pour signifier la résiliation de mon contrat. Ensuite fini les assurance complémentaires je vais me passer des services de ces profiteurs car les mutuelles en tant que telles n'existent plus. Pour preuve ce ne sont que des groupes d'assurance qui nous vendent des contrats. Essayez de lire l'article du magazine mieux vivre votre argent n° 439 de décembre 2018. Je tiens cet article a disposition de qui le voudra.
Cordialement.</t>
  </si>
  <si>
    <t>31/07/2020</t>
  </si>
  <si>
    <t>joseph-92220</t>
  </si>
  <si>
    <t>suivi des dossiers trop long calà fait un mois que j'attends mes lunettes</t>
  </si>
  <si>
    <t>25/06/2020</t>
  </si>
  <si>
    <t>gerald-90447</t>
  </si>
  <si>
    <t>NOUVELLE TECHTIQUE DES MUTUELLES LES RABATEURS COURTIERS ILS FONT TOUT ET VOUS FORGUENT DES CONTRATS SOIS DISANS EBLOUISSANT MAIS DEMENTI DANS LES 10 FEUILLES DU CONTRAT RECU QUE PERCONNE NE LIS D'OU CHER POUR PAS DE REMBOURSEMENTS LES TROMPERIES CONTIN UENT</t>
  </si>
  <si>
    <t>11/06/2020</t>
  </si>
  <si>
    <t>leila-90007</t>
  </si>
  <si>
    <t>très satisfaite de tous surtout sur le suivis client j'ai pris un contrat senior pour mon père il y a 2ans</t>
  </si>
  <si>
    <t>28/05/2020</t>
  </si>
  <si>
    <t>jojo1611-88126</t>
  </si>
  <si>
    <t>ayant rompu mon contrat fin decembre 2019,cegema m'a pas remboursé des frais du 11/12/19,ils ne répondent même plus au tel et ne répondent pas à une lettre recommandée avec AR,il faut être sacrement gonflé pour priver un retraité d'un remboursement de radio et echographie</t>
  </si>
  <si>
    <t>09/03/2020</t>
  </si>
  <si>
    <t>rym-87408</t>
  </si>
  <si>
    <t xml:space="preserve">Mon mari et moi même venons d'adhérer à l cegema par le cabinet PROVIDENCY et nous en sommes enchantés. Les remboursements sont rapides, tous nos frais d'hospitalisation sont aux frais réels 
Il s'agit d'une mutuelle santé sans soucis
</t>
  </si>
  <si>
    <t>20/02/2020</t>
  </si>
  <si>
    <t>jean75-87168</t>
  </si>
  <si>
    <t>Très satisfait j'ai eu MR Daniel Alias très professionnel  il a pris tout le temps pour bien m'expliquer les choses 
Enfin j'ai trouver mon bonheur après des années de recherche 
Je recommande</t>
  </si>
  <si>
    <t>14/02/2020</t>
  </si>
  <si>
    <t>v-cohen-86934</t>
  </si>
  <si>
    <t>jai pris un contrat avec cegema a travers un cabinet lyonais , providency , et je men rejouit fortement. conseiller a lecoute, garanties tres adaptees a ma situation, en plus ils prennent en compte mes ald et a chaque fois que je demande une info on me la donne sans soucis</t>
  </si>
  <si>
    <t>10/02/2020</t>
  </si>
  <si>
    <t>rookie-86535</t>
  </si>
  <si>
    <t>Bonjour
Difficile de contacter ce service, pas d adresse mail et téléphone  absent.Je ne pense pas que je renouvellerai mon contrat.De plus le commentaire est forcé et n accepte pas les réponses courtes.Quand la personne appelle elle ne se présente pas  et la diction  concernant l adresse mail est inaudible.</t>
  </si>
  <si>
    <t>30/01/2020</t>
  </si>
  <si>
    <t>naege-80954</t>
  </si>
  <si>
    <t xml:space="preserve">Cegema propose ses contrats par l intermédiaire d un courtier Ma Santé Facile à Castelnau la Lez qui prétend être filiale de Swisslife  et dont les pratiques commerciales ne sont pas correctes
alors que j'étais venu pour un renseignement
 l employée m'a déroulé un argumentaire bien rodé et m'a proposé de s'occuper de la résiliation de mon contrat en cours
A l aide d'une expression équivoque elle m'a fait signer un document sans que je sache que je venais de m engager pour une année
Je me retrouve avec une garantie PS2 avec renfort hospitalier  </t>
  </si>
  <si>
    <t>23/01/2020</t>
  </si>
  <si>
    <t>doris-76721</t>
  </si>
  <si>
    <t>Impos de me faire rbser les avances de frais faites aux hôpitaux pour cause d abscence de lien avec la cegema Personnel complice des employeurs et à leurs ordres pour ne pas payer X rappels 0 Rbt</t>
  </si>
  <si>
    <t>14/06/2019</t>
  </si>
  <si>
    <t>belfort5563-70493</t>
  </si>
  <si>
    <t>ayant refusé leur offre il ont profité de la signature électronique du devis pour faire accepter le contrat, et ceci malgré les deux AR envoyés avant le délais de 14 jours de détraction, et bien il puise sur le compte en banque, mais tout est rentré dans l'ordre avec le renvois des AR.</t>
  </si>
  <si>
    <t>29/01/2019</t>
  </si>
  <si>
    <t>claudy06-70353</t>
  </si>
  <si>
    <t>A éviter absolument.On ne vous envoie pas l'ATP,on ne vous prévient pas de l'augmentation mensuelle scandaleuse.Remboursements minables.Pas de réponses aux LRAR.Interlocuteurs désagréables .Résiliation de contrat impossible et  recours obligatoire en justice</t>
  </si>
  <si>
    <t>18/01/2019</t>
  </si>
  <si>
    <t>djdtb-69275</t>
  </si>
  <si>
    <t xml:space="preserve"> resiliation dans les temps ....lettre envoyee et resiliation effectuee par un autre organisme.
ils ont refusé la resiliation et menti sur tous les points
j.ai recu un commandemùent de payer l annee entiere avec frais via INTRUM....une assurance qui escroque le petit retraite...........alors que j etais client chez eux depuis 9 ans via un contrat de groupe</t>
  </si>
  <si>
    <t>10/12/2018</t>
  </si>
  <si>
    <t>jeanpaul92-67814</t>
  </si>
  <si>
    <t>Je souhaite partager avec vous mon avis Positif pour cette mutuelle que je trouve mal noté. je suis entièrement satisfait par le choix qu'on a fait pour moi
le conseiller a bien fait son travail en me dénichant cette perle.</t>
  </si>
  <si>
    <t>17/10/2018</t>
  </si>
  <si>
    <t>thierry-61836</t>
  </si>
  <si>
    <t xml:space="preserve">Mutuelle santé à fuir. Cotisations très chères pour peu de remboursement. Toujours des petites clauses cachées en particulier pour les forfaits annuels. </t>
  </si>
  <si>
    <t>28/02/2018</t>
  </si>
  <si>
    <t>celsius261-40555</t>
  </si>
  <si>
    <t>Après avoir utilisé un comparateur nous avons été contacté par un courtier en assurance. Un examen minutieux des garanties et des services nous a conduit à prendre un contrat d'assurance santé. Après un démarrage un peu chaotique de la part du courtier mais après une période de "rodage" tout c'est mis en place et fonctionne de manière satisfaisante.</t>
  </si>
  <si>
    <t>06/01/2018</t>
  </si>
  <si>
    <t>philippe-59495</t>
  </si>
  <si>
    <t>Si Cegema n'est pas la moins chère, c'est tout de même une bonne mutuelle avec laquelle je n'ai jamais eu de soucis de remboursement. les documents envoyés sont clairs et leur site permet de vérifier les remboursements. Je ne peux pas me plaindre. Les questions envoyées par mails appellent toujours une réponse rapide de leur part. A comparer avec d'autres mutuelles ils ne sont pas les pires.</t>
  </si>
  <si>
    <t>08/12/2017</t>
  </si>
  <si>
    <t>01/12/2017</t>
  </si>
  <si>
    <t>philippe-59041</t>
  </si>
  <si>
    <t xml:space="preserve">Pour l'envoi en retard de 6 jours d'un recommandé pour résilier un contrat, la CEGEMA refuse ma résiliation et m'oblige à rester chez eux encore un an de plus. Disposant d'un délai de deux mois pour répondre à une réclamation faite par e-mail, la CEGEMA fait languir le client. Je pense qu'ils vont attendre le mois de janvier 2018 pour répondre car ce sera la date anniversaire du contrat et je ne pourrais par conséquent pas faire marche arrière pour la résiliation qui est déjà demandée. </t>
  </si>
  <si>
    <t>22/11/2017</t>
  </si>
  <si>
    <t>01/11/2017</t>
  </si>
  <si>
    <t>grany-56990</t>
  </si>
  <si>
    <t>Je pris cette mutuelle santé spécialement pour pouvoir être remboursé des frais d'une cure thermale. Le tableau des garanties choisies disait : remboursement de la cure à 125% + forfait de 100€. Dans toutes les mutuelles le forfait concerne les frais de transport et d'hébergement....excepté pour cegema qui au moment du remboursement de mes frais de transport (péages + carburant) refuse de payer au motif qu'il ne s'agit pas de frais d'hébergement (restriction qu'ils ont oubliés de noter dans leur plaquette d'information des garanties).
Je rajouterai qu'il a fallu que je bataille pour obtenir ma carte de tiers payant 2017 que j'ai finalement reçue en février ( pour compenser ils me l'ont envoyée trois fois de suite....)</t>
  </si>
  <si>
    <t>31/08/2017</t>
  </si>
  <si>
    <t>theolou-53752</t>
  </si>
  <si>
    <t xml:space="preserve">A fuir .... on met en avant la proximité ...on insiste en mettant son nom son adresse  SAUF que la personne n'est plus dans la Société.  De plus je n'ai pas reçu les documents dans les 15 jours ce qui m'interdit de ne pas donner suite à mon refus de souscrire chez eux.  Ils sont de très mauvaise fois  L'un dit blanc l'autre dit noir et c'est pas moi c'est l'autre  Ne souscrivez pas auprès de MASANTEFACILE tout est mensonge  ... et pas a l'écoute DU TOUT. et menteur... tout est dit  Je ne veux pas du contrat a effet du 1/4/2017 </t>
  </si>
  <si>
    <t>temoin-52294</t>
  </si>
  <si>
    <t>Attention ils utilisent un artifice pour s exonerer de la loi Chatel. Ils sont d une particuliere mauvaise foi. Avant d y entrer regardez bien ce qui risque de vous arriver si un jour vous vouliez les quitter.</t>
  </si>
  <si>
    <t>10/02/2017</t>
  </si>
  <si>
    <t>01/02/2017</t>
  </si>
  <si>
    <t>ags-assurances-51016</t>
  </si>
  <si>
    <t>Bonjour, Nous sommes courtier en assurances à Nice et nous proposons à nos clients de pouvoir comparer en direct plusieurs mutuelles
Des forts remboursements sur les postes optiques, dentaires, médecin spécialiste et hospitalisation.
Les soins de santé peuvent se faire sur la France ou Monaco.
Demander votre devis gratuit sur notre site http://mutuelle-sante-monaco.com
Vous pouvez nous joindre par téléphone ou directement à notre agence à Nice.</t>
  </si>
  <si>
    <t>06/01/2017</t>
  </si>
  <si>
    <t>miko-50805</t>
  </si>
  <si>
    <t>Tarifs pour les personnes seniors veuves exorbitants pour des remboursements très faibles</t>
  </si>
  <si>
    <t>31/12/2016</t>
  </si>
  <si>
    <t>bajet-138769</t>
  </si>
  <si>
    <t>cette assurance d'entreprise pratiquement obligatoire est très chère par rapport à ce qu 'elle rembourse,c'est une énorme machine bureaucratique pas tellement mutualiste.</t>
  </si>
  <si>
    <t>Mgen</t>
  </si>
  <si>
    <t>02/11/2021</t>
  </si>
  <si>
    <t>ggarreau--131011</t>
  </si>
  <si>
    <t>Bonjour, adhérent de la Mgen depuis 1975, je viens de la quitter depuis le 1er Septembre.
En voici les raisons :
- Cotisation chère pour les remboursements proposés : 123,40€.
- plate forme d’appel d’où nécessité de reformuler son problème…
- Pub cela coûte chère….
- cotisation du conjoint non enseignant rattaché à l’enseignement moins chère que deux enseignants mariés…..
- la nouvelle mutuelle : 76,50€ 
Incluant les vignettes oranges , dépassement d’honoraires 250%,
Meilleure remboursement des lunettes,
Idem pour implants dentaires.
Chambre individuelle forfait de 35€ MGEN contre 55€ pour la nouvelle.</t>
  </si>
  <si>
    <t>03/09/2021</t>
  </si>
  <si>
    <t>cassis-130305</t>
  </si>
  <si>
    <t xml:space="preserve">Assurance beaucoup trop chère et qu'il n'est jamais facile de contacter. Un site internet qui laisse peu de place aux questions spontanées. Encadrement des questions trop rigide. Non adapté aux situations particulières. </t>
  </si>
  <si>
    <t>31/08/2021</t>
  </si>
  <si>
    <t>asavelli-128505</t>
  </si>
  <si>
    <t>Je déconseille vivement de passer par la MGEN pour une caution ou pour une assurance emprunteur. Cela fait 4 mois que nous avons signé avec eux et le dossier n'a toujours pas aboutis. Les conseillers qui répondent au téléphone sont le plus souvent incapables de nous dire où en est le dossier. Personne ne nous contacte jamais, c'est à chacun de nos appels que l'on nous annonce un nouveau document à fournir, tel papier à demander à tel endroit...etc Cela n'en fini jamais. Dernière pépite en date: on nous a demandé de REFAIRE complètement le dossier de A à Z... L'on-t-il perdu? Nous repartons de zéro après des mois de perdus, toujours pas de construction de maison... La MGEN est a fuir absolument!</t>
  </si>
  <si>
    <t>18/08/2021</t>
  </si>
  <si>
    <t>amax-117054</t>
  </si>
  <si>
    <t xml:space="preserve">Attention mutuelle coûteuse avec une gestion administrative déplorable ( x interlocuteurs). J ai eu besoin du service assistance suite à une intervention chirurgicale pour transporter mes enfants à l ecole. Bien qu ayant anticipé ma demande, ce fut un vrai roman. Alternance de conseillers débordés qui se renvoient la responsabilité, des dizaines de minutes d attente à chaque fois pour m entendre dire au final " vous y avez droit mais on n a pas de prestataires"!!?? " Cherchez vous même madame", "Déjà fait monsieur mais je n ai trouvé personne" ( Je précise à nouveau que je sors d une opération)...." je suis désolée madame. Bref honteux, inadmissible. Inacceptable.. . J ai contacté l assurance scolaire de mes enfants : en moins d une heure, tous les transports étaient règlés et ce jusqu'à la fin de l année scolaire. Tout est dit. Je cherche une autre prévoyance et je resilie les contrats MGEN. </t>
  </si>
  <si>
    <t>15/06/2021</t>
  </si>
  <si>
    <t>kiki-de-st-denis--116263</t>
  </si>
  <si>
    <t>MGEN et mutuelle peu chère mais très peu intéressante 
Vaccination Covid : pas moyen d’obtenir le QR code
Pas de réponse au téléphone 
Message disant de s’adresser à Amélie mais je ne suis pas sur Amélie puisque je suis à la MGEN !!!
Donc aucune  possibilité d’obtenir le QRCode!
Consternant !</t>
  </si>
  <si>
    <t>alkeri-115136</t>
  </si>
  <si>
    <t>Horriblement chère...... sûrement la plus chère du marché pour des prestations qui ne sont pas superieures.,.... à noter cependant une très bonne réactivité</t>
  </si>
  <si>
    <t>norev-114484</t>
  </si>
  <si>
    <t>pareil pour la notation ! Si j'avais pu mettre zéro c'est ce que j'aurais fait ! Dossier jamais à jour, redemandent plusieurs fois les mêmes choses, toujours indisponibles que ce soit par tel ou pour avoir un rdv c'est la misère,  je me sens une vache à lait, juste bonne à payer. Sans compter que les prises en charge deviennent ridicules. Mais où est passée la Mgen de mes débuts???</t>
  </si>
  <si>
    <t>nath-109786</t>
  </si>
  <si>
    <t>Depuis 2 mois j'attends le remboursement assez conséquent de soins dentaires. A chaque fois que j'appelle on me dit que la MGEN a pris du retard dans la gestion des dossiers et on me rassure en me disant que le service gestion est relancé. Je finis par désespérer.... Je ne peux pas changer de mutuelle car c'est la mutuelle d'entreprise.</t>
  </si>
  <si>
    <t>09/04/2021</t>
  </si>
  <si>
    <t>pattsi-50132</t>
  </si>
  <si>
    <t>j'ai lu les avis et je suis d'accord :  Mutuelle chère, remboursements chaotiques (j'ai abandonné l'idée de comprendre certains remboursements, et même eux ne savent pas...),  réception quelquefois très moyenne, plateforme inefficace...
et la très désagréable impression depuis quelques temps qu'on essaie DE ME VENDRE QUELQUE CHOSE....   
Tout ceci avec un magazine  et des brochures à gogo.Le magazine est d'ailleurs à mourir de rire, tellement ils ont les chevilles enflées !!! 
Et pour finir, si il y a beaucoup de femmes dans les agences, je n'en voit jamais sur les  'événements' (avec cocktail, je n'en doute pas) publiés dans les magazines, où apparaissent les dirigeants.</t>
  </si>
  <si>
    <t>nathalie123-106983</t>
  </si>
  <si>
    <t xml:space="preserve">Si vous n'êtes pas pressé pour vos remboursements allez y. 
Cala fait 4 mois que j'attend des remboursements d'hospitalisation ainsi que la prime naissance. Je les appelle 2 fois par semaine mais rien n'y fait malgré les nombreuses réclamations que j'ai faite. Ils remboursent uniquement les petites sommes .
Niveau cotisation ils ne sont jamais en retard, niveau remboursement c'est autre chose..
A fuir !!! </t>
  </si>
  <si>
    <t>pol-106943</t>
  </si>
  <si>
    <t>Très bonne mutuelle depuis 35ans , rien a reprocher....efficacité, réactivité et interlocuteurs toujours joignables. Aucun probleme avec transmission des documents par internet.</t>
  </si>
  <si>
    <t>ju-104954</t>
  </si>
  <si>
    <t xml:space="preserve">Cette mutuelle qui m’est imposée par mon employeur est juste scandaleuse, aucun service client, impossible de créer son espace client sur leur plateforme, changement de coordonnés bancaire mis pas prise en compte, remboursements fait sur des comptes clôturés, pas de réponse aux mails etc... On est baladé de service en service bref c’est une honte! </t>
  </si>
  <si>
    <t>lolo-104565</t>
  </si>
  <si>
    <t>Nul. Documents perdus, médecin traitant pas pris en compte pendant des mois malgré plusieurs courriers en rac...
Remboursements médiocres, cotisations onéreuses et un service qui laisse particulièrement à désirer.
Tout l'opposé de la maif, qui elle, est chère mais très efficace</t>
  </si>
  <si>
    <t>22/02/2021</t>
  </si>
  <si>
    <t>pata-104194</t>
  </si>
  <si>
    <t>Je ne peux pas mettre moins qu'une étoile. Je me suis fait opérer pour un cancer en novembre 2020, j'ai eu la facture le 21 décembre 2020 et transmise aussitôt à la MGEN. Toujours aucun remboursement deux mois plus tard. Ils ne sont pas capable de donner une échéance. En attendant, avec les dépassements d'honoraires (qu'ils s'étaient engagés à payer) j'ai dû débourser de ma poche 1600 €. Quand la carte en vitale entre en jeu, ça va mais dès qu'il faut envoyer une facture pour les compléments d'honoraires, les médecines douces ou autre, plus rien ne va ! Aucune information, aucune suite n'est donnée aux réclamations. Il semblerait que nos mails ne soient même pas lus car je n'ai eu aucune réponse à mes relances depuis la mise en place du nouvel espace personnel. Je pense contacter un avocat. 
A FUIR !</t>
  </si>
  <si>
    <t>gi-104178</t>
  </si>
  <si>
    <t xml:space="preserve">La MGEN coûte très cher, par mois c'est le budget d'une des assurances la plus cher, pour l'année 2020 j'ai eu 2 arrêt de travail due à des soucis de santé, nous sommes en février de 2021 et aucun remboursement ne m'as pas été versé.
Je reçois seulement des courriers avec un dossier à remplir, ce dossier est déjà remplie et envoyé, à chaque fois la MGEN écrit avec une adresse différente sur ces courriers. C'est juste inadmissible !!! </t>
  </si>
  <si>
    <t>nono29--104030</t>
  </si>
  <si>
    <t xml:space="preserve">Toujours des soucis. Des régularisations, des indemnités non versées, des dossiers égarés, des soucis constamment alors que je suis en dépression et que ça n’est déjà pas facile. Maintenant un remboursement énorme à leur faire par rapport à une re qualification. Bref à fuir je déconseille. Des délais incroyables </t>
  </si>
  <si>
    <t>11/02/2021</t>
  </si>
  <si>
    <t>pat75-103931</t>
  </si>
  <si>
    <t>Des remboursements qui ne sont pas en rapport avec nos cotisations..même leurs employés arrivent à être mal à l'aise quand on leur signale.  D'ailleurs, ces derniers ont un salaire de misère, il suffit de voir les postes d'employés ou anciens employés (donc où passent nos cotisations ?).
Collègues enseignants n'hésitez pas à comparer, les valeurs de la MGEN ne sont plus ce qu'elles étaient (d'ailleurs un organisme qui me contacte tous les mois pour me vendre un nouveau produit, pour moi, ce n'est pas une mutuelle).</t>
  </si>
  <si>
    <t>barillermarc-103921</t>
  </si>
  <si>
    <t>La MGEN fait preuve d'incompétence au + haut point, des explications saugrenues et qui + est contradictoires données par des interlocutrices, toujours différentes à chaque fois, et ne maitrisant absolument pas leur sujet, allant parfois jusqu'à contredire et même incriminer leur propre collègue, contactée auparavant. Pfff... ! Lamentable !
Que dire des promesses non tenues, comme ces dates de virement qui s'avèrent complétement erronées, voir fallacieuses , qui vous laissent espérer en vain, toucher une prestation et boucler un dossier pourtant simple à régler... pour peu que le personnel de la MGEN veuille réellement s'en donner la peine !</t>
  </si>
  <si>
    <t>anne-103268</t>
  </si>
  <si>
    <t xml:space="preserve">Adhérente depuis plus de 25 ans, je suis TRES déçue de cette mutuelle. Je cherche d’ailleurs une autre mutuelle. L’ultime indignation est le calcul des allocations journalières suite à un arrêt de travail supérieur à 90 jours pour mon mari. Le calcul est opaque et NE CORRESPOND PAS A LA PUBLICITÉ VUE A LA TÉLÉVISION OU SUR PAPIER: 27% du salaire!!!! C’est faux! Impossible d’aVoir un écrit clair de ce calcul. La MGEN a perdu son âme mutualiste. Je la déconseille vivement et pourtant je crois dans l’esprit du mutualisme!!! </t>
  </si>
  <si>
    <t>26/01/2021</t>
  </si>
  <si>
    <t>u-102939</t>
  </si>
  <si>
    <t>Incompétent et injoignable, impossible de me servir de la mutuelle afin de refaire une paire de lunette à cause d'un possible problème informatique, qu'en serait il en cas d'urgence !!!?????</t>
  </si>
  <si>
    <t>nj23-102787</t>
  </si>
  <si>
    <t>Bonjour, adhérente MGEN depuis 43 ans, j'ai une prescription de semelles orthopédiques. Je suis retraitée formule "référence". Sur leur site, sous cette rubrique, je lis que mes semelles (120€) seront remboursées à 60% par la Sécurité sociale et à 40% par la MGEN. Je suppose donc qu'elles ne vont - heureusement! - rien me coûter. Par prudence, avant de commander ces semelles au cabinet de podologie, j'envoie le devis à la MGEN (totalement injoignable par téléphone au 3676 le numéro national; j'ai essayé près de 20 fois, à toute heure, pendant 2 jours) par mail. Je reçois la réponse le lendemain: au moyen de savants calculs, la MGEN me répond: "prise en charge SS + MGEN 230%, soit 33,19€/semelle", donc un peu plus de 66€ au total!On est loin des 100% !!
Donc pas de semelles pour moi! (petite retraite incomplète)
Je n'ai pas pu non plus faire changer mes verres de lunettes l'an dernier, bien que ma vue ait changé! J'aurais eu plus de 150€ de reste à charge.
Ni avoir une chambre individuelle (20€) remboursée pour une hospitalisation en ambulatoire il y a 4 ans!
Alors que tout le contraire est promis sur leurs publicités et leurs parutions!
Merci, la MGEN...!</t>
  </si>
  <si>
    <t>18/01/2021</t>
  </si>
  <si>
    <t>stella--100241</t>
  </si>
  <si>
    <t xml:space="preserve">déplorable !  A fuir! d'une incompétence absolue et sans aucun respect ni empathie pour ses assurés . 
En arrêt maladie depuis plus de trois mois , ils ont trouvé le moyen de virer mes allocations journalières sur un vieux  compte joint clos depuis ....6 ans !!!!! trop fort !!!!
Qu'a cela ne tienne je tente desespérement de régler le problème durant près de trois semaines en appelant tous les deux jours sur leur  plateforme avec tout le temps un autre interlocuteur à qui il faut tout réexpliquer .....pour rien alors que je suis malade et peu en état ....Mais ça ils s'en balancent royalement !!!
Finalement cela a mis plus de trois semaines pour qu'ils reversent le montant sur le bon compte , mon compte perso ( celui sur lequel ils me remboursent tous me actes .....on voit bien là la super communication entre les services !!! car pour aller chercher un compte clos depuis 6 ans alors qu'ils ont mes coordonnées bancaires depuis toujours ... faut le faire tout de même ) . Oufffff je me dis voila une grosse épine du pied enlevé et maintenant c'est bon, je vais pouvoir souffler ....
Et bien NON .... figurez vous car une semaine plus tard , au moment du deuxième versement , je vous le donne en mille ......mais vous n'allez pas y croire ....Ils versent à nouveau sur cet ancien compte .......Et on en revient au même point ...appel sur leur plateforme et .....plus qu'à attendre qu'ils daignent de nouveau modifier le versement sur mon compte .... En attendant , mes prélèvements tombent et je suis dans la MMM....en plus d'être malade !!!!
Puisque ça va surement mettre encore plus de trois semaines avant qu'ils daignent me reverser l'argent sur mon compte . Et attendez ....jamais  deux sans trois ...je pense que je vais y avoir droit le mois prochain et les suivants .....
Alors je dis merci la Mgen et surtout fuyez .....des incompétents pareils j'ai rarement vu .... Faudrait vraiment les dénoncer car au lieu d'aider les gens quand ils sont malades comme est censé le faire une mutuelle digne de ce nom , ils les enfoncent encore plus ...je dis BRAVO !Et aucun moyen de joindre  les services concernés c 'est abhérrant </t>
  </si>
  <si>
    <t>05/01/2021</t>
  </si>
  <si>
    <t>fb--102051</t>
  </si>
  <si>
    <t xml:space="preserve">Difficile à joindre , long à répondre et remboursement minimum même en prenant les options les plus chères .
Nous sommes dans une relation bureaucratique et pas considéré comme un client </t>
  </si>
  <si>
    <t>31/12/2020</t>
  </si>
  <si>
    <t>tib1980-101826</t>
  </si>
  <si>
    <t>A chaque fois on me sort quelque chose du chapeau. Envoi de courrier sous 10 jours pour une pièce qui manquerait mais en fait non, j’appelle le service client... déplorable, on tombe soit sur des hystériques soit sur des incompétents mal lunés... au secours comme si je n’avais que cela à faire... pour des cotisations très très élevés...</t>
  </si>
  <si>
    <t>24/12/2020</t>
  </si>
  <si>
    <t>natou68-101447</t>
  </si>
  <si>
    <t>Il s'agit de la prévoyance MGEN.
21 décembre et toujours en attente du complément de salaire du mois de novembre.
Ok il y a des problèmes liés au virus, au télétravail, à des absences pour maladie dans leur organisme, mais quand on relance au moins 10 fois et que l'on vit seule, on se retrouve dans une situation catastrophique.
Merci à la MGEN qui me permettra de  passer des fêtes inoubliables</t>
  </si>
  <si>
    <t>21/12/2020</t>
  </si>
  <si>
    <t>gary-101288</t>
  </si>
  <si>
    <t>Affligeant! impossible d'avoir le service de remboursement ITT. Uniquement des plateformes téléphoniques qui procèdent à des relances dans les différents services. Il n'y a jamais de suite données...On reçoit un message automatique qui stipule qu'on aura une réponse dans les 12 jours...et on ne reçoit strictement rien 12 jours après! c'est affligeant et même parfois humiliant d'être obligé de rappeler sans cesse et de n'obtenir aucune réponse! Quelle tristesse. Je suis à la direction d'un collège, j'ai toujours, par habitude, conseillé aux nouveaux enseignants de prendre la MGEN...je vais maintenant les en dissuader. J'ai transmis mon dossier à un avocat afin qu'il soit l'intermédiaire avec la MGEN. Je ne suis pas procédurier, c'est la première fois. Je suis vraiment désabusé. 10 mois que cela dure. Bon courage à tous.</t>
  </si>
  <si>
    <t>ludace-100907</t>
  </si>
  <si>
    <t>Ce n'est sans doute pas la mutuelle la moins chère mais comme le montant de la cotisation varie en fonction de vos revenus; cela reste équitable. En outre, il convient de reconnaître qu'il n'y a pas profusion de contrats où l'on se perd dans les pourcentages de remboursement selon la catégorie choisie. C'est bien plus clair comparé aux multiples autres mutuelles. 
Pour ma part, tout est plutôt correct: aucun problème depuis que je suis à la MGEN, tout est remboursé en temps et en heure, les prises de rendez-vous rapides avec certes délais d'attente pour certaines spécialités au centre de santé MGEN (dermato, rhumato et ophtalmo). Personnel compétent et plutôt aimable. Tatillon sur les factures: ne pas oublier de vérifier si l'indication "réglée" est mentionnée. Tatillon aussi au Centre de Santé Pasteur Paris 15: prévenir si retard ou absence sinon on vous pointe en "rouge"! 
Je m'étonne donc de tous ces commentaires très négatifs dans l'ensemble. Je m'aperçois que pour la majorité des autres mutuelles ou assurances privées les commentaires ne sont pas non plus très positifs. A noter que la MGEN est intrinsèquement liée aux décisions de la sécurité sociale. Si la sécu refuse la prise en charge il en sera de même pour la mutuelle. Et si vous connaissez une mutuelle moins chère, vraiment moins chère et aussi v plus couvrante, donnez-moi le lien!</t>
  </si>
  <si>
    <t>03/12/2020</t>
  </si>
  <si>
    <t>jeanic-99930</t>
  </si>
  <si>
    <t xml:space="preserve">bonne mutuelle ,disponible rapidement ,a l écoute ,reactif ,remboursement assez rapide je conseil fortement, les remboursements sont a la hauteur de mes attente </t>
  </si>
  <si>
    <t>masqueslip-98841</t>
  </si>
  <si>
    <t xml:space="preserve">Je paie plus de 100 euros par mois, le remboursement est plus que moyen : 416 euros sur un appareil dentaire de 1900 euros.... fonctionnaire enseignante, pas le choix de ma mutuelle.... catastrophe... voilà comment le gouvernement voit ses professeurs !! s'il pouvait négocier une mutuelle avantageuse comme dans le privé.... je prends!! 
</t>
  </si>
  <si>
    <t>16/10/2020</t>
  </si>
  <si>
    <t>michel95120-98695</t>
  </si>
  <si>
    <t>de moins en moins proche des adhérents, beaucoup d'investissement dans la publicité mais des remboursements à ras la sécu, c'est lamentable.
Service de médiation inexistant géré par un groupe "indépendant " mais la MGEN laisse passer le temps et ne réponds pas.
Sur un même dossier de remboursements après plusieurs contestations  et une médiation j'ai obtenus  3 réponses différentes mais aucun réexamen du dossier !</t>
  </si>
  <si>
    <t>13/10/2020</t>
  </si>
  <si>
    <t>coco22560-72285</t>
  </si>
  <si>
    <t>Certaines prestations MGEN, incluses dans mon offre sont maintenant gérées par un partenaire : assurance RMA... on a beaucoup entendu parler de l'administration française tentaculaire et inefficace depuis quelques mois. Les mutuelles françaises sont bien plus fortes en terme de tentacules : on se regroupe, on crée des satellites, on s'enrichit sur le dos des "sociétaires" vaches à lait. Ce partenaire RMA dont les prestations sont connues puisque disponibles sur internet, se permet par exemple d'affirmer que le pack hospitalisation/immobilisation, permettant de bénéficier d'aide à domicile après une hospitalisation, et que je demandais à mon retour d'hôpital, n'était pas de 10H comme indiqué dans leur documentation, mais  de 6H. A force d'insister, on m'a précisé que, comme je vivais en couple, mon conjoint pouvait m'aider (sic) et que donc le pack passait de 10h d'aide à domicile à 6h !!!! En précisant mon degré de handicap, ainsi que celui de mon mari, et sans aucun certificat médical, ce pack est revenu comme par magie à 10h. Que la MGEN se moque ainsi de ses sociétaires est indigne d'une mutuelle, tout en se défaussant puisque le décideur n'est plus la MGEN mais son satellite RMA...</t>
  </si>
  <si>
    <t>picsy-96425</t>
  </si>
  <si>
    <t xml:space="preserve">A la MGEN depuis plusieurs décennies,je suis de plus en plus inquiète pour l'avenir:tarifs élevés,remboursements très moyens et que dire des conseillers téléphoniques!!! incompétence totale, manque d'amabilité,réponses toutes faites.... aucune réponse aux courriers envoyés à ma section !!!un site internet où il est très difficile de poser une question!!Pourtant que de mails reçus pour vendre de la presse,des places de cinéma  et j'en passe....
A la lecture des nombreux commentaires négatifs, il est étonnant que les administrateurs ne réagissent pas,je pensai être un cas isolé.
</t>
  </si>
  <si>
    <t>18/08/2020</t>
  </si>
  <si>
    <t>theolait-96100</t>
  </si>
  <si>
    <t xml:space="preserve">Couple de 69 ans (mon épouse fonctionnaire retraité et assurée principale) et 75 ans (moi en tant membre affilié), nous payons 2.118 € par an soit 176,75 € par mois pour la formule MGEN Référence. Mon épouse est sociétaire depuis quatre décennies. Depuis 3 ans, les cotisations augmentent de 5 % par an. Les tarifs sont prohibitifs, alors que les garanties de remboursement sont (très) médiocres. 
Dernier exemple, il y a quelques semaines : mon épouse, assurée principale, a soumis à la MGEN un devis pour des prothèses dentaires d'un montant de 5.000 €…et la MGEN ne rembourse que 22 % de la dépense, soit 1.100 € (et la Sécu 150 €). Dans ces conditions, on se demande quel est l'intérêt d'une complémentaire santé ?
Je n'évoque pas le service au client (pardon au sociétaire), chacun sait que la qualité de la relation est légendaire (ironie) à la MGEN
Contrairement à ce qu'il peut être dis ça et là, la partie complémentaire de la MGEN n'est pas obligatoire pour les fonctionnaires du ministère de l'éducation nationale (à distinguer de la sécurité sociale obligatoire gérée par la MGEN).
Si vous êtes fonctionnaire avec des revenus supérieurs à la moyenne (typiquement un catégorie A ou un prof agrégé ou un certifié de fin de carrière), il est préférable d'aller voir ailleurs car les cotisations sont fonction de votre revenu (à couverture équivalente). Si vous avez de l'épargne, vous pouvez même vous dispenser de payer une complémentaire santé qui de toute façon ne remboursera jamais les grosses dépenses (les prothèses dentaires à 5 ou 10 k€ par exemple).
La MGEN est peut être intéressante pour les jeunes fonctionnaires de moins de 40 ans avec enfants. Dès que vous arrivez à la retraite, fuyez la MGEN, et pour cause, les retraités payent pour les jeunes.
On peut rappeler que l'article 1964 du code civil dispose que l'assurance est « contrat aléatoire (…) dont les effets, quant aux avantages et aux pertes, soit pour toutes les parties, soit pour l'une ou plusieurs d'entre elles, dépendent d'un événement incertain. »
Quand on y regarde de plus près, seul le gros risque de santé (par ex, cancer, affections longue durée, accidents nécessitant une hospitalisation) sont des évènements véritablement incertains. 
Ce *gros* risque est assuré par la Sécurité sociale.
La complémentaire santé n'assure que la *petite* dépense de santé récurrente et prévisible (soins de ville courants, consultations chez le MG ou un spécialiste de secteur 1, lunettes etc.)
Le petit risque de santé n'est pas à proprement parler un évènement incertain qui justifierait de souscrire une assurance.
Il est utile de rappeler que la Sécurité sociale finance 78,1 % des dépenses de santé en France, les organismes complémentaires 13,4 % et la part restant à la charge des ménages s'établit à 7 % (source Ministère de la santé en 2018).
La Sécurité sociale n'est pas une duperie (elle n'est pas parfaite mais elle assure le risque le plus important cité plus haut, cancer, ALD etc.), en revanche la complémentaire santé dont la MGEN est une duperie légale. Les complémentaires-santé jouent sur la peur de tomber malade.
Par définition, un organisme complémentaire santé ne déboursera jamais plus que ce que l'assuré aura cotisé.
L'auto-assurance (s'assurer soi-même) se justifie si vous êtes une fourmi et que vous pouvez épargner sans difficulté (même 50 € par mois) ; si vous êtes un panier percé, prenez une complémentaire santé (tout en sachant que c'est une duperie légale) en évitant la MGEN.
</t>
  </si>
  <si>
    <t>09/08/2020</t>
  </si>
  <si>
    <t>sax-95945</t>
  </si>
  <si>
    <t>malgré la fusion avec la MGET,je pensais avoir une baisse significative de cotisation.
Les remboursements sont moins pris en charge sur certaines prestations comme l'optique.
Je suis assuré MGEN intégrale.</t>
  </si>
  <si>
    <t>05/08/2020</t>
  </si>
  <si>
    <t>jo-95868</t>
  </si>
  <si>
    <t>Mutuelle a fuire. Manque d’organisation, peu de sérieux, que des problèmes depuis que je me suis inscrit c’est-à-dire 7 mois. Je ne recommande pas du tout !</t>
  </si>
  <si>
    <t>03/08/2020</t>
  </si>
  <si>
    <t>herve-92275</t>
  </si>
  <si>
    <t>Lors de la mort de ma femme, impossible de contacter la MGEN du Var. Fermeture de son espace internet, refus de mes courriers recommandés, personne au téléphone ni par mail, obligation de passer par les réseaux sociaux pour prétendre avoir une réponse.</t>
  </si>
  <si>
    <t>lapiresecu473-92067</t>
  </si>
  <si>
    <t>Des incapables</t>
  </si>
  <si>
    <t>24/06/2020</t>
  </si>
  <si>
    <t>1lona-91759</t>
  </si>
  <si>
    <t>Fuyez cette Mutuelle qui est très chère peu couvrante . Personnels peu compétent et peu accueillant 
Délai de remboursement extrêmement long ( idem pour un devis dentaire qui m'est parvenu au bout de 2 mois...)
Direction impossible à joindre pour manifester son mécontentent 
Mutuelle pas moderne et trop accès sur son passé. Elle a pas encore compris que les gens se renseigne avant de souscrire une mutuelle . A les écouter y a pas mieux que la mgen ...</t>
  </si>
  <si>
    <t>21/06/2020</t>
  </si>
  <si>
    <t>ieio-91708</t>
  </si>
  <si>
    <t>J'y suis depuis un peu plus d'un an et je commence à regretter d'avoir adhéré.</t>
  </si>
  <si>
    <t>morgane1-91704</t>
  </si>
  <si>
    <t xml:space="preserve">Je suis resté 1 an à la mgen mais ce fu un an de souffrance et de galère . Je pensais qu en 2020 les remboursements de santé étaient simple et rapide ( étant chez eux en sécu et mutuelle) 
Mais la mgen arrive à me demander des décomptes de sécu ( de chez eux ) pour me rembourser la mutuelle ( de chez eux ) ..... 
Ils perdent systématiquement les papiers ( factures osteo envoyés 3 fois ) . 
Un site internet qui date du «  moyen âge » . Il faut être sacrément tordu pour faire une demande de renouvellement de carte vitale par internet qu'on doit imprimer et amener en mains propres à la mgen ( quand ils sont ouvert ) ......
Je pense que les webmasters sont resté aux Minitels . </t>
  </si>
  <si>
    <t>36557898514786525bhyredcb-91419</t>
  </si>
  <si>
    <t>juin 2020 La mgen de clermont-ferrand est fermé jusqu'au 29 juin!!! elle rouvrira le 30 juin pour fermé à nouveau le 13 juillet !!! sans blague! le 3676 est constamment occupé, personne ne réponds! personne ne s'occupe du courrier! scandaleux!!!</t>
  </si>
  <si>
    <t>al135-90309</t>
  </si>
  <si>
    <t xml:space="preserve">fuyez  cette mutuelle  garantie mantien  salaire c est du pipeau  tres chère   trop chère  ...injoignable </t>
  </si>
  <si>
    <t>08/06/2020</t>
  </si>
  <si>
    <t>biguet-89931</t>
  </si>
  <si>
    <t xml:space="preserve">MGEN, mutuelle hélas obligatoire pour les employés de l'éducation nationale...! se permet de rembourser la moitié seulement de l'offre prévue au devis (approuvé par eux, bien sûr !)...
inimaginable !
Je m'explique: mes soins dentaires, 2 appareils mobiles, ont débutés en décembre 2019 seulement, après avoir été contraint de patienter à cause de délai important.
Le devis a été approuvé par eux en novembre 2019.
Le temps de travail de préparation, mise au point, et réalisation, étant importants, se sont terminés en janvier 2020.
Prétexte de remboursement -50%... : les tarifs 2020 ont changés (diminués !)
Ayant une retraite faible, quelle entraide peut m'apporter cette mutuelle ??
Ces soins ont été à cheval sur les 2 années, par coïncidence et importance du travail, la date du devis qui m'a permis de me décider devrait seule être prise en compte...!!! C'est logique ! A quoi sert-il alors !
Je suis persuadée que de nombreux cas doivent être similaires au mien.
Apparement, la doctrine de la MGEN est « L'INDIFFERENCE »...
Ne comptez pas sur la MGEN pour vous aider ?...
A méditer...
</t>
  </si>
  <si>
    <t>27/05/2020</t>
  </si>
  <si>
    <t>chri-cri1-89856</t>
  </si>
  <si>
    <t xml:space="preserve">Très mauvaise mutuelle qui est chère,avec des garanties bas de gamme. Au niveau des conseillers ( aussi bien au téléphone qu'en agence) ils sont incompétents. J'ai été 10 ans chez eux et depuis 2016 et une hausse de tarifs je suis parti . Beaucoup pense à tort qu'il ne trouveront pas mieux ailleurs . Alors que c'est trouver pire que la mgen qui est compliqué ..... ( la mgen est classée 113 ieme mutuelle sur 120) faire pire relève de l'exploit </t>
  </si>
  <si>
    <t>22/05/2020</t>
  </si>
  <si>
    <t>anthony-67-89540</t>
  </si>
  <si>
    <t xml:space="preserve">En tant qu'AED j'ai souscrit à la mgen et ça a été la pire décision que j'ai prise. Auparavant chez groupama avec des remboursements en dépassements de honoraires Car je suis suivi pour des problèmes de santé et en médicaments, je ne suis plus remboursé par la mgen pour les dépassements d'honoraires et les vignettes à 15%.
Le conseiller m'a certifié que je serai mieux remboursé ( car mutuelle beaucoup plus chère que groupama) et que j'aurais aucun reste à charge.
On m'a délibérément menti pour faire un contrat ( et encore j'ai refusé une assurance en cas de décès que la mgen voulait absolument me vendre) 
Je quitte cette mutuelle le plus vite possible car beaucoup de mensonges, de belles paroles et de beau discours mais la réalité est toute autres </t>
  </si>
  <si>
    <t>11/05/2020</t>
  </si>
  <si>
    <t>sabine1984-88661</t>
  </si>
  <si>
    <t xml:space="preserve">Trop cher pour des garanties santé très moyenne . De la prévoyance mais impossible de les mettre en place . Il ne faut pas etre en arrêt de travail pour le complément de salaire car c'est quasi impossible à obtenir </t>
  </si>
  <si>
    <t>02/04/2020</t>
  </si>
  <si>
    <t>mariemarthe53-88141</t>
  </si>
  <si>
    <t>bonjour
Suis à la retraite de l Eduction Nationale depuis peu. J ai encore un enfant à charge. Je souhaite quitter la MGEN. Qui peux me conseiller une autre mutuelle. La MAGE conseillée sur ce site n'accepte pas les retraités.
Merci d'avance;</t>
  </si>
  <si>
    <t>mel-87314</t>
  </si>
  <si>
    <t>très mauvaise mutuelle : dégradation continue des remboursements ; aucun suivi de l'évolution des frais des prestations de santé ; budget MGEN dépensé en frais de communication énorme. Mutuelle à fuire</t>
  </si>
  <si>
    <t>18/02/2020</t>
  </si>
  <si>
    <t>eric74-85712</t>
  </si>
  <si>
    <t>La mgen n'a cessé d'augmenter ses tarifs pour des prestations de pietre qualité. J'etais censé recevoir un echeantier chaque année or il n'est pas envoyé. Il faut insiter pur l'obtenir. Le service telephonique ne gere pas correctement les dossiers. J'ai enfin changé pour une autre mutuelle qui offre des prestations de bien meilleurs qualité et moins chère. Il est dommage que l'on soit obligé de rester affilier à  la securite sociale chez eux</t>
  </si>
  <si>
    <t>mormor-81385</t>
  </si>
  <si>
    <t>Je viens de prendre ma retraite et j'envisage sérieusement de changer de mutuelle, alors que je suis à la MGEN depuis 1976.
Des cotisations prohibitives, je devrais cotiser 220 euros par mois, pour des remboursement peu compétitifs.
Je cherche en ce moment et je n'ai aucun mal à trouver à la moitié du prix pour des prestations meilleures.
Sans oublier les publicités diverses dans les médias financées par nos cotisations ...
J'attends des arguments éventuels pour me faire changer d'avis ainsi que des mutuelles autres qui donnent satisfaction (je regarde en ce moment du côté de Mutualia).</t>
  </si>
  <si>
    <t>27/11/2019</t>
  </si>
  <si>
    <t>leslie-80470</t>
  </si>
  <si>
    <t>Nul, remboursements bas pour prix maxi. Mon mari dans le privé paye moins cher et est mieux remboursé.</t>
  </si>
  <si>
    <t>28/10/2019</t>
  </si>
  <si>
    <t>01/10/2019</t>
  </si>
  <si>
    <t>arlomigui-80468</t>
  </si>
  <si>
    <t>Depuis longtemps à la MGEN, dégradation des valeurs et incompétence des interlocuteurs, je parle pour la nouvelle section dont je dépend, celle des Yvelines.</t>
  </si>
  <si>
    <t>bdurice-79990</t>
  </si>
  <si>
    <t>La catastrophe ; pire c'est pas possible , en plus  c'est très cher et les remboursements sont qui nulles ! à fuir absolument ! je déconseille fortement !
Ils ne savent même pas de qui ils parlent et ils vous roulent dans la farine ! au final les informations qu'ils vous donnent sont fausses !</t>
  </si>
  <si>
    <t>13/10/2019</t>
  </si>
  <si>
    <t>sandrine-77069</t>
  </si>
  <si>
    <t>La pire mutuelle au monde ! 2 mois pour faire des devis. C'est inadmissible ! Le service client mériterait une bonne formation a la politesse. C'est du jamais vu !</t>
  </si>
  <si>
    <t>24/06/2019</t>
  </si>
  <si>
    <t>nancym-75869</t>
  </si>
  <si>
    <t>Mutuelle qui fait perdre du temps pour les devis dentaires, il faut attendre 3 semaines pour une réponse et pas la bonne en plus.</t>
  </si>
  <si>
    <t>13/05/2019</t>
  </si>
  <si>
    <t>sylvie-75817</t>
  </si>
  <si>
    <t>Prévoyance, nulle pour ce qui concerne le délai de paiement. Payée le 10 avril pour la période du 18 février au 31 mars et à ce jour pas de réponse pour la période du mois d'avril</t>
  </si>
  <si>
    <t>11/05/2019</t>
  </si>
  <si>
    <t>tacite-71521</t>
  </si>
  <si>
    <t xml:space="preserve">Des menteurs ! Il est grand temps de lancer une pétition en ligne pour dénoncer cette mutuelle humiliante trompeuse ! </t>
  </si>
  <si>
    <t>21/02/2019</t>
  </si>
  <si>
    <t>kakaloo-71190</t>
  </si>
  <si>
    <t>Cette mutuelle est une honte pour les enseignants qui se font tondre comme des veaux. Après plus de 30 min au téléphone on peut vous raccrocher au nez</t>
  </si>
  <si>
    <t>11/02/2019</t>
  </si>
  <si>
    <t>misstulipe-70679</t>
  </si>
  <si>
    <t xml:space="preserve">Mutuelle assez couteuse 10 euros pas mois  qualite du service excecrable Perte des dossiers mauvaise gestion des dossiers  plusieurs interlocuteurs donc suivi mauvais  </t>
  </si>
  <si>
    <t>cbh-70621</t>
  </si>
  <si>
    <t>Je viens de me faire opérer et le chirugien et anesthésiste ont pris 1 dépassement de 3900 euros)
REMBOURSEMENT ZERO euro!
C'est scandaleux et inadmissible.
A EVITER.</t>
  </si>
  <si>
    <t>26/01/2019</t>
  </si>
  <si>
    <t>so-69544</t>
  </si>
  <si>
    <t>Des incompétents notoires!ça fait plus de deux ans que je me bats pour que mes filles apparaissent sur ma partie mutuelle (elles n'y apparaissent pas à cause d'une erreur de leur part au départ) et j'appelle tous les mois mais rien est fait. Je me suis déplacée et on m'a assuré qu'on allait s'en charger. ça fait un mois que j'attends. Je paye 300 euros par mois pour 4 personnes et personne n'est capable de régler un pauvre problème alors qu'en serait-il s'il y avait un vrai problème? Surtout ne pas adhérer à cette mutuelle !</t>
  </si>
  <si>
    <t>19/12/2018</t>
  </si>
  <si>
    <t>dumdum58-68920</t>
  </si>
  <si>
    <t xml:space="preserve">La MGEN un scandale même dans les maisons de retraite .Argent nerf de la guerre pour la MGEN plus de réunion chronique  que la efficacité sur le terrain depuis 39 ans </t>
  </si>
  <si>
    <t>26/11/2018</t>
  </si>
  <si>
    <t>pigeon-67202</t>
  </si>
  <si>
    <t>système informatique défaillant, la MGEN rembourse les professionnels de santé au lieu de rembourser le patient qui a fait l'avance des frais, ensuite la MGEN refuse de reconnaître son erreur , spécialiste des problèmes informatiques de télétransmission, une mauvaise foi notoire, tout pour déplaire, incapables de résoudre les problèmes des assurés même quand on apporte des preuves, à force de récupérer des assurés de tous les côtés, la MGEN est dépassée, les systèmes informatiques se télescopent, en fait c'est la MGEN qui nous rend malade ... à force d'incompétence</t>
  </si>
  <si>
    <t>30/09/2018</t>
  </si>
  <si>
    <t>vincent69-66408</t>
  </si>
  <si>
    <t>Ancien fonctionnaire d'état avant décentralisation, nous avons été transféré sans avis de la MGET à la MGEN. Rien ne changera Résultat remboursement pitoyable, protocole de soins pour orthodontie pour mon fils cassé, 700 euros de remboursement non pris en charge.
Et maintenant, non reconduction de reconnaissance en ALD reconnue depuis 2010.
Sans compté une cotisation de 140 euros par mois, à ce prix, on s'attend à des remboursements et services de qualités !
Même l’ostéopathie n'est plus remboursé.
Mutuelle honteuse et irrespectueuse
C'est décidé, je ne reste pas dans cette pseudo mutuelle.</t>
  </si>
  <si>
    <t>26/08/2018</t>
  </si>
  <si>
    <t>01/08/2018</t>
  </si>
  <si>
    <t>helenat-65822</t>
  </si>
  <si>
    <t xml:space="preserve">Sont capables de perdre en l'espace de 4 mois, de perdre des fiches de paies, des contrats et une déclaration de grossesse....
Pour finir par se tromper sur les dates de congés maternité et donc de faire perdre de l'argent en rétorquant que la reçu n'a jamais tort...
</t>
  </si>
  <si>
    <t>27/07/2018</t>
  </si>
  <si>
    <t>01/07/2018</t>
  </si>
  <si>
    <t>arthur71-65577</t>
  </si>
  <si>
    <t xml:space="preserve">Une honte, même gravement malade il faut se battre avec la MGEN pour faire valoir nos droits, ils trouvent toujours une excuse pour ne pas rembourser et leurs delais sont extremement longs !!! Ne prennez surtout pas leurs assurances deces car ils chercherons à ne pas vous la payer </t>
  </si>
  <si>
    <t>18/07/2018</t>
  </si>
  <si>
    <t>j-jakabriol65-64768</t>
  </si>
  <si>
    <t>J'ai récemment démissionné de cette mutuelle au bout de 40 années de cotisation soit environ 60 000 euros de dépenses actualisées.Il me semble que la cotisation assise sur le revenu de l'adhérent est une intention communiste généreuse mais dévoyée car dans mon cas depuis 9 ans 10000 euros annuels ne m'étaient pas versés et par décision de justice attribués à ma compagne en pension alimentaire. Elle payait de son côté sa propre mutuelle. J'ai demandé au moment du changement de mon statut qu'il soit tenu compte de ce coût et de cette réalité. La mutuelle a refusé donc je suis parti. Elle me poursuit aujourd'hui pour non respect du délai de démission et me réclame 280 euros. Il faut vous dire qu'en 40 ans de cotisation je n'ai jamais reçu le moindre document qui m'informât de cette obligation alors que la Maif m'envoie chaque année l'info . Alors cette mesquine tentative de gratter encore un peu me dégoûte complètement.</t>
  </si>
  <si>
    <t>13/06/2018</t>
  </si>
  <si>
    <t>testerine-60484</t>
  </si>
  <si>
    <t>C'est déjà difficile de gérer une personne en dépendance totale qu'on est obligé de placer en EHPAD mais quand la mutuelle y met de la mauvaise volonté et n'en a rien à faire c'est encore plus compliqué!</t>
  </si>
  <si>
    <t>06/06/2018</t>
  </si>
  <si>
    <t>sandrine-b84-64277</t>
  </si>
  <si>
    <t xml:space="preserve">Ne pas souscrire à cette complémentaire santé ! Une honte ! Aucun dédommagement sur les 600€ dus ! Tout ça pour un cancer de la thyroïde !!! En plus de la maladie, il faut aujourd’hui faire face au problème du versement de maintien de salaire! Depuis janvier le seul service joignable explique seulement « nous allons faire une réclamation », rien ne se passe. Scandaleux. Sans compter la qualité d’échange, bien plus que médiocre. Ne surtout pas souscrire chez cette mutuelle. Service d’incompétents. Recours en justice </t>
  </si>
  <si>
    <t>29/05/2018</t>
  </si>
  <si>
    <t>mamoucha-63878</t>
  </si>
  <si>
    <t xml:space="preserve">Très bonne mutuelle, contrairement aux autres avis.
En cas d'hospitalisation aucune avance de frais ni de démarches et niveau prévoyance de nombreuses prestations. L'orthodontie bien remboursée (450e!) pour avoir fait des recherches c'est très intéressant 
</t>
  </si>
  <si>
    <t>09/05/2018</t>
  </si>
  <si>
    <t>philtj-63845</t>
  </si>
  <si>
    <t>une mutuelle qui traite ses remboursements avec 1 mois de retard, c'est vraiment lamentable! j'ai appelé ce matin pour savoir ou en était mon remboursement de prothèse du 17 avril, aujourd'hui 7 mai, on me dit que l'on traite actuellement les demandes du 6 avril!! De qui se moque-t-on? C'est ça la qualité de service annoncé par la MGEN? C'est ça le sérieux de cette mutuelle? Pour une cotisation de 72 € par mois, on n'est vraiment mal loti après 40 ans de présence. Mon constat: T'as besoin de rien , adhère à la MGEN, sinon passe ton chemin</t>
  </si>
  <si>
    <t>clairon-62759</t>
  </si>
  <si>
    <t xml:space="preserve">4 Test ECPA Pearson 2 de logiques puis association de mots test grammaire et orthographe
Présentation lamentable entreprise au pas de course par contre tests trés pris au sérieux et éliminatoires.
Le rh ne prend même pas le temps ni la courtoisie encore moins la décence d'attendre la fin de la présentation de l'entreprise (car le ils le font aprés le test ... comprenne qui peut) pour donner les résultats surtout s'ils sont éliminatoires pour que l'on dégage vite.
Seule question : vous avez d'autres pistes ?
4 personnes recrutées en CDD de 7 mois ou plus 2 personnes éliminées pas question d'avoir les résultats des tests car ils sont détruits (c'est ce qu'ils disent en tout cas) si pas dans la moyenne on s'en va même si on correspond parfaitement au poste demandé car on ne peut y déroger dixit le rh.
Bref à éviter ne font que des cdd parfois un cdi soigneusement choisi parmi la charte de la diversité qu'ils ont parait il signé.
Education nationale oblige trés imbus de leur personne et quand à l'humain et bien je ne sait pas ou il est pas au centre des préoccupations du processus de recrutement c'est sur.
</t>
  </si>
  <si>
    <t>28/03/2018</t>
  </si>
  <si>
    <t>agla-62491</t>
  </si>
  <si>
    <t>Je suis jeune enseignante et suis à la mgen depuis la rentrée de septembre 2017. Lors du 1er rdv on m'a annoncé un premier tarif qui était de 5€ inférieur de celui que l'on m'a finalement demandé de payer! De plus depuis janvier 2018 je dois payer encore 14€ en plus par mois car j'aurais 30 ans en decembre et que ça fonctionne par palier. Aucune info ne m'a été donné lors de mon Rdv au bureau de Saint Denis. Je trouve ces pratiques odieuses, pour moi c'est vraiment tromper le client. Je suis donc en train de préparer mon contrat de résiliation car 50€/mois pour quelqu'un en bonne santé ça ne me convient pas du tout!!</t>
  </si>
  <si>
    <t>michellewxcvbn-61697</t>
  </si>
  <si>
    <t xml:space="preserve">bjr je suis a la MGEN et mecontente de leurs services ils ont perdu tous mes papiers de remboursement de lunettes pourtant le courrier est bien arrive avec une autre feuille de remboirsement , ils n ont jamais rien retrouve , ça a duré 2 mois a me ballader j ai du tout renvoyer , mon optitien me dit qu ils sont habitués de ce fait !!!! quand j ecris un mail je n ai pas de reponse ou 3 semaines apres et qui ne resoud pas le probleme !!! mutuelle a fuir je n ai aucune nouvelle d un remboursement pour mon mari depuis un mois </t>
  </si>
  <si>
    <t>raimundo-37948</t>
  </si>
  <si>
    <t xml:space="preserve">Bonjour,
Lorsque j'étais jeune enseignant, j'avais une autre mutuelle, sur le conseil des collègues plus expérimentés, il fallait adhérer à la MGEN, ce que j'ai fait.
Je ne suis pas satisfait de leurs prestations, notamment pour l'optique et le dentaire.
De plus, c'est complètement opaque, ils ont augmenté les tarifs au 1er janvier 2018 sans avertir leurs clients, eux les donneurs de leçon sur la solidarité, le mercantilisme des autres mutuelles. Le taux est passé de 3,11 % à 3,18 %
En plus, je ne comprends pas sur quel montant, ils se basent pour calculer la cotisation.
</t>
  </si>
  <si>
    <t>11/02/2018</t>
  </si>
  <si>
    <t>anita90kg-666-60665</t>
  </si>
  <si>
    <t>Bonjour, PARTEZ EN COURANT LOIN DE CETTE MUTUELLE
Je suis directrice d'une école de l'EN en Somalie. J'ai voulu garder la mgen parce que j'étais restée de rejoindre mamadou mon amant et les petits de l'école.  La mgen m'a mise sur la paille. Ils m'ont fait payer cher mes cotisations. Aujourd'hui je suis en attente depuis plus de 2 ans (!!) d'un détartrage ! En plus je leur ai demandé de m'aider à faire venir les petits écoliers mais ils ne m'ont pas répondue. Alors j'attends et les petits somaliens attendent de venir en France car nous pensons qu'il n'y en a pas assez en France.</t>
  </si>
  <si>
    <t>19/01/2018</t>
  </si>
  <si>
    <t>lila-60480</t>
  </si>
  <si>
    <t xml:space="preserve">FUYEZ SI VOUS TENEZ A VOTRE SANTÉ MENTALE...
Cela fait des mois que je demande mes remboursements de soins sans succès, après de multitudes appels, mails et courriers. Je n'en peux plus. A chaque fois que j'ai un interlocuteur au téléphone (quand j'arrive à avoir quelqu'un !) on me raconte n'importe quoi, les discours sont différents en fonction de la personne que j'arrive à avoir au bout du fil ! : "On n'a pas reçu votre courrier"/ "On a perdu votre RIB" / "Vous n'avez pas envoyé dans le bon service" / " Il faudrait renvoyer vos documents" / " Il y a eu un problème de télétransmission"...etc. Cette liste est non exhaustive évidemment.
Je précise toutefois que je suis MGEN FILIA et que tout est sous-traité par B2V/BCAC : des incompétents de premier choix !
Auparavant j'étais chez HARMONIE MUTUELLE et j'en étais satisfaite... malheureusement nous ne pouvons plus choisir !
</t>
  </si>
  <si>
    <t>14/01/2018</t>
  </si>
  <si>
    <t>ram59-59499</t>
  </si>
  <si>
    <t>Mauvaise foi et incompétence de cet organisme que bien sûr, je vais quitter.</t>
  </si>
  <si>
    <t>langdom86-58142</t>
  </si>
  <si>
    <t>Ayant un contrat de complémentaire santé à la MGEN, j'écris cet avis pour faire savoir, qu'en ce qui me concerne, les tarifs sont très intéressants et les garanties pertinentes. Enfin une mutuelle qui rembourse convenablement les frais d'optiques. Les conseillers sont disponibles et compétents (aussi bien par téléphone, qu'en agence). Je recommande la MGEN en complémentaire santé, sans hésitation.</t>
  </si>
  <si>
    <t>20/10/2017</t>
  </si>
  <si>
    <t>6donie54-57831</t>
  </si>
  <si>
    <t>J'ai sollicité, il y a plusieurs mois une demande d'allocation "aide au mutualiste aidant". Devant les papiers à remplir (même complétés on redemande d'autres formalités et ainsi de suite) j'ai abandonné le projet ayant l'impression de faire l'aumône. Ce qui doit drôlement arranger les affaires de la mutuelle qui fait des offres alléchantes mais qui ne les tient pas.</t>
  </si>
  <si>
    <t>05/10/2017</t>
  </si>
  <si>
    <t>brig-57810</t>
  </si>
  <si>
    <t>fonctionnement très bureaucratique, site internet inefficient. Déconventionnement non transparent des établissmenets et des professionnels de santé</t>
  </si>
  <si>
    <t>04/10/2017</t>
  </si>
  <si>
    <t>abc-57694</t>
  </si>
  <si>
    <t>Adhérente de la mgen depuis mon entrée dans l'EN j vois le service se dégrader et les tarifs atteindre des sommets. La relation à l'adhérent manque de transparence avec des montants de remboursements qui varient sans information claire, un refus du dialogue en cas de contestation et des tarifs très élevés pour une prise en charge a minima.</t>
  </si>
  <si>
    <t>29/09/2017</t>
  </si>
  <si>
    <t>01/09/2017</t>
  </si>
  <si>
    <t>s43-56802</t>
  </si>
  <si>
    <t>MGEN mutuelle à fuir !! En 3 mois aucune réponse à mes questions malgré les relances toutes les semaines, entre mails et téléphone.</t>
  </si>
  <si>
    <t>22/08/2017</t>
  </si>
  <si>
    <t>anddyy-56557</t>
  </si>
  <si>
    <t>très fort pour séduire de nouveaux encadrants,tres long pour honorer leur contrats</t>
  </si>
  <si>
    <t>08/08/2017</t>
  </si>
  <si>
    <t>chf33-55211</t>
  </si>
  <si>
    <t>Nulle. J'étais à la MGET depuis 2013 qui a fusionnée avec MNT et MGEN. La MGET pour mes remboursements me dit que je ne suis pas ou plus adhérent !!! Je vais m'y déplacer et ça va chauffer</t>
  </si>
  <si>
    <t>08/06/2017</t>
  </si>
  <si>
    <t>01/06/2017</t>
  </si>
  <si>
    <t>margaux-54044</t>
  </si>
  <si>
    <t>Je suis très déçue de la MGEN. Depuis que j'y suis je n'avais pas eu de problèmes concernant les rempboursement , et maintenant depuis 2 ans à la suite de lourds problèmes de santé je suis constament arrivée là-bas pour obtenir mes remboursements qui me sont indispensable pour continuer à avoir une vie décente. Le Service téléphonique injoignable, à moins d'avoir 1h à perdre pendant au bout du fil sans réponse. Les remboursements sont toujours en retard ou n'arrive jamais si on n'appelle pas. Ce qui n'est franchement pas pratique quand on à énormément de frais de santé et un petit salaire. Je ne recommande donc pas la MGEN, car cette mutuelle manque sérieusement de professionnalisme et de rigueur.</t>
  </si>
  <si>
    <t>12/04/2017</t>
  </si>
  <si>
    <t>coligny-53581</t>
  </si>
  <si>
    <t>Je suis à la MGEN depuis l'âge de 18 ans. A cette époque, la MGEN etait une vraie Mutuelle, Solidaire et à l'écoute des Sociétaires. A la retraite, la MGEN me déçoit . Je leur ai remis un chèque ( paiement indus ) de 45,26€ le 16/10 dernier. Ils l'ont égaré, mais ils m'ont adresse plusieurs lettres de relance puis une lettre recommandée avec AR, truffée de menaces, dont passage au Tribunal (!) . Ils ont retrouvé le chèque en janvier et j'ai donné mon accord ecrit pour encaissement. Depuis, il n'a pas été encaissé : je vais bientôt recevoir des rappels et des menaces !
Les pertes sont nombreuses, les remboursements dentaires ridicules, les réponses aux messages envoyés souvent Hors Sujet.</t>
  </si>
  <si>
    <t>25/03/2017</t>
  </si>
  <si>
    <t>cc-51894</t>
  </si>
  <si>
    <t>Pour résilier la mutuelle accrochez -vous, comptez un peu moins d'un an pour qu'elle devienne effective  : 2 recommandés avec AR n'ont pas suffi à rendre effective la résiliation : apres avoir recu un courrier m'indiquant qu'ils ont bien pris en compte ma demande, ils continuent à me prélever la cotisation mutuelle 4 mois apres. J'ai eu un conseiller au téléphone qui m a annoncé qu'il faudrait attendre 6 semaines pour avoir le remboursement des 4 mois( environ 400 euros) Trouvant cela honteux, j'ai saisi le mediateur.
Un bon conseil : fuyez!</t>
  </si>
  <si>
    <t>31/01/2017</t>
  </si>
  <si>
    <t>imen-51485</t>
  </si>
  <si>
    <t>J'ai pris une mutuelle chez la MGEN en Septembre 2015. Je devais bénéficier de trois mois gratuits puis payer 32 euros par mois. Apparemment, le prélèvement automatique que j'ai mis en place avec la conseillère N'A JAMAIS été validé. Aujourd'hui, ils me réclament 1348 euros à payer ! Alors que ma cotisation annuelle ne devait pas dépasser les 384 ! Je suis en train de faire une crise d'angoisse.
Demain, je vais les voir, résilier mon contrat et exiger des explications ! Si jamais ils me réclament encore cette somme, je porte plainte !</t>
  </si>
  <si>
    <t>19/01/2017</t>
  </si>
  <si>
    <t>xxx-51349</t>
  </si>
  <si>
    <t>Des "bugs" informatiques qui bloquent le paiement des prestations et une incapacité locale à réagir pour les surmonter (c'est pas moi c'est Paris).
Gros soucis avec les anciens adhérents MGET repris par MGEN</t>
  </si>
  <si>
    <t>16/01/2017</t>
  </si>
  <si>
    <t>elisabeth6308-51301</t>
  </si>
  <si>
    <t>Un suivi des plus déplorables, des fichiers sans cesse perdus et pas mis à jours. Le prix est excessif par rapport à ce que la mutuelle nous rembourse. Je me suis déplacée à plusieurs reprises afin de voir un conseiller et de réctifier mon dossier or cela n'a toujours pas été fait (début des démarches juillet 2016 et nous sommes en janvier 2017)!!!!</t>
  </si>
  <si>
    <t>14/01/2017</t>
  </si>
  <si>
    <t>angel88-50497</t>
  </si>
  <si>
    <t>Des heures passées au téléphone pour régler des problèmes et ça n'a pas suffi ! Les mutuelles départementales et le siège ne communiquent pas. Mon mari a été en disponibilité, il était donc prélevé sur notre compte et quand il a réintégré l'EN ils ont continué à prélever sur le compte et sur le salaire alors que j'avais fait le nécessaire et qu'on m'avait dit de ne pas m'inquiéter ! Plusieurs mois pour récupérer le trop perçu. Couac également avec une renégociation d'assurance pour le prêt immobilier, ça a duré + de 6 mois !!</t>
  </si>
  <si>
    <t>20/12/2016</t>
  </si>
  <si>
    <t>stephane-50147</t>
  </si>
  <si>
    <t>Celà fait 6 mois qu'on se bat avec eux pour un remboursement de prélèvements automatiques qui continuent inutilement. Relances, mails, rien n'y fait. Les courriers sont perdus, les infos doivent être remontées à chaque fois, c'est catastrophique. A fuire !</t>
  </si>
  <si>
    <t>11/12/2016</t>
  </si>
  <si>
    <t>peinard-49928</t>
  </si>
  <si>
    <t>Pour les mêmes prestations, la cotisation peut être très variable. Elle est calculée directement en pourcentage du salaire. 
La devise de la mgen pourrait être "gagner plus pour payer plus"</t>
  </si>
  <si>
    <t>05/12/2016</t>
  </si>
  <si>
    <t>mathilde-49645</t>
  </si>
  <si>
    <t>Suite à la fusion de la MGET avec la MGEN. Mon dossier est vide. j'ai été déclarée primo accesdente  pour le vaccin antigrippal . Je n'ai pas eu le remboursement de la  part mutuelle pour un spécialiste avant opération du pied dans une clinique mutualiste. Les questions précise restent sans réponse. Pas de possibilité de contacter un responsable . Heureusement il y a le médiateur de la mutualité française . J'ai obtenu satisfaction pour la délivrance d'un vaccin sans passer au préalable par un médecin. J'ai fait un second  recours pour le paiement de la part mutuelle à la clinique mutualiste, sans que j'en fasse l'avance.</t>
  </si>
  <si>
    <t>28/11/2016</t>
  </si>
  <si>
    <t>vovo-139536</t>
  </si>
  <si>
    <t>Adhérent depuis une douzaine d'année à Harmonie Mutuelle, j'ai vu les cotisations augmenter dans des proportions considérables !
exemple : cotisation prévue pour 2022 en hausse de 9,07% sur 2021, ou encore en hausse de 15,3% sur 2020 !!!
et avec un niveau de remboursement très moyen.</t>
  </si>
  <si>
    <t>Harmonie Mutuelle</t>
  </si>
  <si>
    <t>13/11/2021</t>
  </si>
  <si>
    <t>lancelot89-138953</t>
  </si>
  <si>
    <t xml:space="preserve">A fuir !!! Départ en retraite début août donc contrat résilié via mon employeur , j ai reprit contact par téléphone après être tombé sur une messagerie un interlocuteur qui a mit 35 mm pour traiter mon nouveau contrat m a dit on vous compte pas août contrat reçu par courrier mi octobre soit un mois après et j ai la surprise de constater  un prélèvement de 452 euro pour 4 mois d août à novembre sans m avoir informé .je me suis déplacé à l agence je suis tombé sur une femme qui m a envoyé sur les roses  en 3 mn en disant vous devez 4 mois y a pas a discuter ou à faire un échelonnement je précise que depuis mi septembre c est un nouveau n• d adhérent j ai envoyé 5 mails aucunes réponses ça m étonne pas à lire les avis ici </t>
  </si>
  <si>
    <t>04/11/2021</t>
  </si>
  <si>
    <t>cathy-137527</t>
  </si>
  <si>
    <t>impossible d' avoir quelqu'un par téléphone j' ai demander qu'un conseiller me rappel voilà plus de 10 jours.
J'attends toujours,personne n' as rappelé. j'ai renvoyé un mail à l'agence de Riom toujours pas de réponse.
Quand je me connecte sur mon compte je vois les remboursements, mais pas possible d'envoyer les factures pour se faire rembourser.
J'espère que j'aurais une réponse.
Merci d'avance.</t>
  </si>
  <si>
    <t>remi--136177</t>
  </si>
  <si>
    <t xml:space="preserve">Personnel très sympathique mais compétence générale 0/5
Un alambic administratif ...
« On » est sensé être allé sur la Lune, c’est pas avec leurs équipes 
</t>
  </si>
  <si>
    <t>06/10/2021</t>
  </si>
  <si>
    <t>cocololo-124096</t>
  </si>
  <si>
    <t>Je déconseille cette mutuelle ,depuis avril 2021 je veux résilier le contrat de mon fils car il a maintenant une mutuelle obligatoire et il est impossible de résilier il manque toujours un papier ils sont très long à répondre aux messages ! A ce jour le 21 juillet , mon fils est toujours prélevé et rien ne bouge !!! catastrophe ??</t>
  </si>
  <si>
    <t>momo-122766</t>
  </si>
  <si>
    <t>Mutuelle mauvaise au niveau des prix comme dès remboursement, il m’on donner une mutuelle, soit disant conforme à mes besoins  et je me retrouve à paye à chaque fois mes soin et du reste à charge, à aucun moment j’ai dès remboursement gratuit, on est en France quand même. Je la déconseille fortement!!!</t>
  </si>
  <si>
    <t>fuckyou-122369</t>
  </si>
  <si>
    <t>Alors qu'Harmonie mutuelle prends du retard ds mon dossier, ils me prélève sans prévenir 160€. Je n'ai donc ni pu gérer une opposition temporaire avec la banque, ni pu obtenir d'échelonnement ayant été prévenue la veille.</t>
  </si>
  <si>
    <t>05/07/2021</t>
  </si>
  <si>
    <t>zag-116200</t>
  </si>
  <si>
    <t xml:space="preserve">Pire mutuelle jamais rencontré. A fuir absolument.
Commence par refuser tout remboursement, ne donne aucune explication si vous ne les contactez pas. Une horreur à contacter. Les différents interlocuteurs ne sont pas au courant de ce qui s'est dit précédemment rendant toute discutions stériles (vous vous répétez sans jamais avancer... je pense que c est volontaire).
D'une telle lenteur lorsque c'est dans votre intérêt et d'une telle vivacité lorsque c'est dans le leur... que dire de plus.
Je n'ai jamais eu à faire à pire entreprise, pas mutuelle, mais bien tout secteur confondu. Jamais aucune interaction ne s'est passée tranquillement en 2 ans...
</t>
  </si>
  <si>
    <t>kui-115829</t>
  </si>
  <si>
    <t xml:space="preserve">Très lent ! Très compliqué ! 
Ils se sont trompés dans ma date de naissance lors de la souscription de mon contrat... ce qui a bloqué tous mes remboursements et leur a pris 6 mois pour corriger cette erreur.  Après correction, l'assurance maladie m'a donné les copies de tous les frais que j'avais avancé, mais Harmonie mutuelle a quand même refusé de me rembourser, car je ne pouvais pas fournir les "tickets de caisse" de pharmacie que je n'avais évidemment pas gardé.  L'assurance maladie m'a confirmé que ce n'était pas normal.
Quand cela fonctionne "normalement", les remboursements prennent beaucoup de temps par rapport à mes anciennes et nouvelle mtuelles, environ 2 mois de délai.
Lorsque vous allez voir ailleurs, ils sont a contrario très réactifs, puisque vous vous faites  immédiatement harceler de messages vocaux pour souscrire un nouveau contrat, alors que vous leur avait déjà mentionné que vous ne souhaitiez pas poursuivre avec eux. </t>
  </si>
  <si>
    <t>03/06/2021</t>
  </si>
  <si>
    <t>halima-114861</t>
  </si>
  <si>
    <t xml:space="preserve">Mutuelle à fuir 
Ne vous engagez pas ou vous le regretterai car si vous voulez résilier au bout d un an en toute légitimité, ils continuent à vous débiter et vous harcèlent </t>
  </si>
  <si>
    <t>alb-87855</t>
  </si>
  <si>
    <t>Pire mutuelle jamais souscrite. 100% de mes interactions avec eux se sont mal passé. Meme lorsque j'ai rattaché ma compagne, je leur ramène une cliente en claire, même la dessus ca s'est mal passé... Aujourd'hui je refuserai un poste si la mutuelle d'entreprise est chez eux. Si je pouvais mettre 0 ce serait bien plus juste.</t>
  </si>
  <si>
    <t>22/05/2021</t>
  </si>
  <si>
    <t>sara--113476</t>
  </si>
  <si>
    <t xml:space="preserve">Attention Attention Attention mes parents on signé le contrat avec l'ACS et dans ce contrat il y avait une garantie obsèques de 2000€ si un de mes parents décède, ensuite on le contrat se termine on renouvelle  entre-temps se n'ai plus avec l'ACS mais l'ASS puis ma mère décède et vous savez quoi on nous disent que la garantie obsèques n'est plus valable depuis qu'on a renouvelé le contrat avec l'ASS alors que harmonie mutuelle nous a JAMAIS PRÉVENU, c'est eux qui encaisse tout les mois c'est à eux de nous prévenir. Voilà je devais prévenir un peu tous le monde ensuite je me dirigerais vers les different réseaux sociaux et à tout mes proches qui sont  assurés chez harmonie mutuelle vérifier vos contrats et ceux de vos proches. Attention méfiance. </t>
  </si>
  <si>
    <t>12/05/2021</t>
  </si>
  <si>
    <t>paul-110841</t>
  </si>
  <si>
    <t xml:space="preserve">Assuré depuis de nombreuses années, adhérent contrat groupe FNATH, augmentation moyenne des cotisations  des mutuelles santé en 2021 de 4,3% c'est déjà trop. Et bien harmonie mutuelle pour moi plus 10% alors mutualisme ou capitalisme authentique,  à fuir </t>
  </si>
  <si>
    <t>18/04/2021</t>
  </si>
  <si>
    <t>leamlt-109532</t>
  </si>
  <si>
    <t xml:space="preserve">Très très déçu !!!!!! 
6 mois que je paye alors que ça fait 6 mois que j'ai demandé la résiliation ! 350€ en tout!! 
Toujours un papier qui manque ou perdu alors que j'envoyais exactement ce qui était demandé. 
Un manque de professionalisme total et des mensonges. Encore ce mois si j'ai été prélevé alors que j'ai ENCORE envoyé les papiers avant les dates. C'est honteux !!!! Je ne recommande à personne harmonie mutuelle. Et je demande le remboursement sinon des poursuites radicales. </t>
  </si>
  <si>
    <t>07/04/2021</t>
  </si>
  <si>
    <t>elle-107948</t>
  </si>
  <si>
    <t xml:space="preserve">Je mets zéro.
 Ils me réclament la cotisation du 1er trimestre 2021 alors que le chèque a été encaissé le 5 janvier ! ! ! Que faire ?
Depuis que je suis à cette mutuelle ils font sans cesse des erreurs, envoie plusieurs fois les mêmes doc et leur contraire, etc...et jamais ne s'excusent !
Incompétences bureaucratiques, ou peut-être une manière de virer les gens qui leur coûte cher, autrement dit trop malades ? </t>
  </si>
  <si>
    <t>audrey-107133</t>
  </si>
  <si>
    <t xml:space="preserve">Si je pouvais mettre 0 sincèrement c'est la note que j'aurais mis.
Si vous cherchez un mutuelle un conseil ne choisissez pas harmonie mutuelle.
J'ai résilier mon contrat chez eux depuis 2017.
Et chaque année j'ai un petit courrier de leurs parts me réclamant des indus et ce qui est le plus fou c'est que chaque année le montant change si j'avais pu faire les captures d'écrans pour en montrer la preuve. Et quand vous appeller le service contentieux on est pas capable de vous expliquer pourquoi mais on vous oblige à payer. 
Et quand on demande un responsable même cela est la croix et la bannière.
Un ancienne cliente excédée et le mot est faible. </t>
  </si>
  <si>
    <t>19/03/2021</t>
  </si>
  <si>
    <t>loujo-104864</t>
  </si>
  <si>
    <t>Maintenant que j'ai découvert ce site, je peux enfin m'exprimer et enfin être lu.
Avant probtp (avis déjà déposé), j'étais chez Harmonie mutuelle depuis au moins 10 ans (anciennement Touraine mutualiste quant à moi)
J'ai demandé un remboursement pour soins dentaires (et pas un luxe, juste des "vrais" soins). Réponse, "vous n'avez pas de prise en charge !"
Je n'étais jamais malade, je ne leur coutais rien.
Un jour j'en ai eu besoin, et on ne m'a même pas aiguillé, aucune explication supplémentaire que  "vous n'avez pas de prise en charge !"
Dégouté, j'envoie un recommandé fin octobre pour résiliation (faut arrêter d'être bête quand même)
On m'écrit Mars de l'année suivante que je n'ai pas payé depuis début janvier et on me menace de poursuites !
J'envoie un mail indiquant la date du courrier et le recommandé.
On me demande la copie du courrier et une photocopie du recommandé !
Hallucinant, je n'envoie qu'une copie du recommandé tamponnée au 31 octobre.
Plus de retour.
Ok, je me dis qu'enfin on va me fiche la paix.
Ils sont restés "greffés" sur mon compte améli sans avoir la possibilité de les retirer (zone grisée), eux seuls sont à-mêmes de le faire.
J'écris à nouveau, jamais le moindre retour.
Durant des mois, les données de soins ne pouvaient être télétransmises car harmonie mutuelle occupait la place !
C'est enfin la CPAM qui m'a laissé l'accès et le choix de les retirer, mais après m'avoir envoyé plein de mails me stipulant de prendre contact avec Harmonie.
Merci quand même à eux.
Et honte à cette mutuelle, menaces et mauvaise foi sont de mises chez eux.
Et enfin la mutuelle probtp a pris place et les remboursements ont enfin eu lieu, pour le moment..
Car avec la prévoyance pour arrêt de travail .. Je ne touche rien, rien, rien, injoignables que du mépris !
Voir mon avis à ce sujet =&gt; probtp prévoyance
Merci de votre lecture et attention à vous, futurs souscripteurs, harmonie mutuelle sont comme la plupart, vous payez, tout parait ok, sauf que le jour du passage en caisse ou du départ, on vous menace ou on vous balance un simple refus sans explications.</t>
  </si>
  <si>
    <t>lau-104876</t>
  </si>
  <si>
    <t xml:space="preserve">Mutuelle à fuir! Impossible d’avoir quelqu’un de compétent au téléphone, même après 30 minutes d’attente. Pour la résiliation plus lente il n’y a pas, 3 mois soit : 1 courrier recommandé( avec toutes les pièces justificatives), 1 courrier simple (avec les mêmes pièces) , et un message dans chaque boîte de dialogue possible ! 
</t>
  </si>
  <si>
    <t>27/02/2021</t>
  </si>
  <si>
    <t>al1-104835</t>
  </si>
  <si>
    <t>Bonjour, en retraite depuis aout 2020 je voulais changer de complémentaires. Harmonie mutuel devenu trop cher pour moi . j'ai
resilié avec LR depuis décembre, mais continu de prélevé la cotisation.
j'aimerai, être remboursé de ces prélèvements mais comment faire ?
 Impossible de les joindre par téléphone,</t>
  </si>
  <si>
    <t>26/02/2021</t>
  </si>
  <si>
    <t>bantoine-104075</t>
  </si>
  <si>
    <t xml:space="preserve">Je ne conseille à personne cette mutuelle.
Soyez très vigilant lorsque vous souscrivez votre adhésion.
Le service client ne réponds jamais et les conseillers sont extrêmement désagréables.
A fuir au plus vite.
Les tarifs sont prohibitifs et le remboursement est très bas.
J'ai pourtant souscrit un contrat avec soi disant le maximum de garantie.
Je suis très très insatisfaite. </t>
  </si>
  <si>
    <t>12/02/2021</t>
  </si>
  <si>
    <t>ninette--103985</t>
  </si>
  <si>
    <t>INJOIGNABLES AU TÉLÉPHONE
APPELÉ 20 FOIS ET DIX MINUTES D'ATTENTE AU LIEU DES 5 MINUTES ANNONCÉES, 
ET PERSONNE NE RÉPOND !!!!
SUR LES DEUX NUMÉROS DE TÉLÉPHONE 09...ET 08...
NUMÉRO SURTAXÉ ET PERSONNE NE RÉPOND. 
MERCI DE ME RAPPELER SVP. 
??????????????</t>
  </si>
  <si>
    <t>valerie--103367</t>
  </si>
  <si>
    <t xml:space="preserve">Harmonie Mutuelle ne respecte pas les adhérents, personne ne répond au téléphone et quand enfin vous avez quelqu'un elle vous raccroche au nez.
Très très très mauvaise mutuelle.. Très mauvais remboursements, alors que je paie un prix excessivement élevé de 87 euros pour 1 adulte. 
Une manque de sérieux de mutuelle à laquelle j'ai dû souscrire par le biais de l'entreprise dans laquelle je travaille. 
Je ne suis toujours pas remboursé conformément aux garanties de mon contrat de mutuelle santé. 
MUTUELLE A FUIR !
</t>
  </si>
  <si>
    <t>sirena93-103276</t>
  </si>
  <si>
    <t>Harmonie mutuelle : 0/10
Longueur des remboursements, 1 à 2 mois d'attente. 
Pas de retour d'information suite aux demandes de réclamation faites sur leur site.
Prix excessivement élevé, 118 euros pour 1 adulte avec 1 enfant.
Ne prennent pas en compte les modifications demandées liées aux contrat.
Bref. aucun suivi de leur clientèle !!
Et je vous conseille de ne pas adhérer à cette mutuelle.</t>
  </si>
  <si>
    <t>nl-102633</t>
  </si>
  <si>
    <t xml:space="preserve">Harmonie est de loin la pire mutuelle que j'ai pu expérimenter : niveaux de couverture très bas et surtout service client absolument désastreux! Pour obtenir qqn au téléphone, il faut poireauter environ 15 minutes. Ensuite, quand enfin qqn prend votre appel, la personne n'est jamais compétente pour vous indiquer la prise en charge et doit renvoyer à qqn d'autre... qui ne vous rappelle jamais. 
On vous demande ensuite de "faire votre demande via l'application" : qu'à cela ne tienne, je demande au spécialiste que je souhaite consulter un devis que je transmets à Harmonie via l'application pour leur demander qu'elle sera leur prise en charge. Au téléphone on m'avait indiqué "il nous faut un devis madame, comme ça on ne peut pas vous dire". 
Je copie colle ci-dessous la réponse d'Harmonie : 
"Bonjour, Afin de répondre à votre demande, nous vous invitons à nous transmettre la facture acquittée correspondante. Ce document est indispensable pour nous permettre d'étudier votre dossier". Cette réponse est tout simplement scandaleuse! Si on les contacte pour un devis, c'est qu'on veut savoir avant de consulter le spécialiste ce que cela va nous coûter, et pas d'avoir la mauvaise surprise après!
Ce manque de transparence sur leur prise en charge et cette incompétence de leur personnel devrait être dénoncé auprès des associations de consommateurs. 
A fuir donc. </t>
  </si>
  <si>
    <t>14/01/2021</t>
  </si>
  <si>
    <t>u2didnet-102099</t>
  </si>
  <si>
    <t xml:space="preserve">Une mutuelle jamais utilisée ou presque pendant des années à titre perso. J’ai maintenant une mutuelle pro et c’est un enfer pour acter une radiation chez Harmonie. Déjà deux courriers AR et tjs une excuse pour refuser la rupture du contrat malgré des papiers dûment transmis. Quelle honte à eux. Plus jms je ne signe la bas. </t>
  </si>
  <si>
    <t>02/01/2021</t>
  </si>
  <si>
    <t>ben-101010</t>
  </si>
  <si>
    <t>ne rembourse pas la totalité des ordonnances à savoir que la cpam rembourse mais eux les 20 % voire 10% restant ne sont pas rembourses 
malgres mes innombrables appels et emails à leurs services pour qu ils respectent les clauses du contrat rien ne se passe
cela fait 9 mois que j attends des remboursements non honores 
mutuelle à fuir car prend les echeances du client sur son compte bancaire mais quand il ft rembourser il n y a plus personne
SERVICE INCOMPETENT
A FUIR</t>
  </si>
  <si>
    <t>06/12/2020</t>
  </si>
  <si>
    <t>nicemc-100529</t>
  </si>
  <si>
    <t xml:space="preserve">Impossible de résilier mon contrat. Le conseiller m'avait initialement suggérer de faire un courrier à la date anniversaire de souscription seulement, surprise, le changement de mutuelle n'est possible qu'en fin d'année civile. Je me suis donc retrouvé avec 2 mutuelles à payer. J'ai de nouveau fait une demande de résiliation pour la fin d'année 2020, depuis 2 mois le statut de ma demande est en attente malgré mes relances téléphoniques.
</t>
  </si>
  <si>
    <t>24/11/2020</t>
  </si>
  <si>
    <t>tebopro-66397</t>
  </si>
  <si>
    <t xml:space="preserve">Plus facile d'adhérer que de résilier. Pourtant avec des augmentations indécentes des cotisations chaque année et un taux de remboursement très faible, notamment en dentaire, une seule envie, fuir. </t>
  </si>
  <si>
    <t>28/10/2020</t>
  </si>
  <si>
    <t>mariam-99316</t>
  </si>
  <si>
    <t xml:space="preserve">Extrêmement cher alors que minable, remboursements minables, communication minable (pas de réponse ou incompétence en agence ou au téléphone. Fuyez braves gens ! </t>
  </si>
  <si>
    <t>ali-99245</t>
  </si>
  <si>
    <t>Lundi 26 octobre  nous sommes venus demander des documents relatifs à une opération de l épaule 
Nous avions plusieurs fois contacté le centre téléphonique d harmonie sans résultats probants
Nous avons été reçu par Florent très accueillant compétent et efficace !
Merci à lui !</t>
  </si>
  <si>
    <t>babar-64829</t>
  </si>
  <si>
    <t>Bonjour, je rejoins la cohorte des internautes mécontents  de cette Mutuelle (1 euphémisme). Délai, 2 mois pour 1 inscription effective, 2 dossiers d'inscription ont été nécessaires car le premier a été perdu. Demande de remboursement refusée par 3 fois, la troisième fois, dossier traité par une employée de l'agence Harmonie Mutuelle de Challans avec la présentation du document requis, à savoir le décompte S.S., document dont, comme par hasard on ne trouve plus trace dans mon dossier. Affirmations mensongères de leur part... incompétence notoire... site internet qui ne fonctionne pas (dernier message : envoi impossible, suite à un problème technique, votre demande n'a pu être transmise), appels téléphoniques qui restent soit sans réponse, soit réponse lapidaire sans suite. Quant à leur adresse mail, envoi de plusieurs messages qui restent sans réponse. Mais, de qui se moque t-on ??? 1 R avec AR envoyé au Responsable du Centre de Gestion d'Alençon, qui voulait, je vous le donne en mille, me radier parce que je ne m'acquittais pas de mes versements mensuels, alors que ce sont eux, une fois de plus, qui avaient enterré mon dossier, sans l'avoir traité et, aucune réponse n'a été donnée à ce Recommandé. C'est dire à quel point on méprise l'adhérent. Vous êtes tout juste bon à payer. Le reste, c'est manifestement pas leur problème. Mutuelle à fuir ...Toutes, sauf celle-ci. Et, je vous en passe, tellement la situation est kafkaïenne avec eux. Reste la solution de la plainte. A bon entendeur, Salut</t>
  </si>
  <si>
    <t>camille-98486</t>
  </si>
  <si>
    <t xml:space="preserve">Je suis très satisfaite de ma mutuelle. J'ai dû contacter le service client d'harmonie mutuelle, une dame très gentille à pris le temps de répondre à chacune de mes questions avec beaucoup de bienveillance.
Je recommande vivement ! </t>
  </si>
  <si>
    <t>08/10/2020</t>
  </si>
  <si>
    <t>alki-98272</t>
  </si>
  <si>
    <t>Très faible couverture: par exemple, pour mes lunettes j'était remboursé pour 150 euros, montures et verres, alors que le montant de la cotisation est, à mon avis, relativement élevé.   En plus, ils ne répondent jamais au téléphone et pire, ils vous laissent au bout du fil pendant 15 minutes avec l'espoir que qqn va répondre, et après ce temps ça raccroche automatiquement. J'ai essayé de leur envoyer un mail sur leur plateforme pour demander les modalités de résiliation, 4 essais, 4 échecs. Rien de bon à dire pour cette mutuelle.</t>
  </si>
  <si>
    <t>gaelle777-97921</t>
  </si>
  <si>
    <t>Je suis extrêmement insatisfaite du délai de réactivité de Harmonie Mutuelle. Depuis plus de 6 mois les délais de traitement sont plus qu'allongés pour être remboursé des éléments les plus basiques mais le pire, c'est que ma fille est née en mai dernier et qu'elle n'est toujours pas assurée ! Elle aura 5 mois la semaine prochaine et j'ai des dizaines de factures en attente que je ne peux envoyer nul part.
Il y a 3 semaines, un conseiller m'a contacté par mail pour me dire que j'allais passer en priorité. Il y a 3 semaines ! 
Je ne recommanderai certainement pas Harmonie Mutuelle. Quelque soit le contexte, le service rendu à ses clients doit être d'une qualité minimale et là, on n'y est pas du tout ...</t>
  </si>
  <si>
    <t>28/09/2020</t>
  </si>
  <si>
    <t>brevin-97652</t>
  </si>
  <si>
    <t>je suis adhérent depuis plusieurs années. Cette mutuelle est une véritable catastrophe tant en terme de relation client qu'en terme de prix. j'ai reçu un courrier de leur part m'informant d'une augmentation de prix de ....25% !! 
je n'ai évidemment pas les moyens de cette augmentation. Je souhaite donc résilier. Refus de leur part. Je demande d’être mis en relation avec un conseiller : 5 appels. A chaque fois, on m'indique qu'on me rappelle tel jour, telle heure. Aucun rappel, aucune proposition. Et impossible de me retirer. Ils continuent à ponctionner mon compte sans répondre. Pour résilier, j'ai envoyé un recommandé. Réponse : on vous refuse la résiliation. Donc impossible de les joindre, impossible de résilier. Joie de ces plates formes sans plus aucune qualité de relation. Fuyez cette mutuelle qui se prétend solidaire, et proche des adhérents
Pour info : je viens enfin, après des heures de communication (tel, mails, courriers), et de non rappel de leur part, de joindre une chargée de clientèle qui a pu me faire une proposition plus raisonnable. Ce n'était donc pas si compliqué ! Je prends la proposition et je résilie dès que la loi m'y autorisera, c'est à dire au 31 décembre de cette année !!!</t>
  </si>
  <si>
    <t>21/09/2020</t>
  </si>
  <si>
    <t>lavikiere-97544</t>
  </si>
  <si>
    <t xml:space="preserve">Catastrophique
Application téléphone non fonctionnel le . le site internet pratiquement inefficace . Donc il faut contacter harmonie mutuelle 
pour la  transmissions des documents,  obligatoirement par courriers .
Plus d'un mois et toujours pas de carte mutuelle et toujours pas de mutuelle  sur le compte ameli.com.
Réponse du service client téléphonique , ça va venir ....
Je commence déjà à regretter mon choix d'harmonie ...
Je n'ose imaginer le jour où il faut faire intervenir cette mutuelle pour un remboursement ....
Pas rassurant tout ça ...
</t>
  </si>
  <si>
    <t>17/09/2020</t>
  </si>
  <si>
    <t>cracksimo-97373</t>
  </si>
  <si>
    <t xml:space="preserve">Bonjour, 
Tout se passait bien avec Harmonie mutuelle jusqu'au jour ou j'ai changé de mutuelle suite à un changement d'employeur. Ils m'ont réclamé des remboursement à tort, et je les ai remboursé sauf que depuis, plus de nouvelles (plus d'un mois) et à chaque fois que j'appelle pour mon attestation, on me demande d'attendre, sans aucune compréhension du problème, et pour me faire rembourser de mon côté, il me faut cette attestation. 
Le service concerné par mon problème, quand on les appelle, ils ne peuvent rien faire, et quand on veut escalader on ne peut pas, alors je vous déconseille sérieusement cette mutuelle, puisque pour moi ils n'ont aucun sens de la satisfaction clientèle. </t>
  </si>
  <si>
    <t>14/09/2020</t>
  </si>
  <si>
    <t>sadi-97322</t>
  </si>
  <si>
    <t xml:space="preserve">dommage que je ne peux pas mettre zéro étoile , ,  mon employeur a changer la mutuelle j'ai continu les soins que j'ai commencé avec l'ancienne mutuel  , avant avec axa sur 1000 eur de soin on me rembourse prés de 70% , mais Harmonie 2% !!! et après 300 appelles et relance , je suis choqué, a fuire  </t>
  </si>
  <si>
    <t>12/09/2020</t>
  </si>
  <si>
    <t>pj-97010</t>
  </si>
  <si>
    <t xml:space="preserve">J'ai souscrit une mutuelle assurance via mon entreprise et il se trouve que c'est Harmonie Mutuelles qui a été choisie par mon employeur pour cette année et l'année dernière.
Tout s'est bien passé la première année. Pour la deuxième année, j'ai rencontré des problèmes avec la mutuelle concernant mon échéancier mensuelle et mes prélèvements. J'ai essayé d'arranger les choses avec cette mutuelle et de payer des mensualités en agence ; ce qui m'a été refusé en agence. J'ai alors contacté la mutuelle par mails et n'ai reçu aucune réponse de la part de leurs services.
Ensuite, au lieu de répondre à mes mails, la mutuelle qui se dit "proche de ses adhérents" m'a informé qu'elle ne prendrait plus en charge mes remboursements santé.
Je suis donc sans mutuelle et ai renoncé à me soigner n'ayant pas les moyens financiers pour consulter certains praticiens sans être remboursée. De plus j'ai une ALD reconnue CPAM. Par contre, je dois payer les mensualités puisque je suis liée par l'employeur via cette mutuelle et ne peux pas choisir une autre mutuelle car je n'ai pas les moyens financiers pour souscrire une deuxième mutuelle.
En résumé, je paye la mutuelle, n'est pas prise en charge et ne me soigne plus.
Cette mutuelle que j'appréciais avant d'avoir tous ces soucis m'a complètement fait changer d'avis sur ses services et son soit-disant humanité. Pour moi ce n'est qu'un argument commercial et c'est tout. </t>
  </si>
  <si>
    <t>dowlander-96595</t>
  </si>
  <si>
    <t>Bonjour.
Devis du dentiste accordé. 
Soins fin juin.
Fin août, toujours pas remboursée, bien que je les ai relancé à plusieurs reprises. Mon dentiste perd patience , je ne sais plus quoi lui dire, Plus de 1000€??????</t>
  </si>
  <si>
    <t>24/08/2020</t>
  </si>
  <si>
    <t>canelita-96319</t>
  </si>
  <si>
    <t xml:space="preserve">Cela fait 3 semaines que j'ai donné en main propre mes remboursements dentaires. J'habite Chinon et je me suis déplacée chez eux le 21 juillet 2019 et remis les documents donnes par la Secrétaire du cabinet dentaire. Ayant oublié ma carte de mutuelle j'ai payé sur place le 20 juillet 2019 et porte les papiers le lendemain. 14 août toujours pas de nouvelles. </t>
  </si>
  <si>
    <t>14/08/2020</t>
  </si>
  <si>
    <t>elo-96196</t>
  </si>
  <si>
    <t xml:space="preserve">J’ai contacté harmonie car j’ai remarquer après 3 mois qu’aucun prélèvement de leur part n’avait été fait sur mon compte. Bon.
Une dame au téléphone m’explique que mon prélèvement a été rejetée par ma banque et que donc je leur suit redevable de 116 euros sans quoi je ne serais plus assurer sans le paiement de cette dette. Je leur demande donc des explications car tout mes autres prélèvement n’avaient pas eu de problème et que pourquoi ne pas avoir prélever les mois suivants ou m’envoyer un courrier ou un mail pour me prévenir !!. On m’explique une fois qu’un prélèvement est rejetée harmonie ne le représente pas pour les mois suivant et que je dois régler sans quoi les mois continuerons de s’accumuler. 
Avec la crise du covid je n’ai tjr pas régulariser cette facture et cela m’inquiète. J’ai essayer les mails mais cela ne fonctionne pas sur le site. Les appels sans réponse. Je ne sais plus quoi faire et j’ai peur du montant que harmonie va me demander. </t>
  </si>
  <si>
    <t>12/08/2020</t>
  </si>
  <si>
    <t>bs-96131</t>
  </si>
  <si>
    <t xml:space="preserve">une catastrophe cette mutuelle la pire!!!!! prix exagerer pour ne JAMAIS avoir de reponse aux devis 
disponibilité des conseillers 0 
jamais a l'écoute des clients plus jamais cette mutuelle. </t>
  </si>
  <si>
    <t>10/08/2020</t>
  </si>
  <si>
    <t>guillaume26-93183</t>
  </si>
  <si>
    <t>Pire mutuelle souscrite.
Délais de remboursements parfois de 1 mois...
Résiliation extrêmement compliquée même en souscrivant à une mutuelle obligatoire d'entreprise.</t>
  </si>
  <si>
    <t>05/07/2020</t>
  </si>
  <si>
    <t>benoit35-92815</t>
  </si>
  <si>
    <t>Rien ne fonctionne. L'application mobile tout comme leur site internet n'ont jamais fonctionné. Et lorsqu'on réussi à les joindre par téléphone leur service client ne peut rien faire...</t>
  </si>
  <si>
    <t>30/06/2020</t>
  </si>
  <si>
    <t>grderville-90187</t>
  </si>
  <si>
    <t>Hautement recommandé... surtout si vous n'avez besoin de rien.</t>
  </si>
  <si>
    <t>04/06/2020</t>
  </si>
  <si>
    <t>carosuper-89793</t>
  </si>
  <si>
    <t>Je tiens à remercier de tout coeur toutes les personnes qui ont données leur avis... Grâce à vous je ne fais pas de bêtise... Lire chacun d'entre vous me fais penser que cette "assurance" n'en vaut pas la peine... Mille mercis à vous tous...</t>
  </si>
  <si>
    <t>20/05/2020</t>
  </si>
  <si>
    <t>evaima-89432</t>
  </si>
  <si>
    <t>Je déconseille vivement Harmonie Mutuelle pour : 
- leur Diagnostic besoin pas adapté,
- leurs tarifs excessifs comparés aux services qu'ils fournissent
- leur incompétence à renseigner leur client
- leur politesse au téléphone (oui se faire raccrocher au nez par une conseillère n'est franchement pas commercial, ni professionnel) 
- leur respect des lois en vigueur concernant les contrats mutuelle</t>
  </si>
  <si>
    <t>06/05/2020</t>
  </si>
  <si>
    <t>aaaag-89053</t>
  </si>
  <si>
    <t>NUL, ce sont des incapables pas du tout professionnel. A fuir, choisissez une autre assurance.</t>
  </si>
  <si>
    <t>22/04/2020</t>
  </si>
  <si>
    <t>aurel-88670</t>
  </si>
  <si>
    <t>Ce type de site d avis est bien connu pour centraliser les expériences négatives. moi je m'exprime pour mettre du positif. J ai toujours bien été remboursé et vous criez mais vous avez des prestations en fonction des cotisations que vous payez. Pour avoir fait plusieurs assurance je peux vous dire que c'est de loin la meilleure mutuelle.</t>
  </si>
  <si>
    <t>03/04/2020</t>
  </si>
  <si>
    <t>c-k-87071</t>
  </si>
  <si>
    <t xml:space="preserve">Carte mutualiste 2020 éditée avec des erreurs de numéros de sécurité pour mes enfants. Depuis 10 jours demande d'une carte mutualiste rectifiée. Réponses désagréables et hautaines au téléphone : "C'est impossible" alors que les cartes mutualistes sont éditées correctement depuis plus de cinq ans !    Réponses automatiques incessantes au mail sur le site malgré les envois de documents justifiant l'erreur commise par Harmonie Mutuelle. Demande de documents supplémentaires sans préciser lesquels ! Mutisme du service Réclamation. Réception en agence lamentable : "Si vous n'avez pas de carte mutualiste vous n'avez qu'à avancer les frais " . HONTEUX  quand on connaît les prix des cotisations ! Incapacité de l'agence à joindre le service Gestion par téléphone. Service gestion Harmonie Mutuelle injoignable y compris par l'agence Harmonie Mutuelle elle-même !!! Refus de l'agence de me donner une attestation. En attendant qu'Harmonie Mutuelle règle son problème informatique, mes enfants n'ont pas le droit à leurs médicaments. LAMENTABLE !       </t>
  </si>
  <si>
    <t>12/02/2020</t>
  </si>
  <si>
    <t>mamounette-86082</t>
  </si>
  <si>
    <t xml:space="preserve">Inscription très longue , absence de suivi des dossiers , réponses concernant les demandes devis attente interminable que ça soit par mail à travers l'espace personnel ou appel téléphonique 
Conseillers désagréables 
Attention ils ne tiennent pas compte de la résiliation du contrat et votre compte est toujours debite </t>
  </si>
  <si>
    <t>19/01/2020</t>
  </si>
  <si>
    <t>steph54-85784</t>
  </si>
  <si>
    <t>En décembre dernier, Harmonie Mutuelle a prélevé 2 fois le montant de ma cotisation.
J'ai donc appelé à plusieurs reprises, envoyé un mail, mais à ce jour toujours aucune réponse ou remboursement.
Assurance à fuir !!!</t>
  </si>
  <si>
    <t>11/01/2020</t>
  </si>
  <si>
    <t>doriane-82064</t>
  </si>
  <si>
    <t xml:space="preserve">Dommage noue ne pouvons pas mettre 0 étoile ! je viens de raccrocher avec le servie client . La personne au téléphone a été exécrable, hautain et n'a pas souhaité m'écouter. Cela va faire 3 mois que mon dossier traîne une honte ! ils doivent me rappeler et ne le font pas !!! Fuyez ! </t>
  </si>
  <si>
    <t>18/12/2019</t>
  </si>
  <si>
    <t>babidoo-81962</t>
  </si>
  <si>
    <t>A déjà commencé par résilier mon contrat quand j'ai voulu y ajouter ma compagne et ma fille. ça aurait du nous mettre la puce à l'oreille. Depuis ils n'oublient jamais leur augmentation annuelle non justifiée mais par contre il faut parfois attendre plus de 3 mois pour un remboursement dentaire étrangement ils perdent toujours les documents quand ça dépasse 200e à rembourser. ils perdent les devis et nous mentent au téléphone (4 appels sur 2 mois pour finalement apprendre qu'ils ont perdu l'email. perdu un email ouioui) et nous envoient un courrier d'échéance daté de novembre avec un cachet de la poste mi décembre histoire qu'on ait des difficultés à résilier. Merci oh Loi Chatel de nous permettre de changer de mutuelle rapidement.</t>
  </si>
  <si>
    <t>16/12/2019</t>
  </si>
  <si>
    <t>elise-80092</t>
  </si>
  <si>
    <t xml:space="preserve">Adherent depuis aout 2019 l application n a jamais fonctionne donc impossible d acceder a l espace client de plus je ne suis toujours pas rembourse de mes soins il y a plus d un mois sans compte que j ai appelé 3fois harmonie mutuelle et qu on me ballade d appel en appel en bref des interlocuteurs incompetents par contre rassurez vous la cotisation est bien prelevee en tant et en heure heureusement qu on peut resilier les contrats de mutuelles sante avant le 31 decembre </t>
  </si>
  <si>
    <t>16/10/2019</t>
  </si>
  <si>
    <t>zib-79781</t>
  </si>
  <si>
    <t>Bonjour J ai changer de mutuelle le 1er avril 2019 apres une visite chez l ORL le 6 aout et avoir payé 50 euros. La caisse me rembourse 35 euros. Et selon Harmonie mutuelle elle me rembourse le complement soit 15 euros. Mais pour cela elle me demande par courrier mon decompte assurannce maladie puis apres l avoir recu et quelques semaines elle me demande mon decompte de mon ancienne mutuelle. Que je ne retrouve pas rapidement car elle est stoppé depuis le 14 avril. Apres plusieurs coup de telephone, ( avec des personnes tres aimables a chaque fois qui par ailleurs ne comprennent pas pourquoi je ne suis pas remboursé. je suis aujourd hui au meme point je paye 190 euros par mois pour pas grand chose. J attends quelques semaines et vois ce qui se passe sinon je change de mutuelle. tout ca pour 15 euros. C est maleuheureux. Mais je n aurai pas le choix.</t>
  </si>
  <si>
    <t>07/10/2019</t>
  </si>
  <si>
    <t>mariad-79733</t>
  </si>
  <si>
    <t>Une conseillere qui se permet de vous dire qu'elle  n'a pas trop le temps de s'occuper de votre dossier.. Vous lui dites que vous avez une Urgence pour l'Opticien elle vous dit 2 jours....vous rappeler c'est plus pareil il faut maintenant que j'Attende pour un délai de 2 semaines en plus d'être très désagréable au téléphone et j'apprends ce jour qu'elle est Absente et pas d'accueil chaleureux téléphonique</t>
  </si>
  <si>
    <t>04/10/2019</t>
  </si>
  <si>
    <t>gwen-79656</t>
  </si>
  <si>
    <t xml:space="preserve">Service client injoignable. J'essaie de les joindre depuis une semaine on m'annonce des temps d'attente inférieur à 4 minutes or je patience plus d'une heure pour ne même pas les avoir au téléphone. On me demande 5 fois le même document qui leur a déjà été transmis au préalable et sont frileux sur les remboursements, font trainer les choses, redemande toujours les mêmes papiers qu'ils ont déjà en leur possession. </t>
  </si>
  <si>
    <t>02/10/2019</t>
  </si>
  <si>
    <t>hcap31-79387</t>
  </si>
  <si>
    <t>Service client déplorable - Aucun suivi - La plupart des interlocuteurs non formés - Demandes en ligne 'interactives ' restent virtuelles et non traitées - 2 à 3 mois d'attente pour des remboursements  - une catastrophe</t>
  </si>
  <si>
    <t>23/09/2019</t>
  </si>
  <si>
    <t>popeye-79114</t>
  </si>
  <si>
    <t>depuis mon adhésion du mois de mais 2019 je n'ai toujours pas reçu marte de mutualiste
  A fuir</t>
  </si>
  <si>
    <t>11/09/2019</t>
  </si>
  <si>
    <t>arnakeur-35182</t>
  </si>
  <si>
    <t xml:space="preserve">Apres avoir mis fin au contrat, je leur ai demandé de fermer la connection avec noemie pour que ma nouvelle mutuelle puisse etre connecté.
Mais, apres cinq mois et apres les avoir relancer tous les mois, ils n'arrivent pas a faire cette opération.
Donc, je ne peux pas bénéficier de ma nouvelle mutuelle a cause d'eux.
Je pense qu'il est légalement interdit de bloquer un client qui souhaite partir.
</t>
  </si>
  <si>
    <t>19/06/2019</t>
  </si>
  <si>
    <t>tarantule92-76815</t>
  </si>
  <si>
    <t>Un centre de gestion basé à Toulon dont la seule devise semble etre : "tous ensemble pour ne pas rembourser"</t>
  </si>
  <si>
    <t>16/06/2019</t>
  </si>
  <si>
    <t>avis--33-76794</t>
  </si>
  <si>
    <t>clairement mécontente : une demande de prise en charge devant être quémandée par le dentiste; la plate forme téléphonique extrêmement agressive "il est où le problème ?" aboyé comme une litanie, aucune écoute quant à un retour client... bref changement de crémerie dès que j'ai amorti frais  médicaux..- Accueil boutique qui relève le niveau leurs process semble terriblement kafkaien ... au revoir !</t>
  </si>
  <si>
    <t>dejan123-75043</t>
  </si>
  <si>
    <t>Nul, mutuelle à éviter absolument!!!! (je suis chez eux car mon employeur est en contrat avec eux, etc.)
Aucune réactivité, aucun service client et suivi, délai de réponse en cas de soucis extrêmement long...leurs salariés répondant au téléphone sont incompétents et n'ont aucun pouvoir de gestion ou décision!!! C'est honteux.</t>
  </si>
  <si>
    <t>13/04/2019</t>
  </si>
  <si>
    <t>catherine-57592</t>
  </si>
  <si>
    <t xml:space="preserve">Mutuelle à fuir absolument, j'ai un contrat individuel depuis octobre 2013. Mes cotisations ont augmenté de 42 % en 5 ans. La direction du service client est incompétente et visiblement semble trouver inutile de répondre à ses adhérents, ce qui est inacceptable. De fait j’ai été dans l’obligation  de procéder à une opposition bancaire dès janvier  2019.  Malgré tout, toujours pas de réponses  depuis novembre 2018 pour connaitre les causes de ces augmentations irrationnelles. Augmentations qui n’ont rien à voir avec l’âge ou l’augmentation des frais de santé.
Harmonie mutuelle (groupe VYV) oublie tout simplement quelles sont ces attributions et devoirs envers ses adhérents. 
</t>
  </si>
  <si>
    <t>02/04/2019</t>
  </si>
  <si>
    <t>p45-69774</t>
  </si>
  <si>
    <t>Prix raisonnables mais il manque quand même certains types de prise en charge. Bon accueil en agence. Nul en messagerie : ne répond jamais aux mails depuis votre espace client.</t>
  </si>
  <si>
    <t>23/03/2019</t>
  </si>
  <si>
    <t>titou-72371</t>
  </si>
  <si>
    <t xml:space="preserve">Mutuelle bidon qui pense d'abord à ses profits plutôt qu'à ses assurés. Les restes à charge sur l'optique et les soins dentaires sont très très importants. </t>
  </si>
  <si>
    <t>21/03/2019</t>
  </si>
  <si>
    <t>carine81-72099</t>
  </si>
  <si>
    <t>Une fois souscrit impossible de l arrêté malgré recommandé,appel et passage en agence résiliation pour souscription mutuelle entreprise obligatoire du coup obligé de bloquer leur prélèvement bref ne rien signer chez eux car par la suite vous ne pourrez plus arrêté</t>
  </si>
  <si>
    <t>hm-72053</t>
  </si>
  <si>
    <t xml:space="preserve">Fuyez !!!! Une mutuelle d'une réactivité déplorable, refus de résiliation malgré les multiples recommandés attestant du respect des conditions de résiliation. Une plateforme téléphonique d'une incompétence sans égal. Des prix qui augmentent et qui sont plus onéreux qu'une agence locale avec de vrai assureurs compétents et qui sont en mesure de répondre a vos demandes. APCR a du travail... </t>
  </si>
  <si>
    <t>11/03/2019</t>
  </si>
  <si>
    <t>marion88-71380</t>
  </si>
  <si>
    <t>J'ai quitté mon entreprise et depuis je bénéficie de l'année de portabilité de ma mutuelle. Depuis, je ne rencontre que des soucis avec cette mutuelle. Je porte des réclamations toutes les semaines. Mes deux anfants ne sont toujours pas affiliés, j'ai pourtant tout fait en bon et du forme. Cela fait des mois qu'ils doivent corriger la date de naissance de ma fille (née en octobre... nous sommes en février...) qui de fait ne voit aucun remboursement de ses soins de santé. Quant à moi, je n'aurai soi-disant pas remis les justificatifs nécessaires à la portabilité. Je leur ai fait parvenir par courrier postal puis via mon espace personnel. Depuis la situation s'enlise. Je recois régulièrement des courriers me réclamant de rendre les sommes remboursées. Je continue mes appels téléphoniques hebdomadaires pour leur faire valoir mes droits. Il n y a aucun remboursement fait en temps et en heure. Il ya également des énormités dans le montant des remboursements. Leur service client ne sert que de filtre. Je ne recommande pas du tout cette mutuelle, qui est la première à me poser problème. A croire qu'il s'agit de leur politique de noyer les remboursements de soins sous de prétendues problématiques administratives. De mon côté tout est clean. Du leur, je crois qu'à en voir la satisfaction de leurs clients, ils peuvent arrêter leur activité demain.</t>
  </si>
  <si>
    <t>17/02/2019</t>
  </si>
  <si>
    <t>ced-71016</t>
  </si>
  <si>
    <t>Déçu par cette mutuelle...pas reçu de carte pendant plus de 3 ans, obligé de faire plusieurs demandes pour enfin en recevoir une. Je demande aujourd'hui un devis pour une augmentation de garanties, on me répond sèchement qu'il y a un délai de carence de 6 mois ! "C'est le jeu de la Mutuelle", dixit la conseillère... Je n'ai qu'une envie, résilier mon contrat mais là encore tout est compliqué. Bref, aucune écoute, aucun sens commercial, des tarifs élevés pour le niveau de garanties...à éviter !</t>
  </si>
  <si>
    <t>06/02/2019</t>
  </si>
  <si>
    <t>lepointeur-70977</t>
  </si>
  <si>
    <t>Client depuis plusieurs années je n'ai pas de reproches à faire à Harmonie Mutuelle bien au contraire. Cette mutuelle est toujours à l'écoute de ses adhérents et comme il n'y a pas d'actionnaires tous les bénéfices sont réinvestits</t>
  </si>
  <si>
    <t>unassure-70520</t>
  </si>
  <si>
    <t xml:space="preserve">Un service client inexistant et impossible à joindre, ne répond pas aux mail et envoi des courrier pour refuser certaines garanti (dans mon cas la prime naissance) avec des justifications farfelus ! Un client mécontent </t>
  </si>
  <si>
    <t>23/01/2019</t>
  </si>
  <si>
    <t>juliettejuju-70458</t>
  </si>
  <si>
    <t>toujours très bon accueil par teléphone ou en agence.carte toujours fournie en temps.</t>
  </si>
  <si>
    <t>22/01/2019</t>
  </si>
  <si>
    <t>paslerro35-70426</t>
  </si>
  <si>
    <t>ccueil détestable, méprisant, conseillers clients incompétents, et n'acceptent pas les remarques et les critiques</t>
  </si>
  <si>
    <t>21/01/2019</t>
  </si>
  <si>
    <t>unemadame007-68862</t>
  </si>
  <si>
    <t>NUL, 
J'ai eu en certain Matthieu au téléphone, qui ne comprend pas ce qu'on lui dit et se permet d'être désagréable. Je n'ai pas été remboursé pendant un an grâce à leur incompétence car bloquant la télétransmission. La seul réponse que j'ai eu c'est que je n'avais qu'à envoyer les papiers à la nouvelle Mutuelle... Non Mr ce n'est pas comme ça que cela fonctionne. C'est Harmonie Mutuelle qui a commis une erreur en ne faisant pas le nécessaire lors de ma demande de résiliation.</t>
  </si>
  <si>
    <t>23/11/2018</t>
  </si>
  <si>
    <t>roger-49967</t>
  </si>
  <si>
    <t>A fuir le plus vite possible des incapables qui ne savent pas travailler correctement vous réclame de sou disant trop perçus plus de 2 ans au part avant  J'ai 56 ans je ne suis pas a ma première mutuelle c'est la première foie que je vois cela. se n'ai pas la première foie qu'il me réclame des soi-disant somme remboursée a tord et si il font des erreurs dans se sens la je suis certains qu'il oublie de vous rembourser de temps en temps. d'autre collègue ont hu la mème mauvaise aventure je vais réclamer a ma protection juridique quelle suite a donner a cette affaire je ne vous déconseille surtout pas cette mutuelle au lieu de dépenser de l'argent pour faire de la pub sur internet harmonie mutuelle devrait payer a son personnel des formation pour apprendre a travailler correctement. pour moi cette mutuelle est obligatoire dans l'entreprise ou je travaille(STG) mais je vais leur signaler cette mésaventure Je suis bientôt a la retraite et je change de mutuelle dès le mois de septembre</t>
  </si>
  <si>
    <t>05/10/2018</t>
  </si>
  <si>
    <t>sedire-66318</t>
  </si>
  <si>
    <t>Je préfère de loin PROBTP mais obligée ...pff c'est  la nouvelle mutuelle de mon entreprise .</t>
  </si>
  <si>
    <t>21/08/2018</t>
  </si>
  <si>
    <t>remiv-66301</t>
  </si>
  <si>
    <t>Jusqu'en décembre 2017 j'étais très satisfait. Seulement depuis que j'ai du souscrire à la mutuelle OBLIGATOIRE de mon entreprise, c'est du grand n'importe quoi. Aucune prise en compte de la situation du client. Je suis apprenti et malheureusement qui dis apprenti dit que je n'ai pas forcément beaucoup de revenu. Franchement... ça fait 10 mois que je paye deux mutuelles en même temps et c'est peu dire que de vous assurer que mon portefeuille n'apprécie pas du tout. Aujourd'hui encore je ne sais pas quand mon contrat sera résilié, peut-être aurais-je cela comme cadeau de noël...</t>
  </si>
  <si>
    <t>lilite-65900</t>
  </si>
  <si>
    <t>Le 15 mai j'ai envoyé un devis dentaire pour savoir mon taux de remboursement, à ce jour, 30 juillet, et malgré mes relances, toujours aucune réponse.....</t>
  </si>
  <si>
    <t>31/07/2018</t>
  </si>
  <si>
    <t>carine-65867</t>
  </si>
  <si>
    <t>Je n'ai jamais vu une mutuelle avec aussi peu de cas de résiliation avant terme
Perte de travail,vous devez continuer à payer
Pacs ou mariage, vous devez continuer à payer
Déménagement, voys devez continuer à payer
Je ne recommande pas cette mutuelle
Ils savent bien pour attirer, mais impossible d'en partir avant l'échéance
Je suis vraiment déçue de cette mutuelle,</t>
  </si>
  <si>
    <t>30/07/2018</t>
  </si>
  <si>
    <t>jen-64848</t>
  </si>
  <si>
    <t>Ne pas adhérer à cette mutuelle ce fous de ses clients, les services concernés sont bizarrement toujours fermé. Ne retire aucune cotisation pendant 5 mois et décide de retiré 379€ d'un coup, et alors les soins dentaire jamais remboursé!!</t>
  </si>
  <si>
    <t>18/06/2018</t>
  </si>
  <si>
    <t>pl-64352</t>
  </si>
  <si>
    <t>impossible de les contacter</t>
  </si>
  <si>
    <t>31/05/2018</t>
  </si>
  <si>
    <t>ebellia-63974</t>
  </si>
  <si>
    <t xml:space="preserve">Un manque de conseillers flagrant au téléphone, un très mauvais service : vous patientez, vous patientez, jusqu'à 10 minutes, puis lorsqu'on vous répond, vous n'avez pas le temps de dire une phrase que la communication est coupée. En fait, personne n'est joignable et ce dés le lundi matin ! </t>
  </si>
  <si>
    <t>14/05/2018</t>
  </si>
  <si>
    <t>tachna-63297</t>
  </si>
  <si>
    <t xml:space="preserve">Impossible de résilier ma mutuelle totalement. Ils continuent de facturer une protection hospitalière alors que ma demande portait sur un seul contrat portant un seul et même numéro. Ils me disent ne pas avoir résilier certaines annexes au contrat parce que je ne les ai pas mentionnées dans ma lettre!!! Honteux, c'est du dole. Cette pratique est totalement illegale... </t>
  </si>
  <si>
    <t>16/04/2018</t>
  </si>
  <si>
    <t>babouin-62934</t>
  </si>
  <si>
    <t>Une mutuelle à éviter. N'envoie pas la carte dans les délais, parfois cela peut prendre des mois. Ce qui, à l'heure d'internet est incompréhensible. Vous dise des sornettes du style, ce n'est pas grave les médecins acceptent d'attendre jusqu'à réception de la carte. Pour ma part, maintenant, je préviens que j'entamerai une procédure de renonciation si je n'ai pas reçu de carte dans les 12 jours,. Jusqu’à ce que je trouve une mutuelle efficace et compétente.</t>
  </si>
  <si>
    <t>04/04/2018</t>
  </si>
  <si>
    <t>jennifer63-62349</t>
  </si>
  <si>
    <t>A fuir,
Je suis "couverte" par harmonie car c'est la mutuelle obligatoire de mon conjoint
Adhérente depuis aout 2017 les problèmes avec cette entreprise n'ont fait que s'accumuler d'abord la carte de mutuelle qui arrive en novembre on aurait du l'avoir en aout pour excuse "ah bon c'est bizarre" il a fallut venir 3 fois en agence pour l'obtenir
Et maintenant il me mene en bateau pour ne pas me rembourser des soins dentaire classique "carie"
Premiere excuse : il nous faut le décompte de la sécurité sociale (merci de prévenir au bout d'un mois)
Deuxième excuse : il nous faut les factures du dentiste
3 eme excuse : ca va bientot etre viré
Effectivement j'ai reçu un virement de 15 euros sur 60 euros !!!! Je lui explique que ca doit etre 100 % elle me repond ca doit venir de la secu qui vous a rembourser deja,  manque de bol je n'avance pas les frais de secu
C'est donc impossible 
4 eme excuse oui on a fait le virement 
J'explique que j'ai rien reçu 
Je pete littéralement un cable au téléphone 
Elle menvoie sur une plateforme et la 5 eme excuse et non des moindre : ah oui oui effectivement ca a été envoyer mais le virement  est restée bloqué, c'est un problème informatique, semaine prochaine se sera bon 
J'aurais vu les commentaires avant j'aurais adhéré a ma propre mutuelle d'entreprise. Je vais appeler tous les jours pour avoir gain de cause et je vais tout faire pour avoir le directeur au telephone
Je pense commencer a entamer une procedure pour les envoyer au tribunal tant cela m'agace d'être prise pour un pigeon 
Peut etre cela serait possible de regrouper nos plaintes ensemble et faire fermer cette assurance de la honte
Ne pas se laisser marcher dessus</t>
  </si>
  <si>
    <t>15/03/2018</t>
  </si>
  <si>
    <t>mellocat-62234</t>
  </si>
  <si>
    <t>Horrible!</t>
  </si>
  <si>
    <t>12/03/2018</t>
  </si>
  <si>
    <t>taria-62225</t>
  </si>
  <si>
    <t xml:space="preserve">service client hautain, irrespectueux, nous raccroche au nez, tarde a nous répondre sur nos devis surtout en été car la moitié est en congés donc ils se permettent de vous annoncer 15 jours puis vous dire bein nous sommes en effectif réduit à cause des congés. ils ne veulent pas faire leur travail et nous renvoi vers les secrétaires des médecins pour faire des cotations alors que c'est le métier de l'assureur santé. même en urgence, aucune réponse à votre devis, il faut attendre, attendre et attendre. aucune empathie avec les adhérents. le prix n'est pas donné non plus. il faut même payer plus cher et avoir un traitement correct. les conseillers ont le devis sous les yeux et vous posent des questions dont les réponses sont notés sur le devis. une blague ! </t>
  </si>
  <si>
    <t>coleen-62089</t>
  </si>
  <si>
    <t>Je me suis rendu compte en février que mes cotisations n'étaient pas prélevées, j'appelle et on me dit "ah oui vos cotisations n'ont pas été calculées pour 2018", on s'en occupe, les 2 cotisations seront prélevées en février, rien, et là je reçois 3 cotisations à payer d'un coup en mars, pas d'excuses sur la lettre, rien. J'appelle on me dit problème informatique, ce n'est pas ce qu'on m'a dit en février et bien sur aucun geste commercial. Bravo Harmonie Mutuelle.</t>
  </si>
  <si>
    <t>07/03/2018</t>
  </si>
  <si>
    <t>caro31400-61799</t>
  </si>
  <si>
    <t>Honnêtement à part le prix compétitif, par rapport à d'autres mutuelles, c'est une catastrophe ! Je suis fortement déçue, j'ai été chez eux pendant plus d'un an sans aucun soucis. 
J'ai clôturé mon contrat de travail en Octobre dernier, je devais donc fournir une attestation, mais aucun courrier ni mail ne m'en a informé. Je me suis retrouvée un long moment sans aucun remboursement de leur part. Quand j'ai constaté ce problème, j'ai donc appelé et j'ai eu une conseillère particulièrement désagréable au téléphone... Madame préférait que je fasse les démarches en ligne plutôt que par téléphone car "tout le monde fait comme ça aujourd'hui". A se demander pourquoi un salaire est versé et un standard téléphonique installé voyons... J'ai donc retourné le document en ligne, avec les fiches de soins de la CPAM, comme demandé. Résultat un courrier au bout de quelques jours (bizarrement) pour enfin me dire, après 4 mois, que l'attestation était manquante sur mon compte et me disant également que l'on ne me rembourserait pas suite à cela. Je précise que j'avais fournis l'attestation quelques jours avant... Bonne gestion des documents reçues en tout cas. Enfin ça dépend lesquels... j'ai pris contact via facebook, la réponse a mis plusieurs jours à arriver et par message sur mon compte je n'ai aucun retour (compte qui n'est pas clair du tout d'ailleurs, puisque c'est une horreur pour retrouver l'historique des mails et si c'était que ça...).
Breeef.... la très nette sensation qu'ils pratiquent un peu beaucoup la politique de l'autruche.</t>
  </si>
  <si>
    <t>27/02/2018</t>
  </si>
  <si>
    <t>cricri-61151</t>
  </si>
  <si>
    <t xml:space="preserve">Très mauvais suivi. Mauvais contact avec certains chargés de clientèle. Mes parents sont Clients depuis 50 ans, jamais aucun appel pour réajuster les contrats et le jour où ils sont hospitalisés on s’apercoit que la chambre individuelle est très peu couverte. Un premier appel 
, le jour de l’hospitalisatio, ou l’on nous  propose une nouvelle cotisation, mais avec 3 mois de carence. Un second  appel après la sortie de l’hopital pour revoir les contrats et là on nous dit, mais il n’y a jamais de carence chez HARMONIE . Mais maintenant c’est trop tard, vous êtes sortis de l hôpital ... charmant!  aucun responsable à qui parler, pas de geste commercial. </t>
  </si>
  <si>
    <t>05/02/2018</t>
  </si>
  <si>
    <t>bazire-60812</t>
  </si>
  <si>
    <t>une mutuelle qui ne respecte pas ses clients cela fait 4 mois que l'on me balade raz le bol aucune nouvelle</t>
  </si>
  <si>
    <t>25/01/2018</t>
  </si>
  <si>
    <t>rogers-60672</t>
  </si>
  <si>
    <t xml:space="preserve">Ne suis pas pris en charge depuis le début du mois de janvier car sont en retard dans le traitement des dossiers en portabilité. Suis en attente pour refaire les verres de mes lunettes alors que mon ancienne entrepris règle les cotisations. Une honte. Je n'ai jamais vu un tel niveau de service. </t>
  </si>
  <si>
    <t>20/01/2018</t>
  </si>
  <si>
    <t>alexis75020-59717</t>
  </si>
  <si>
    <t>Je suis chez Harmonie Mutuelle pour le RSI et pour la partie complémentaire. Je ne vous cache pas que c'est un double enfer.
Alors qu'ils appartiennent à la même entité, le RSI et la complémentaire sont incapables de communiquer. Je demande un renseignement à l'un, on me répond qu'il faut demander à l'autre. Et ainsi de suite.
De plus, les remboursements sont généralement difficiles à obtenir et il ne faut pas hésiter à les relancer afin de recevoir quelque chose. 
Et lorsqu'enfin on arrive à avoir une réponse, celle-ci est tellement technique et impersonnelle qu'on préfère ne pas poursuivre. 
J'envisage d'aller voir ce qu'il se fait ailleurs d'ici peu. Seule une prise de contact avec un conseiller à l'écoute, clair et compétent pourrait me faire changer d'avis. Mais j'ai des doutes.</t>
  </si>
  <si>
    <t>15/12/2017</t>
  </si>
  <si>
    <t>lol-59598</t>
  </si>
  <si>
    <t>Cela fait plus 1 ans que j'attend mon remboursement pour une chirurgie réparatrice que j'ai du réaliser, mais cette société est incapable de garder des documents qu'on leur transmet je compte porter plainte car c'est se moquer des gens ! j'espère qu'il vont trouver une solution rapidement.</t>
  </si>
  <si>
    <t>12/12/2017</t>
  </si>
  <si>
    <t>Catherine
Complémentaire santé à fuir absolument, le constat est accablant. Aux différents éléments désastreux rapportés par les autres adhérents s'ajoute l'utilisation de méthodes douteuses  quant aux garanties des contrats. L’impossibilité d'obtenir des devis chiffrés et leur refus de se soumettre à leur obligation d'information au profit de leur soi-disant médiateur. J'aurai noté 0 si cela était possible.</t>
  </si>
  <si>
    <t>26/09/2017</t>
  </si>
  <si>
    <t>fanny-57574</t>
  </si>
  <si>
    <t>Incapacité à traiter un dossier un peu compliqué, délai d'enregistrement inadmissible mais prélèvement en temps et en heure</t>
  </si>
  <si>
    <t>25/09/2017</t>
  </si>
  <si>
    <t>miachel2003-57542</t>
  </si>
  <si>
    <t>Arrêt de travail un jour de retard, je ne pouvais pas l'envoyer avant on vous en enlève 4 jours la honte</t>
  </si>
  <si>
    <t>23/09/2017</t>
  </si>
  <si>
    <t>juju13-57061</t>
  </si>
  <si>
    <t>Je ne recommande à personne cette mutuelle qui est catastrophique. Énormément de problèmes avec eux,erreur de compte pour les remboursements, signature d'un contrat qui n'a jamais été enregistré, actuellement aucun remboursement depuis janvier.Obligée de se déplacer constamment et de vérifier chaque dépense.Au prix où on la paie c'est absolument lamentable ! Je vais changer de mutuelle,je ne pourrai jamais trouver pire.</t>
  </si>
  <si>
    <t>03/09/2017</t>
  </si>
  <si>
    <t>marieelisa-56965</t>
  </si>
  <si>
    <t>Mutuelle à éviter, incapable de gérer même un dossier simple. 
Harmonie mutuelle est capable de vous donner jusqu'à 3 réponses différentes sur un même dossier pour finir par payer (du moins je l'espère)</t>
  </si>
  <si>
    <t>30/08/2017</t>
  </si>
  <si>
    <t>serenite06-55324</t>
  </si>
  <si>
    <t xml:space="preserve">Impossible d obtenir un remboursement dentaire refusé de me dire si recu les documents envoyés me réclament le décompte sécurité sociale alors qu il est bien spécifié par la sécu que ce document a été transmis à la mutuelle 
Nous sommes très mal recu au téléphone, mon interlocutrice me prends pour une demeurée et m'a raccrochée au téléphone des que je lui ai demandé son nom afin d'envoyer un recommandé à sa direction 
Je ne sais plus quoi faire pour obtenir le remboursement de mes frais dentaires 
J'ai bien envie de changer de mutuelle </t>
  </si>
  <si>
    <t>13/06/2017</t>
  </si>
  <si>
    <t>testcd-55272</t>
  </si>
  <si>
    <t>Ne savent pas gérer les situations particulières...encore une fois des grosses plateformes derrière qui suivent mal les dossiers. Obliger de réexpliquer tous les mois sa situation. Ils sont bloqués sur leurs procédures et ne savent pas traiter du coup.</t>
  </si>
  <si>
    <t>10/06/2017</t>
  </si>
  <si>
    <t>marie-53609</t>
  </si>
  <si>
    <t xml:space="preserve">Quand je lis nous avons tous le même problème personnellement soit disant j'ai un dossier incomplet manque mon attestation cpam si dossier incomplet pourquoi me prélever et pourquoi pas de courrier pour avertir les adhérents? A ce jour toujours pas de remboursements depuis mon adhésion j'en n'ai eu des mutuelles mais celle la c'est la PIRE des PIRES. Vous avez une conseillère au téléphone incapable de répondre à nos questions désagréable qui vous ne laisse pas terminer vos phrases et coupe la conversation SCANDALEUX. </t>
  </si>
  <si>
    <t>27/03/2017</t>
  </si>
  <si>
    <t>jiji45-53440</t>
  </si>
  <si>
    <t>publicites mensongeres,retards voir absence des remboursements,augmentations importantes des cotisations sans prévenir ,seuls les petits remboursements sont effectues dans des delais convenables ,des que les sommes sont importantes on ne voit plus rien venir.</t>
  </si>
  <si>
    <t>21/03/2017</t>
  </si>
  <si>
    <t>cihan26-53017</t>
  </si>
  <si>
    <t xml:space="preserve">De loin la pire mutuelle que j'ai eu. Les délais sont inadmissibles, j'attends ma nouvelle carte depuis 3 mois. Il faut les appeler leur écrire c'est usant. </t>
  </si>
  <si>
    <t>06/03/2017</t>
  </si>
  <si>
    <t>greg-52652</t>
  </si>
  <si>
    <t xml:space="preserve">fuyez cette mutuelle !!! 
</t>
  </si>
  <si>
    <t>22/02/2017</t>
  </si>
  <si>
    <t>jol-51949</t>
  </si>
  <si>
    <t>Nous sommes très déçus, ils ne veulent pas rembourser les lunettes de mon fils de 4.5 ans qui doit en changer tous les 6 mois vu que sa vue bouge et malgré une nouvelle correction de l'ophtalmo. Mon opticien qui fait partie du réseau Kalivia fait des pieds et des mains pour obtenir la prise en charge mais toujours rien. C'est une mutuelle prise par l'employeur de mon mari. On va les faire intervenir aussi car c'est inadmissible que pour un enfant dont la vue bouge au moins jusqu'à 7 ans, que cette mutuelle ne veulent rembourser qu'une paire de lunettes pas an malgré le changement de correction. Si rien n'est fait pour nous, on change de mutuelle, on va pas se battre avec eux tous les 6 mois !!!!</t>
  </si>
  <si>
    <t>mickael-carvalho-51077</t>
  </si>
  <si>
    <t xml:space="preserve">bonjour, si j'avais su je n'aurais pas pris ma mutuelle et celle de ma famille chez vous !! En effet, je viens d'apprendre que le changement de lunettes de mon fils qui doit en changer tous les 6 mois n'est pas pris en charge car certaines personnes qui ne sont pas dans le besoins en ont décidé !! Car dorénavant une prise en charge sera effectué seulement 1 fois par an pour les enfants. Pourquoi payer une mutuelle qui n'est pas capable de faire ce qu'on lui demande !! 
Je paye 128 euros de mutuelle par mois pour moi, ma femme et mes 2 enfants dans l'espoir d'avoir une bonne prise en charge et je ne peux que constater qu'il n'en n'est rien !!! 
Dans l'attente d'une explication faisant preuve de bon sens venant de votre part je vous préviens que si aucune réponse de votre part ne m'est communiqué, je prendrai une décision irrévocable, la résiliation !!    </t>
  </si>
  <si>
    <t>08/01/2017</t>
  </si>
  <si>
    <t>maurice-50118</t>
  </si>
  <si>
    <t>Le service client est d'une incompétence et d'une inefficacité TRÈS rare. Embauché depuis août, j'ai été dans l'OBLIGATION de souscrire chez harmonie mutuelle suite aux accords de l'employeur alors que j'étais très satisfait depuis plusieurs années de mon ex-prestataire. Le document de souscription que j'ai signé et transmis accompagné d'un RIB spécifiait un prélèvement mensuel le 5 de chaque mois. 3 mois plus tard malgré les relances de mon employeur aucun prélèvement n'avait été fait. En novembre je reçois une lettre recommandée avec AR me faisant part de ma radiation si non paiement des cotisations dues et de celle de décembre. Après un appel sur leur plateforme, ma correspondante me demande de régler par CB et de joindre A NOUVEAU un RIB, le tout sous pli recommandé avec AR -encore des frais- Ce que fis contraint et forcé. Bien évidemment pas de geste commercial pour la gêne occasionnée. Je reçois ce jour un appel à cotisations pour 2017 et bien, je vous le donne en mille.......................ILS ME DEMANDENT UN RÈGLEMENT PAR CHÈQUE TOUS LES TRIMESTRES. !!!!!!!!!!!!!! Cette fois la coupe est pleine, je vais une fois encore leur dire qu'il ne tiennent pas leurs engagements. Qu'est ce que se sera quand il y aura des remboursements?????? Je pense que je vais fédérer autour de moi pour que notre Directeur et notre délégué refassent un appel d'offre auprès d'autres assureurs.</t>
  </si>
  <si>
    <t>10/12/2016</t>
  </si>
  <si>
    <t>virginie-50017</t>
  </si>
  <si>
    <t xml:space="preserve">Cherche les complications pour donner réponse dans mon devis de dépassement d'honoraires. Ils demandent des détails d'honoraires alors qu'ils savent très bien que les détails sont donnés plus tard lors de la facture. La secrétaire de mon chirurgien me dit" ah harmonie mutuelle pose toujours soucis cherche des broutilles etc.. Alors Qu'avec les autres mutuelles nos devis ne posent  jamais de problème!!! "
Moi je compte résilier après mon intervention de demain.
</t>
  </si>
  <si>
    <t>biche-49945</t>
  </si>
  <si>
    <t>Inadmissible de ne pas être remboursée de mes frais de santé depuis le 24 Février 2016
Problème informatique fusion harmonie Atlantique via harmonie mutuelle.Paye 2144€annuel de cotisation.j'attends le bon vouloir de vos services qui me répondent faire le nécessaire .inadmissible pour une caisse qui prétend être la meilleure.
Mes mensualités sont en revanche prelevées tous les mois. Trés déçue par vos services .</t>
  </si>
  <si>
    <t>06/12/2016</t>
  </si>
  <si>
    <t>milou-138659</t>
  </si>
  <si>
    <t xml:space="preserve">Bonjour,
Suite au décès du mari je voulais connaître le suivi du contrat, j'ai envoyé différents messages et appels  sans réponses.
Il faisait partie d'une mutuelle de groupe et quand la personne décède , toute les personnes  qui sont sur le contrat s'arrête, sans information préalable. Nous avons la surprise désagréable lors d'un décompte de la CPAM et avec les désagréments.
Je ne recommanderai pas votre mutuelle auprès des entreprises ni même aux
particuliers
</t>
  </si>
  <si>
    <t>Mercer</t>
  </si>
  <si>
    <t>31/10/2021</t>
  </si>
  <si>
    <t>patberm-138035</t>
  </si>
  <si>
    <t>Mutuelle d'entreprise, donc obligatoire! Elle chère et ne rembourse pas grand chose!
Le comble je me bat depuis des mois pour me faire rembourser des visites médicales qui trainent depuis plus d'un an. Téléphones, courrier, courrier avec RC, et des remboursements partiels. Maintenant ils ne sont plus joignables, le COVID certainement!
Mutuelle à proscrire, mais on ne peut pas partir, c'est ce que l'on appelle la LIBERTE!</t>
  </si>
  <si>
    <t>22/10/2021</t>
  </si>
  <si>
    <t>guzzi71-130873</t>
  </si>
  <si>
    <t xml:space="preserve">Une honte A fuir comme la peste Aucun service Aucune considération pour le client 
Une mutuelle qui vit pourtant des cotisations de ses adherents . Même si je dois payer plus cher je quitte le navire 
</t>
  </si>
  <si>
    <t>02/09/2021</t>
  </si>
  <si>
    <t>delph-130378</t>
  </si>
  <si>
    <t>Impossible de se faire rembourser des prestations hospitalière. Ça fait une semaine que j'essaye de déposer les factures sur leur site. Toujours le même message "une erreur est survenue ". Et pas possible de les joindre.</t>
  </si>
  <si>
    <t>lg-129721</t>
  </si>
  <si>
    <t xml:space="preserve">Tout est fait pour vous décourager ...........
Le service internet / La connexion / On vous raccroche lors de vos appels / Factures non payées / Rien fonctionne / Suivre vos remboursement devient une activité à plein temps 
 </t>
  </si>
  <si>
    <t>27/08/2021</t>
  </si>
  <si>
    <t>ailohdy-128596</t>
  </si>
  <si>
    <t>Ah oui c'est pas cher ! (Une 20aine d'euros pour la famille) mais vu qu'il faut pleurer pour avoir un moindre remboursement, et connaître les lois pour ne pas qu'ils nous la mettent à l'envers merci le service... Quand au service client, au téléphone ils ne savent pas quoi répondre 1 fois sur 2 et pour avoir une réponse sur la messagerie en ligne... Prenez votre mal en patience ! C'est vraiment parce que c'est une mutuelle entreprise et qu'on n'a pas le choix d'y être...</t>
  </si>
  <si>
    <t>19/08/2021</t>
  </si>
  <si>
    <t>christophe-126848</t>
  </si>
  <si>
    <t xml:space="preserve">Mutuelle a bannir !!!
un service nullissime avec une réactivité inexistante et un manque total de considération auprès de leurs clients.
De plus Mercer prélève de manière abusive, pour ma part Mercer m'a prélevé la somme de 363,00 € sur mon compte bancaire, sans même me contacter pour s'excuser et à mis pratiquement un mois à me rembourser: 
Prélèvement le 17 mai, remboursement du trop perçu le 9 juin.
Sachant que mon employeur et moi même payions 100,22€ sur ma fiche de paie et que Mercer prélève en plus 50,73€ par mois sur mon compte bancaire.  </t>
  </si>
  <si>
    <t>06/08/2021</t>
  </si>
  <si>
    <t>famillegirard4-122021</t>
  </si>
  <si>
    <t>Très décue de cette mutuelle qui met un temps fou à rembourser, pour laquelle j'ai du avancé mes frais optiques alors que mon opticien est Itélis comme le souhaite la mutuelle. Ils ne répondent pas à mes messages sur mon compte Mercernet !
C'est incompréhensible et je perds un temps fou alors qu'ils ont tous les éléments et que je suis assurée pour. C'est juste scandaleux et je compte faire remonter l'information auprès de leur direction.</t>
  </si>
  <si>
    <t>antoinesci-117476</t>
  </si>
  <si>
    <t>Cette société MERCER est à fuir. le personnel et l'absence de service est consternante.
Je suis en portabilité et donc au chômage et je me bas littéralement avec eux pour obtenir les remboursements.
Aucune réponse sur les réclamations, les appels sur le standard ne servent à rien car les opérateurs n'ont pas la main sur les dossiers, ce sont des passes plats qui ne peuvent rien faire a part envoyer des mails de relances aux équipes du centre de gestion.
Pour ma part, j'attends un remboursement de frais depuis décembre, des remboursement pour mars, avril, mai. J'appelle 3 x par semaine, et on dit toujours que ça arrive sous 5 jours et les semaines, mois passent. Mais rien.
Aucun respect des clients. on me dit qu'on me rappelle et qu'on me fait des mails et toujours rien...
L'attente au téléphone est tjr annoncée à supérieur à 10min et on arrive à joindre qq1 au bout de 20min seulement, c'est scandaleux.
La prochaine étape est de se rendre sur place pour demander des comptes et de dénoncer leur façon de faire auprès d'un médiateur.</t>
  </si>
  <si>
    <t>brunon-117416</t>
  </si>
  <si>
    <t>Temps de traitement des devis extraordinairement long, gestion des demandes et remboursement des frais pris en charge par la mutuelle catastrophiques, dommage que le zéro dans la notation ne soit pas possible!</t>
  </si>
  <si>
    <t>17/06/2021</t>
  </si>
  <si>
    <t>romb29-117179</t>
  </si>
  <si>
    <t>Mutuelle difficile à joindre. Délai de traitement extrèmement long (par exemple : presque 1 an pour obtenir la première carte d'affilié). Si un problème se pose (lien CPAM, pièce manquante, etc), il ne vous contacte pas pour vous informer et essayer de trouver une solution. Pas du tout recommandable.</t>
  </si>
  <si>
    <t>mab-117178</t>
  </si>
  <si>
    <t>Un seul mot á dire LAMENTABLE,  depuis le début de l'année aucune réponse sur rois différents problemes, un accueil téléphonique qui ne sert à rien toujours les mêmes réponses qui ne font pas avancer les dossiers.
Plusieurs  fois les interlocuteurs de Mercer nous ont raccroché au nez.
Nous vous rappelerons sous 15 jours évidemment personne ne vous rappelle.
Depuis maintenant plus d'un an le service Mercer est lamentable plus de deux mois pour rembourser 154 euros de lentilles.
Par contre les augmentations sont toujours régulières ??
Je ne tiens pas à vous écrire ce mail d'une façon anonyme, j'assume totalement mes propos.</t>
  </si>
  <si>
    <t>laura28-117100</t>
  </si>
  <si>
    <t xml:space="preserve">Jamais joignable ça coupe au bout de 30minutes d attente. Ie site est tout le temps en panne. Je ne suis jamais remboursée. Médiocre je vais résilier. </t>
  </si>
  <si>
    <t>nath78-116884</t>
  </si>
  <si>
    <t>Cette mutuelle est une catastrophe.
Elle est très peu profesionnelle , ne répond jamais à nos problèmes , très longue en remboursements quand ils sont réalisés à l'étranger , comme les test PCR par exemple pour lesquels j'attends depuis des mois .
On ne peut pas les joindre par tel non plus.
A fuir , j'ai eu de nombreuses mutuelles mais celle ci est la pire de toutes...</t>
  </si>
  <si>
    <t>13/06/2021</t>
  </si>
  <si>
    <t>pao95-115773</t>
  </si>
  <si>
    <t xml:space="preserve">Que dire de plus ! Honteux sur toute la ligne ! Au vu de tout ce que je viens de lire et qui recoupe ma malheureuse expérience avec Mercer, je décide d'en informer officiellement mon employeur. Mépriser les adhérents de la sorte, ça ne peut plus durer ! Le Covid ne peut pas tout excuser. </t>
  </si>
  <si>
    <t>lili45240-115089</t>
  </si>
  <si>
    <t xml:space="preserve">Mon avis rejoint ceux que je viens de lire. Clients depuis 2015 par obligation de l'employeur de mon mari, nous étions très satisfaits. Effectivement, ça s'est lamentablement dégradé depuis le covid. Beaucoup de problèmes avec les demandes de prises en charge. Service client très difficile à joindre, quand enfin ça décroche, on vous dit oui oui blablabla, ça être fait et puis rien. Aucun suivi !!! Délais beaucoup trop longs mais on vous répond que c'est à cause du covid et du télétravail... Il va être temps de s'y mettre ça fait plus d'un an que ça dure ! Heureusement mon mari va changer d'employeur, j'ai hâte, je suis ravie de changer de mutuelle, ça ne peut pas être pire ! </t>
  </si>
  <si>
    <t>poulpe74-114943</t>
  </si>
  <si>
    <t>Delai trop long pour un remboursement. Décomote sécurité sociale recu depuis 1 mois, et toujours rien, malgré les appels. Mutuelle obligatoire du boulot Super fuyer cette mutuelle</t>
  </si>
  <si>
    <t>olivier-114615</t>
  </si>
  <si>
    <t xml:space="preserve">Mutuelle pas sérieuse ne rembourse pas ses client communication absente fuyez vite Mercer par pitié ne souscrivez pas de contrat chez eux.
Moi je vais les signaler au service consommateur car depuis mars j attend un remboursement et m amuse toute les semaines 
Olivier. </t>
  </si>
  <si>
    <t>23/05/2021</t>
  </si>
  <si>
    <t>lau75-62264</t>
  </si>
  <si>
    <t>Une catastrophe, toujours pas de remboursement 2 mois et demi après une consultation médecin transmise par Ameli et dans le parcours de soin. En plus de cet oubli, pas de réponse à la réclamation envoyée il y a un mois et demi. Pour faire réagir j’envoi un message par jour. Si tout le monde fait pareil Mercer sera obligée de réagir pour éviter l’accumulation et notamment de répondre rapidement aux clients qui emploient cette technique. Cadeau empoisonné cette mutuelle d’entreprise.</t>
  </si>
  <si>
    <t>20/05/2021</t>
  </si>
  <si>
    <t>assure-113762</t>
  </si>
  <si>
    <t>Cette mutuelle mets un temps infini à rembourser. y compris pour les bénéficiaires du contrat.
j'ai déjà relancé pour une facture optique et malgré le fait qu'on m'ait indiqué mettre en paiement la facture, j'attends toujours....
ne conseille surtout pas....</t>
  </si>
  <si>
    <t>14/05/2021</t>
  </si>
  <si>
    <t>maxim-113479</t>
  </si>
  <si>
    <t xml:space="preserve">Délais de traitement inimaginables, qui ne se comptent plus en semaines, mais en mois entiers! Communication difficile: messages restent sans réponse et sans action. </t>
  </si>
  <si>
    <t>emodeste-112815</t>
  </si>
  <si>
    <t>Service client catastrophique ! Des opérateurs pas formés, incompétents, qui débitent des inepties au téléphone et qui se permettent de s’énerver contre vous parce que vous avez pas compris l’incompréhensible. Ridicule. Fuyez !!</t>
  </si>
  <si>
    <t>lh62320-112773</t>
  </si>
  <si>
    <t xml:space="preserve">Bonjour,
De gros problème de remboursement même avec une demande de prise en charge.
A de multiple reprise j'ai contacté votre organisme leur réponse c'est le covid 19.
Soins dentaires effectuer début mars je ne vois toujours rien venir.(plus de deux mois)
</t>
  </si>
  <si>
    <t>mo-ma-111669</t>
  </si>
  <si>
    <t xml:space="preserve">A éviter, aucune réponse satisfaisante, pas de complément de salaire depuis plus de 3 mois, tu parle d'une mutuelle/prévoyance mdr de quoi laisser les malades et les mettre à la rue surtout, à fuir je déconseille fortement malheureusement pour ma part imposé par l'employeur, je comprends pourquoi aujourd'hui. </t>
  </si>
  <si>
    <t>26/04/2021</t>
  </si>
  <si>
    <t>gisele-111029</t>
  </si>
  <si>
    <t xml:space="preserve">Service lamentable, déplorable, INACCEPTABLE
Mutuelle à EVITER ou à FUIR dès que vous le pouvez
Demandes de remboursements adressées depuis janvier 2021. 
Malgré de nombreuses relances ces demandes ne sont toujours pas traitées (20 AVRIL).
Cette mutuelle n'offre aucun service. Les agents sur la plate forme téléphonique, sont incapables d'apporter une réponse aux demandes. Ils sont simplement là pour faire remonter les réclamations, lesquelles n'aboutissent jamais. Aucune réponse, non plus aux mails pas plus aux courriers. Complètement désespérant.
</t>
  </si>
  <si>
    <t>rokir-110619</t>
  </si>
  <si>
    <t>Service client déplorable
A éviter absolument
Honteux
Ne sait pas répondre aux demander
Incompétents
Aucun suivi
Impossible d'avoir une personne compétente au téléphone</t>
  </si>
  <si>
    <t>marsouin-110469</t>
  </si>
  <si>
    <t>C'est simple : depuis plusieurs mois maintenant il m'est impossible de me connecter à mon compte : invariablement "une erreur est survenue". Donc impossible de déposer de demandes de remboursement. Les adresses mail pour les contacter reviennent en erreur. au téléphone on se fait balader de commercial en service technique</t>
  </si>
  <si>
    <t>15/04/2021</t>
  </si>
  <si>
    <t>gh-109835</t>
  </si>
  <si>
    <t>Faites comme moi.je suis à l'UFC et je les ai sollicités pour que l'association intervienne; qui en plus fera un peu de pub à cette mutuelle fantôme. Il est incroyable que cet organisme puisse encore oeuvrer..enfin, exister ! Ne pas oublier que l'union fait la force!</t>
  </si>
  <si>
    <t>13/04/2021</t>
  </si>
  <si>
    <t>jbg44-110077</t>
  </si>
  <si>
    <t xml:space="preserve">Mutuelle lamentable. Aucun contact, aucune réponse aux demandes formulées par mail ou par téléphone. On sent une forme de mépris vis-à-vis de leurs clients. </t>
  </si>
  <si>
    <t>cd-110047</t>
  </si>
  <si>
    <t>Une mutuelle qui se moque des patients. Des semaines pour obtenir un remboursement. Impossible à joindre. A fuir absolument.
Des conseillers désagréables et incompétents. L'HORREUR absolue.</t>
  </si>
  <si>
    <t>fatigue-109838</t>
  </si>
  <si>
    <t xml:space="preserve">Lamentable sur tous les plans, temps d'attente téléphonique, délais de remboursement , assistance client inexistante,  impossibilité d'avoir un interlocuteur compétent", toujours la même réponse "je fais remonter votre demande et nous revenons vers vous", et rien ne revient .... ou des réponses absurdes. 
Une idée originale : le message d'accueil du service clients propose d'appeler le service informatique !!!! lequel vous renvoie vers le service clients !!!
On voit clairement que MERCER s'est engagé dans une politique  de réduction des coûts au mépris de la qualité du service
</t>
  </si>
  <si>
    <t>carcrawf-109471</t>
  </si>
  <si>
    <t xml:space="preserve">Une véritable catastrophe, il est très compliqué de joindre la mutuelle : aucune réponse aux messages, et quasiment impossible par téléphone. Lorsque par miracle l'appel est pris sur la plateforme téléphonique, on se trouve au contact d'un opérateur qui assure que tout est en ordre, ou à l'inverse qui réclame des papiers qui n'existent pas... Ma mère attend les remboursements d'opérations depuis plus de deux mois. Le dossier est classique, on ne peut plus simple, l'intégralité des justificatifs transmis à leur réception, mais Mercer a réussi à se planter. Si je n'étais pas là pour aider ma mère à récupérer ses remboursements, ce serait complètement perdu. Elle paye tout de même environ 120 € par mois !
Par contre, pour annoncer les augmentations, faire des rattrapages sur l'année précédente, il n'y a aucun retard. </t>
  </si>
  <si>
    <t>magnesium-108274</t>
  </si>
  <si>
    <t xml:space="preserve">Près 4 ans corrects, tout s'est dégradé avec l'annee de portabilité dont j'ai bénéficié suite à un licenciement économique en mars 2019. 
Au moment de ma radiation de MERCER, de nombreux remboursements étaient encore en souffrance, je ne recevais plus de mails de leur part et je ne pouvais plus avoir accès à mon espace client en ligne pour suivre les dossiers et comprendre les blocages.
Depuis septembre 2020, je réclame mon certificat de radiation et les relevés de remboursement 2019 et 2020 auxquels je n'ai plus accès. Mails, lettre RAR, très nombreux appels au service réclamation, rien n'y fait. Les rares réponses par mail sont à côté de la plaque. Pas de réponse à ma lettre recommandée de Janvier 2021. Les conseillers MERCER sont aimables mais leurs actions sont sans effet. Ou bien on me répond sur l'espace en ligne que je ne peux  définitivement plus consulter. Bienvenue en Absurdie !
Les conseillers me disent des choses différentes à chaque appel et me promettent à chaque fois une résolution sous 15 jours max... J'attends toujours !
Je suis dans une impasse, ma nouvelle mutuelle me réclame un certificat de radiation pour rembourser les soins postérieurs à ma radiation... Et je ne peux même pas saisir le médiateur car Mercer n'est pas adhérents de Médiation Assurances. Une idée pour résoudre ce problème ? Merci et bon courage aux autres victimes de cette gestion déplorable.
</t>
  </si>
  <si>
    <t>valourette-108196</t>
  </si>
  <si>
    <t xml:space="preserve">Service client d'une incompétence sans précèdent ! Chaque prise de contact est une déception totale. Les montants du même devis varient (va savoir pourquoi?), les remboursements sont dans l'oubli et puis la cerise sur le gâteau quand on les appelle (une ligne payante !) pour essayer de comprendre les conditions de remboursement de mon contrat, on ose  vous dire "je ne peut pas vous expliquer, je ne vais pas rester une heure au téléphone avec vous". Et puis expliquer le devis reçu, ça non plus il pouvait pas . Et puis pourquoi je ne me fais plus remboursée mes soins depuis plus de quatre mois, la réponse est "je ne peut pas vous dire"....  Heu...pourquoi je perds mon temps à vous appeler alors pour avoir le contact humain et surtout un spécialiste...
</t>
  </si>
  <si>
    <t>fatal-107777</t>
  </si>
  <si>
    <t>De pire en pire, le traitement des dossiers prend plus de trois semaines juste pour un remboursement. Ensuite il faut recevoir le décompte des prestations avec la personne ayant reçu les soins et c'est au petit bonheur la chance. Cela maintenant plus de 3 mois que j'attend ce type de document et tout le monde s'en balance chez Mercer, 4 appels, 1 relance directement sur le site (pas de réponse) et 2 mails en direct à une responsable et toujours rien. Vive Mercer qui n'est qu'un sous-traitant  et n'en a que faire des demandes des clients. A EVITER !</t>
  </si>
  <si>
    <t>24/03/2021</t>
  </si>
  <si>
    <t>hylene-107649</t>
  </si>
  <si>
    <t xml:space="preserve">SERVICE NUL!
impossible de faire fonctionner un tiers payant
impossible de se faire rembourser pour une simple facture d'optique !
pas de possibilité de repondre au courrier
pas de possibilité d'avoir une personne au téléphone sauf au bout de 1heure d'attente , un interlocuteur vous répond, prétend faire le necessaire et ensuite -&gt; retour à la case départ. Rien n'est résolu. 
Les dossiers bouclé , marqué comme traité , alors que rien a été remboursé .
INADMISSIBLE !
</t>
  </si>
  <si>
    <t>bi-107596</t>
  </si>
  <si>
    <t xml:space="preserve">Mutuelle a fuir.
Deux hospitalisations ne répond pas aux demandes de prises en charge faites par la clinique résultats les frais d'hospitalisations à avancer, ne répond pas aux mails aucune solutions apportées par les conseillés téléphonique et après 6 semaines d'attente toujours pas de remboursements.
a chaque fois qu'il faut se faire rembourser des soins il faut minimum 4 à 5 semaines pour se faire remboursé
</t>
  </si>
  <si>
    <t>bp-107202</t>
  </si>
  <si>
    <t>Service lamentable, des remboursements en retard, des demandes de justificatifs répétés, un accueil téléphonique à peine aimable. ne comprends toujours pas pourquoi mon employeur a fait appel à ce gestionnaire d'assurance.</t>
  </si>
  <si>
    <t>sw-105797</t>
  </si>
  <si>
    <t>Gros problèmes d'organisation chez Mercer santé: aucun remboursement depuis janvier 2021 malgré de nombreux appels, courriers, réclamations. Réponses par email automatiques qui expliquent qu'ils ont du retard à cause du COVID: est-ce la seule société impactée??? (Les autres sociétés ne semblent pas avoir les mêmes problèmes: ont-elles échappé au COVID?). C'est pathétique. A éviter.</t>
  </si>
  <si>
    <t>jilou-105793</t>
  </si>
  <si>
    <t>Service client injoignable, ne répondent jamais aux mails. Promettent de rappeler mais personne ne se manifeste, et quand on arrive à joindre quelqu'un je ne vous raconte pas l'accueil qui nous est réservé par les agents téléphoniques, une heure de mise en attente pour faire une recherche pour finir par se faire raccrocher au nez sans aucune réponse. Le service client de cette mutuelle est lamentable.</t>
  </si>
  <si>
    <t>sebastien-105722</t>
  </si>
  <si>
    <t>Je suis censé être assuré par la mutuelle Mercer depuis le 1er janvier, mais je n'ai toujours pas reçu ma carte de tiers payant, ni de numéro d'adhérent, ni d'identifiants pour me connecter à mon espace assuré. Nous sommes en mars.
À ma connaissance, mes collègues sont dans le même cas (contrat collectif).
Je leur ai envoyé un message en utilisant le formulaire de contact le 23 janvier pour avoir des nouvelles. Ils n'ont jamais répondu.
3 semaines plus tard, le 13 février, je les ai appelé au 03 20 89 10 88. Point positif : ils ont décroché, en moins de 10 minutes. Mon interlocuteur a confirmé que Mercer avait tous les documents nécessaires depuis le 5 janvier, mais que mon dossier n'avait pas encore été traité. Il m'a assuré que ce serait le cas en début de semaine suivante.
Aujourd'hui, après 3 semaines supplémentaires, je n'ai toujours rien.
Je me pose des questions. Soit ils sont vraiment débordés, soit ils oublient de traiter certains dossiers, soit ils essayent de temporiser pour préserver leur trésorerie. Dans tous les cas, ce n'est pas bon signe.</t>
  </si>
  <si>
    <t>06/03/2021</t>
  </si>
  <si>
    <t>sydney-105249</t>
  </si>
  <si>
    <t xml:space="preserve">Impossible à joindre , ne remboursé pas comme promis sur contrat de base .
Les interlocuteurs disent qu ils vont faire remonter l information et rien ne se passe .
Obligation de rappeler et ainsi de suite .
Idem pour devis de frais d honoraires après opération plus d un mois et demi après opération toujours pas de devis pour savoir combien je serai remboursée.
</t>
  </si>
  <si>
    <t>clientpascontent-105188</t>
  </si>
  <si>
    <t>Bonjour ,
Impossible de joindre le centre de gestion , pas de réponse au mail . Aucun remboursement de frais d optique malgré envoi du dossier complet 2 fois 
Bref à fuir . La prochaine étape est de contacter ma RH afin qu elle fasse débloquer peut être la situation</t>
  </si>
  <si>
    <t>02/03/2021</t>
  </si>
  <si>
    <t>colu-104816</t>
  </si>
  <si>
    <t xml:space="preserve">Absence de contact. Absence de remboursement. Les dossiers sont notés traités et aucun remboursement n’est effectué, d’autres ne sont toujours pas traités au bout d’un mois. Incompréhensible. </t>
  </si>
  <si>
    <t>25/02/2021</t>
  </si>
  <si>
    <t>entreprisex-104421</t>
  </si>
  <si>
    <t xml:space="preserve">INUTILE COMME COURTIER !!! 
J'ai signé des documents et aucun retour depuis plus de 2 mois !! 
Consultant ?? LAISSEZ MOI RIRE !!!!!
Il m'ont promis une gestion de qualité alors qu'ils ne répondent plus au téléphone, est ce normal?
Je déconseille très fortement cette compagnie !!!  
"Mes solutions Mercer" =&gt; il faudrait déjà a trouvé une solution en interne a vos problèmes !!
</t>
  </si>
  <si>
    <t>lolo-103401</t>
  </si>
  <si>
    <t>Je met une etoile parce que je ne peux pas mettre moins.
Imposée par mon employeur akzonobel qui se dit tant soucieux du bien être de ses employés quelle farce..
Aucun contact possible avec l'assureur
MUTUELLE À FUIRE</t>
  </si>
  <si>
    <t>29/01/2021</t>
  </si>
  <si>
    <t>marilou012345-103346</t>
  </si>
  <si>
    <t xml:space="preserve">Une honte. Les remboursements ne sont pas effectués. Quand on transmet une pièce jointe à chaque fois elle est bizarrement illisible. Aucune réponse à mes nombreux messages sur le site internet. Quand j’appelle j’ai une version différente à chaque fois. J’essaye depuis 1 mois de clôturer mon compte mais impossible. Je n’ai jamais connu ça c’est juste inadmissible </t>
  </si>
  <si>
    <t>jinio1981-102921</t>
  </si>
  <si>
    <t>Note d'honoraires envoyée sur l'espace perso Mercer en date du 7 décembre. Nous sommes le 20 Janvier et toujours rien. Délai de traitement de 3 semaines maximum largement dépassé. Seule réponse du service client :"il y a un retard dans les traitements des dossiers...". Rien de plus, service back office qui traite les dossiers est injoignable. Même le service client ne peut les joindre que par mail. A chaque fois que j'appelle on me dit que mon dossier passe en "prioritaire" mais cela fait déjà 3 ou 4 fois qu'il passe en "prioritaire". Excuse COVID non valable car le traitement des dossiers peut se faire en TT. Temps d'attente pour avoir un conseiller, plus de 20 minutes pour seule réponse "retard dans les traitements des dossiers". Nous invite à raccrocher en nous faisant comprendre qu'il ne sert à rien de rappeler car j'aurais la même réponse... Donc en gros ferme ta g... et attends bien sagement... Super.</t>
  </si>
  <si>
    <t>angela-102624</t>
  </si>
  <si>
    <t>A fuir !!!!
Depuis septembre nous avons fait différentes démarches téléphoniques, mail, courrier pour résilier chez eux. A ce jour nous nous sommes bloqués pour tout car la sécurité sociale nous dit que nous avons 2 mutuelles
Une honte !!!!
Lorsqu’on demande un responsable au téléphone on nous raccroche au nez
Barrez vous!!!!</t>
  </si>
  <si>
    <t>13/01/2021</t>
  </si>
  <si>
    <t>champafred-102606</t>
  </si>
  <si>
    <t xml:space="preserve">Devis optique depuis le 29 Octobre 2020, nous sommes le 13 Janvier 2021, Mercer n'a toujours pas répondu à mon opticien qui me dit les avoir contactés à plusieurs reprises et que Mercer les fait marcher et font trainer volontairement mon dossier. Cela fait 5 ans que je n'ai pas fait faire de nouvelles montures. 
J'essaie en vain de les contacter au 0969366935, ils ne répondent jamais. 
Après 29 minutes d'attentes, je viens d'avoir une personne qui a contacté une autre personne en me laissant attendre 10 minutes, "la réponse à l'opticien doit être faite dans 1 semaine maximum" d'après lui. 
Lorsque je lui demande pourquoi une réponse si longue, il ne sait pas, et lorsque je lui explique vouloir faire un devis comparatif et suis inquiet du temps de traitement de leur future réponse et des plaintes d'adhérents concernant leur réactivité, il me raccroche au nez, alors que j'avais besoin d'autres renseignements!
Temps d'appel, 43 minutes ...
</t>
  </si>
  <si>
    <t>l-102312</t>
  </si>
  <si>
    <t xml:space="preserve">Lamentable et bien contente d’avoir lu vos commentaires à temps !
J’ai contacté cette mutuelle en octobre pour établir un devis car mon contrat (portabilité ancien employeur) arrivé à échéance. Impossible d’avoir qui que ce soit au téléphone, je passe donc par leur système de demande en ligne. Je reçois une offre le lendemain (inintéressante). 5 jours plus tard, je reçois un second mail avec une offre totalement différente (autres prises en charge et autres montants). Après plusieurs tentatives d’appels infructueux (encore!) quelqu’un me rappelle. Aucune explication de la provenance de la première offre (????) par contre l’opératrice très agréable et qui répond à mes questions. 
Après étude de la concurrence, je souhaite reprendre contact avec eux (depuis le 18/12) pour affiner quelques points avant de signer chez eux et là rebelote, IMPOSSIBLE de les joindre. Personne ne décroche, personne ne rappelle malgré des messages laissés, la procédure de rappel enclenché et des mails envoyés. Nous sommes le 07/01 (je précise que ma précédente mutuelle se terminait le 31/12) et là oh miracle on me rappelle. 
TROP TARD je suis allée chez la concurrence. La personne au téléphone me dit qu’ils ont bcp d’appels (ah bah tu m’étonnes.. 4 semaines pour rappeler un futur client !!) mais que le principale est qu’ils aient répondu à mes attentes (euhhhh ??????? Loooool). 
Bref, bien contente d’avoir lu tout vos retours, je vais certes payer plus cher mais au moins avec une mutuelle fiable et réactive.
Je déconseille fortement MERCER. </t>
  </si>
  <si>
    <t>laurentjack-102289</t>
  </si>
  <si>
    <t xml:space="preserve">Une mutuelle très désorganisée qui ne rembourse pas. Ou que les petits montants. Ca fait 2 mois que j'attends un remboursement de 900 euros. 
1/ la mutuelle demande 15 fois les mêmes documents... 
2/ à chaque appel, besoin de rappeler le dossier, alors que le téléopérateur a mon numéro d'adhérent et tous mes messages. 
3/ on me répond que cela est pris en compte mais aucun engagement sur la date réelle de remboursement... Ni même le montant ! 
4/ impossible de se connecter à l'application mobile
5/ application mobile qui ne permet pas de recevoir les réponses de la mutuelle!!! 
Après être passé par d'autres mutuelles d'entreprise, force est de constater que Mercer est la pire expérience que j'ai eue. </t>
  </si>
  <si>
    <t>06/01/2021</t>
  </si>
  <si>
    <t>paola-102171</t>
  </si>
  <si>
    <t>J'éprouve un fort mécontentement à leurs égard, ils sont carrément injoignables ou les délais d'attente dépassent 40 minutes, le site internet dysfonctionne et l'espace client n'a jamais pu être activé par leurs soins, impossible de récupérer mon attestation de tiers payant
Ne pouvant passer autant de temps au téléphone, il m'est difficile d'avoir des réponses
Aucun problème quand aux remboursements reçus</t>
  </si>
  <si>
    <t>poipoi-102147</t>
  </si>
  <si>
    <t>INCOMPETENT INJOIGNABLE INCAPABLE DE METTRE UN DOSSIER A JOUR. TOUT MON DOSSIER EST INCOMPLET ET JE NE PEUX PAS LES JOINDRE ET PAS DE REPONSE AUX MESSAGES SUR LE SITE. PAS POSSIBLE DE RECEVOIR MA CARTE DE TIERS PAYANT. NE SURTOUT PAS PASSER PAR EUX.
UNE HONTE</t>
  </si>
  <si>
    <t>04/01/2021</t>
  </si>
  <si>
    <t>teamarrow94-102101</t>
  </si>
  <si>
    <t>Depuis le 24 Octobre, je contacte toutes les semaines Mercer pour tenter de faire avancer les dossiers optiques pour mes filles. Les dossiers optiques ne sont pas traités! Il faut un mois minimum pour la réponse à toute demande. Depuis Décembre, les dossiers télétransmis ne sont même plus traités ou visibles sur le site, je dépose les dossiers manuellement sur le site mais ceux-ci ne sont pas traités ou traités dans des délais raisonnables. Le service client vous demande toujours de patienter mais rien ne se débloque. Mercer est le pire du pire vis à vis de mon expérience avec une mutuelle. Je n'en peux plus d'appeler Mercer toutes les semaines. La situation est scandaleuse et visiblement générale pour les adhérents.</t>
  </si>
  <si>
    <t>gp68-101760</t>
  </si>
  <si>
    <t xml:space="preserve">Incroyable, en prévision de mon départ à la retraite je reçois un devis de ma mutuelle entreprise Mercer au mois de juillet pour retraite au 1er septembre 2020, je leur envoie tous les documents, carte mutuelle dans la foulée, tout baigne, sauf qu'au bout de 2 mois je les contacte car ne suis prélevé d'aucunes sommes et là cela dure jusqu’au 15 décembre ou je suis prélevé de sep, oct. et novembre et avec une  rondelette augmentation de 80€ mensuels. 
Appels téléphoniques et courriers n'on eus aucun retours.
Je viens de contracter une autre mutuelle et ai pu ce jour bénéficier de la loi Chatel pour résilier mon contrat avec Mercer par lettre recommandée.
Ensuite, appel à ma banque pour révoquer le mandat de prélèvement et restitution du prélèvement, je réglerais à Mercer les 4 mois conformément à leur devis maintien retraité et bien content d'avoir quitté Mercer qui m'a mené en bateau depuis septembre, le plus incroyable et inefficacité ou incompétence des personnes au téléphones, car sur environ 6 heures de communication y compris le temps d'attente, rien n'a pu être débloqué si ce n'est: " nous comprenons et transmettons au service financier" avec impossibilité évidemment d'être mis en relation avec ce service financier...  
Avis ne reflétant que la réalité et fait sans animosité, je suis juste triste de constater un tel échec.
</t>
  </si>
  <si>
    <t>alnt-101748</t>
  </si>
  <si>
    <t xml:space="preserve">Mercer est une mutuelle qu'utilise APPA. Mutuelle qui fait de la promotion auprès des praticiens hospitaliers, en envoyant même des flyers aux internes au sein des hôpitaux, se donnant une image qui se veut proche du personnel soignant...
Fuyez! 
Deux ans d'expériences, intervenants non aimables à chaque appels, délai très très longs pour devis, remboursements dentaires si votre opticien ou dentistes n'est pas dans leur réseau. 
Bref très loin de l'aspect associatif et d'un but d'entre aide plutôt une entreprise "machine à fric" qui nous prennent pour des vaches à lait. 
A éviter. 
Si vous cherchez une mutuelle avec un service à la hauteur, efficacité, rapidité, amabilité passez votre chemin. 
</t>
  </si>
  <si>
    <t>oleastre-101701</t>
  </si>
  <si>
    <t>Je suis trop déçu par les services de la complimentaire santé mercer ça fait un parcour de combattant pour un remboursement que j'attends toujours bien que j'ai tout fourni déçu déçu déçu</t>
  </si>
  <si>
    <t>cmp-101274</t>
  </si>
  <si>
    <t xml:space="preserve">Bonne  mutuelle le temps ou  j étais en  activité  dans mon entreprise  mais  tout a  changé le jour où mon  entreprise  ma licenciée  pour maladie professionnelle  plus de  remboursement  des demandes de  documents  a plus savoir  que faire  et pas d interlocuteur  en direct . Moi qui pensais  garder  cette  mutuelle  me voilà  bien  déçu  de leurs  comportements </t>
  </si>
  <si>
    <t>jany-101145</t>
  </si>
  <si>
    <t xml:space="preserve">MERCER impossible à joindre. Mercer ne tient pas compte de mes courriers demandant le changement de mon prénom depuis des années, ni de mon nom pour revenir à mon nom de jeune fille après divorce. Impossible également de créer mon compte mercer !
Très déçue depuis trop longtemps.
</t>
  </si>
  <si>
    <t>johnorta-101092</t>
  </si>
  <si>
    <t>À FUIR !! Répondent au téléphone au bout de 30mn et il es payant!!!! (10 euros pour une appel que ne reponds pas). 
Je n'ai pas reçu la carte mutuelle et je suis adhére depuis Aout!</t>
  </si>
  <si>
    <t>fafou-100676</t>
  </si>
  <si>
    <t>voila 2 mois et demi que je leur envoie et renvoie un devis pour une urgence dentaire pour estimation prise en charge, malgré plusieurs appels et relance sur leur plateforme. Au téléphone, on me balade d'une part en disant qu'on est en train de traiter la demande (c'était il y a plus d'1 mois) et un autre opérateur qui me dit qu'il ne peut rien faire pour accélerer la procédure ni même me mettre en relation avec un responsable????
Voilà que les soins qui étaient urgent/mis en stand-by par leur silence ont subit des dégats collatéraux... Une nouvelle dent cassé car a surcompensé les dents qui devaient être soignée rapidement...
J'aurai envie de leur demander de rembourser 100% de tous mes soins tellement je suis en colère. Ils pourraient au moins répondre qu'ils ont des délais exceptionellement longs et s'en excuser mais RIEN. C'est tellement irrespectueux et les conséquences sont graves...</t>
  </si>
  <si>
    <t>27/11/2020</t>
  </si>
  <si>
    <t>lili-100642</t>
  </si>
  <si>
    <t>M’ont prélevé un an de cotisations forcées après 6 courriers sur 15 mois pour demander résiliation suite à perte de revenus et attribution de la cmu!.. Ils ont ignoré mes courriers et affirmé que ma situation (prise en charge par la caf et revenus insuffisants pour continuer à    payer les cotisations) ne justifiait pas qu’ils résilient le contrat santé!!! Comment peut on qualifier cela? Et maintenant ils m’envoient un courrier pour me prévenir que mes infos personnelles ont été piratées en interne et me dire d’être vigilante vis à vis de prochains courriers ou email éventuel!!! ?? Mercer: A fuir!!!</t>
  </si>
  <si>
    <t>26/11/2020</t>
  </si>
  <si>
    <t>alicederouen-100021</t>
  </si>
  <si>
    <t xml:space="preserve">Je suis adhérente à la Mutuelle Mercer. J'ai un litige avec cette dernière concernant mes droits. Il s'avère que les services sont injoignables, qu'ils ne lisent pas les documents et ne communiquent pas en direct avec vous.
Pour les joindre par téléphone, une annonce d'accueil vous dit que les circonstances sont exceptionnelles et qu'il leur faut plus de temps pour vous répondre et là on vous met en attente pour au moins 10 min, qui sont toujours 10 minutes après 10min, 20 min... Et ces minutes d'attente vous sont facturées !
Bref, j'ai dû m'y reprendre de nombreuses fois pour les joindre et quand ca coupe, eux ne vous rappellent pas ! </t>
  </si>
  <si>
    <t>dd-99978</t>
  </si>
  <si>
    <t>remboursement trop lent il manque toujours un papier et même quand tout est cligne il mette plus d'un mois pour un remboursement et il y a aucun lien de réclamation   ceci est lamentable et je parle pas du lien téléphonique
 C malheureux que je suis obligé de la prendre car entreprise</t>
  </si>
  <si>
    <t>11/11/2020</t>
  </si>
  <si>
    <t>spanita-99748</t>
  </si>
  <si>
    <t>Une mutuelle qui paraît tellement bien sur le papier, surtout quand on voit les sommes qu'ils s'engagent à prendre en charge. Malheureusement, la réalité est bien différente. Une mutuelle qu'on m'a contrainte de prendre lors de mon apprentissage (mutuelle d'entreprise).
[Petit aparté. Pourquoi nous ne pouvons pas librement choisir notre mutuelle? Pourquoi on nous impose telle ou telle mutuelle? Merci la liberté -__-]
Alors au début ça se passait très bien. Quand tu fais des frais simples style médecin ou visite chez le dentiste, remboursement réalisé en moins de 15 jours, sans problème. Par contre, quand on rentre dans des frais plus importants, il y a plus personne! Je vous préviens, vous avez intérêt à sortir les crocs pour obtenir un remboursement! L'un de mes remboursement (pour des lentilles), j'ai dû leur transmettre 3 fois le document et à la fin sortir les crocs pour obtenir un remboursement. Lentilles achetées en décembre 2019 et remboursées en novembre 2020 (presque un an quand même, qui dit mieux?). Ils me doivent encore actuellement plus de 200 euros. Je continue de me battre. Je pense même malheureusement à me retourner contre eux, c'est bien dommage d'en arriver jusque là.
Donc un conseil, fuyez!!!!!!!!!!!!!!!!!!!!!!!!!!!!!!!!!!!!!!!!!!</t>
  </si>
  <si>
    <t>06/11/2020</t>
  </si>
  <si>
    <t>cecile-99208</t>
  </si>
  <si>
    <t xml:space="preserve">Très déçue de cette mutuelle au cours des années. 
Perte de remboursement au niveau par exemple de l'orthodontie. 
Impossible de les joindre rapidement, des heures de patience à un certain coût !! La Covid a bon dos en ce moment ???!!!
Je ne vous recommande pas cette mutuelle. </t>
  </si>
  <si>
    <t>toto-99026</t>
  </si>
  <si>
    <t>Une catastrophe rien de professionnel, inexistant dans tous les domaines, complètement transparent pour les contacts (téléphone mail etc.…), impossible de créer un compte d'accès, nombreux remboursement toujours pas réglés, comment une entreprise peut-elle accepter cette totale incompétence pour ses salarier. Cette assurance est une honte à fuir absolument, de plus je suis obligé de mettre une étoile pour que ce message apparaisse, moins dix étoiles aurait été plus juste.</t>
  </si>
  <si>
    <t>21/10/2020</t>
  </si>
  <si>
    <t>mel-98971</t>
  </si>
  <si>
    <t xml:space="preserve">sa fait trois fois que je leur demande de me rappeler ils font les morts je les appelle personne répond je sais plus comment faire ??????????????????
</t>
  </si>
  <si>
    <t>20/10/2020</t>
  </si>
  <si>
    <t>stephane-98958</t>
  </si>
  <si>
    <t>nul de chez nul ,honteux impossible de les contacter que ce soit par téléphone ou par mail. Même pour faire une actualisation c'est un cauchemar. Une perte de temps considérable.</t>
  </si>
  <si>
    <t>eve26-98636</t>
  </si>
  <si>
    <t>C'est impossible de se sentir vraiment assurés avec MERCER. Aucun service Client, pas de contact téléphonique, des changements système informatique régulier qui déconnectent la télétransmission, il faut les rappeler pour reconnecter.. mais ne répondent ni aux mail ni au téléphone. Des prises en charge REFUSEES (au lieu de dire : "il manque tel ou tel papier"... il s REFUSENT sans raison et c'est ensuite à nous d'enquêter pour savoir pourquoi )  MUTUELLE d'entreprise, certes "bien remboursée" mais surtout quand on n'a pas pas de problème !! je ne recommande pas et voire même j'aimerais pouvoir m'enfuir !</t>
  </si>
  <si>
    <t>12/10/2020</t>
  </si>
  <si>
    <t>farah-98566</t>
  </si>
  <si>
    <t xml:space="preserve">Fuyez fuyez fuyez allez ailleurs Mercer c’est juste  des incompétents! Je suis très mécontente et c’est sûr je vais changer de mutuelle. Plusieurs appels échanges on me dit ouiii madame on va faire le nécessaire ça fait 10 mois j’attends toujours. Vraiment fuyez! </t>
  </si>
  <si>
    <t>09/10/2020</t>
  </si>
  <si>
    <t>huracansan-98310</t>
  </si>
  <si>
    <t>D'une incompétence remarquable , des mails sans réponses ou alors on vous répond à coté de la plaque!  minimum 30 minutes d'attente par téléphone avec un facturation à 15c la minute... les documents que l'on fournis pour les remboursements ne sont jamais suffisant. 
mail et téléphone obligatoire pour avoir un remboursement et encore quand vous tombez sur quelqu'un de sympa.</t>
  </si>
  <si>
    <t>03/10/2020</t>
  </si>
  <si>
    <t>malc-98217</t>
  </si>
  <si>
    <t xml:space="preserve">Dossier en attente depuis 2mois et pas de reponse documents déjà envoyé 2 fois toujours en attente je suis très déçu de plus quand on appelle on me répond qu'on transmet ma demande mais toujours pas de suite, je n'ai jamais reçu le mail qu'ils devaient m'envoyer, impossible de créer un compte par internet, je ne vois pas ce que je dois faire de plus </t>
  </si>
  <si>
    <t>kiki-97424</t>
  </si>
  <si>
    <t>Bonjour
cela fait 2 mois et demi que j ai envoyé tout (oui tout) les documents pour me faire rembourser de lunettes pour mon fils, ma femme et moi. Il manque toujours un document alors qu' ils l ont reçu, et maintenant ils disent que les documents sont illisibles sur le site (ils le sont pourtant bien). une mauvaise foi inébranlable. Il faut faire cesser ces pratiques. je suis en train de les appeler et cela fait maintenant 15mn. je pense que personne ne répondra.
Une mutuelle a bannier</t>
  </si>
  <si>
    <t>stoicste-62915</t>
  </si>
  <si>
    <t>Mutuelle d'entreprise. Une catastrophe tout simplement. Jamais joignable meme quand je dois me faire opérer. Sans parler du fait que le numero sur la carte mutuelle est un numero surtaxé. À fuir</t>
  </si>
  <si>
    <t>11/09/2020</t>
  </si>
  <si>
    <t>cc88-96513</t>
  </si>
  <si>
    <t>Mutuelle entreprise, j'ai pris l'option surcomplementaire à 45€ par mois. Très bonne couverture à 400%, toutes mes dépassements sont remboursées. Les remboursements pour les soins non remboursés par la SS (ostéo, acupuncture) arrivent moins d'une semaine après que je soumets la facture en ligne.
Je suis étonnée par les autres commentaires car ma 1er prise en charge hospitalière était traitée très rapidement, et mon dernier devis d'hospitalisation a même été traité en 24 heures. Les délais et problèmes de communication doivent varier en fonction de quel centre qui traite son dossier.</t>
  </si>
  <si>
    <t>20/08/2020</t>
  </si>
  <si>
    <t>ness-87711</t>
  </si>
  <si>
    <t>Mutuelle employeur mais Zéro! 
Je suis super mécontent mutuelle injoignable et incompétent.
Le numéro de téléphone surtaxé et impossible de les contacter. ça fait une semaine j'essaie de les joindres,  impossible!!
L'attente est super longue,  minimum 10 minutes  pour chaque appel (dont une fois 20 min). Lorsque j'arrive a parler à un conseiller elle me dit qu'ils vont me rappeler mais pas de nouvelle au bout de 72 heures. 
J'étais obligé de les rappeler pour qu'au finale la conseillère me dit que la personnes qui gère n'est pas disponible et injoignable ! Donc encore une fois il faut rappeler.
C'est juste inadmissible elle n'essaie même pas de gérer mon dossier ni du moins tenir sa promesse et me recontacter.
Je vous la déconseille pour votre famille !</t>
  </si>
  <si>
    <t>27/02/2020</t>
  </si>
  <si>
    <t>vanessag-87576</t>
  </si>
  <si>
    <t>Des conseillers injoignables et aucune réponse aux mails</t>
  </si>
  <si>
    <t>25/02/2020</t>
  </si>
  <si>
    <t>Une grande difficulté à obtenir un conseiller en cas de pepin et numéro surtaxé pour me service client. Mauvais service client</t>
  </si>
  <si>
    <t>13/02/2020</t>
  </si>
  <si>
    <t>alkazaam-86906</t>
  </si>
  <si>
    <t>Client depuis peu, je suis très désagréablement surpris par leur incompétence, leurs erreurs inassumées et leur laxisme.Spécialisé dans l'écoute pour donner le change, le personnel au téléphone vous laisse croire que tout va rentrer dans l'ordre, mais rien n'est fait et les mails restent sans réponse si ce n'est un retour informant que votre demande va être traitée. Alors si vous cherchez une mutuelle sérieuse, abstenez-vous car Mercer ne vous servira à rien si ce n'est percevoir vos cotisations !!!</t>
  </si>
  <si>
    <t>09/02/2020</t>
  </si>
  <si>
    <t>ma94-85309</t>
  </si>
  <si>
    <t>Très mauvaise mutuelle</t>
  </si>
  <si>
    <t>28/12/2019</t>
  </si>
  <si>
    <t>tim-81880</t>
  </si>
  <si>
    <t>je de-conseil fortement , service client très difficilement joignable et lorsque une personne répond elle ne peux rien faire il faut sois disant envoyer un courrier au siège social . le service en ligne na jamais fonctionné</t>
  </si>
  <si>
    <t>13/12/2019</t>
  </si>
  <si>
    <t>lhermitte-79879</t>
  </si>
  <si>
    <t>Attention, usurpe le nom officiel d'assurance, se présente comme tel mais est en fait une simple assurance santé !</t>
  </si>
  <si>
    <t>09/10/2019</t>
  </si>
  <si>
    <t>jc-79651</t>
  </si>
  <si>
    <t>Ils ne répondent pas aux mails et évidement ne traite pas les problèmes.</t>
  </si>
  <si>
    <t>dianeg1-78443</t>
  </si>
  <si>
    <t>Doubles prélèvements !! Mutuelle imposée par l'employeur. Service client Zéro soit ne répond jamais soit répond a côté de la plaque! Qu'on fasse la demande par mail ou sur leur espace en ligne! Prélevée en Février, Mars, aucun prélèvement en Avril Mai, et double prélèvement depuis 3 mois!! Sans parler des autres problèmes que j'ai eu avec eux.....</t>
  </si>
  <si>
    <t>15/08/2019</t>
  </si>
  <si>
    <t>01/08/2019</t>
  </si>
  <si>
    <t>so35-77542</t>
  </si>
  <si>
    <t>Impossible de leur transmettre des justificatif et impossible de crée l'espace personnel y'a toujours un souci</t>
  </si>
  <si>
    <t>11/07/2019</t>
  </si>
  <si>
    <t>01/07/2019</t>
  </si>
  <si>
    <t>raphael-77456</t>
  </si>
  <si>
    <t xml:space="preserve">Une expérience désastreuse - des soins remboursés 4 mois plus tard , un devis pour des soins dentaires qui n'a jamais été traité malgré plus de 6 messages aux services clients n'ayant jamais daigné répondre et un accueil commercial desastreux. FUYER  </t>
  </si>
  <si>
    <t>09/07/2019</t>
  </si>
  <si>
    <t>prikilia92-75845</t>
  </si>
  <si>
    <t xml:space="preserve">Une mutuelle injoignable: 
- 30 minute d'attente au minimum à 15 centimes la minute 
- leur aide en ligne jamais disponible
- aucune reponse à mes emails, le dernier datant de 3 semaines et je les harcele depuis 1 semaines pour avoir ENFIN l'aide dont je suis censée avoir le droit au vu du prix que je paie ! 
- impossible de créer un compte client sans assistance (cercle vicieux, on appel, on paie)
</t>
  </si>
  <si>
    <t>messenga-75721</t>
  </si>
  <si>
    <t>Mutuelle santé dont les garanties sont minimales, à fuir absolument.</t>
  </si>
  <si>
    <t>08/05/2019</t>
  </si>
  <si>
    <t>rory-74544</t>
  </si>
  <si>
    <t>le service client délivre de fausses informations, ment pour se défendre et ne s'excuse jamais.
les demandes par écrit ne sont pas lues, et mal traitées.</t>
  </si>
  <si>
    <t>28/03/2019</t>
  </si>
  <si>
    <t>pasmi-72256</t>
  </si>
  <si>
    <t>mutuelle chère sans aucune  qualité de service.....</t>
  </si>
  <si>
    <t>18/03/2019</t>
  </si>
  <si>
    <t>marie-71978</t>
  </si>
  <si>
    <t>Je suis chez eux depuis qq tps...et aucun des sercices obligatoires dit "d une mutuelle de  service" n est respecté...
Je pense passer au dessus et faire un courrier  AR AU PDG De l entreprise relatant ce que vit un adhérant affilie a cette mutuelle</t>
  </si>
  <si>
    <t>08/03/2019</t>
  </si>
  <si>
    <t>nicotine-71602</t>
  </si>
  <si>
    <t>Incompétence totale. Systématiquement plus de 10mn pour les joindre. Très aimable au téléphone, informe effectuer les remboursement en retard dans la semaine et au final rien n'est fait après 1 mois. Demande régulièrement des documents en compléments des avis de remboursements secu et en profite pour retarder les remboursements.</t>
  </si>
  <si>
    <t>23/02/2019</t>
  </si>
  <si>
    <t>nn-71129</t>
  </si>
  <si>
    <t>Jamais vu un service client aussi nul. Plus d'un an que je leur dis (mail, lettres, coup de fils) que je ne peux pas accéder à leur interface sur leur site internet. Ils sont pas foutu de me renvoyer un mot de passe pour accéder à mon compte. Résultat, inaccessibilité a mes décomptes !</t>
  </si>
  <si>
    <t>09/02/2019</t>
  </si>
  <si>
    <t>sud-70690</t>
  </si>
  <si>
    <t>Mutuelle sans professionnalisme, impossible d'obtenir par téléphone un correspondant, attente plus de 30 minutes voir 1 heure, et aucun retour par messagerie, honteux, scandaleux.</t>
  </si>
  <si>
    <t>05/02/2019</t>
  </si>
  <si>
    <t>steban-70592</t>
  </si>
  <si>
    <t>Mutuelle obligatoire par ma société. Des retards de remboursements, quand remboursements. Injoignables ni par telephone ni par email (une reponse ecrite lapidaire " nous ne vous contacterons que s'il nous manque des pieces")
Apres ma plainte aupres de ma boite on va donc y aller a coups de recommandés; la purge
Fuyez !!</t>
  </si>
  <si>
    <t>25/01/2019</t>
  </si>
  <si>
    <t>glad1336-70291</t>
  </si>
  <si>
    <t>Service client qui sert à rien alors que l'on attend plus de 10 minutes!! Les opérateurs ne doivent pas être suffisamment formés au vu de leurs réponses évasives même erronées par moments!  Les remboursements sont attendus pendant des semaines voir des mois... Bref mutuelle que je déconseille fortement.</t>
  </si>
  <si>
    <t>16/01/2019</t>
  </si>
  <si>
    <t>bernardm-70169</t>
  </si>
  <si>
    <t>Service catastrophique, delais de reponse tres longs, de multiples erreurs, la pire mutuelle qu il m ait ete donne d avoir, mais pas de chance c est celle choisie par mon employeur :((</t>
  </si>
  <si>
    <t>12/01/2019</t>
  </si>
  <si>
    <t>clo-67626</t>
  </si>
  <si>
    <t xml:space="preserve">Jai fait poser un couronne je n ai toujours pas etait remboursé celas dur depuis 1 mois et demi
  On me ballade de service en service ,m'invente Même que sa va etre virer dans la journée et au final c faux
Mutuelle a fuir ils se créer un trésorerie sur le dos des assurés 
</t>
  </si>
  <si>
    <t>13/10/2018</t>
  </si>
  <si>
    <t>eva-66643</t>
  </si>
  <si>
    <t>J'ai plus de 2000 euros en attente de remboursement chez Mercer depuis plus de 5 mois malgré tous les justificatifs envoyés dont certains plusieurs fois. Le service client ne répond pas aux messages... C'est inacceptable !</t>
  </si>
  <si>
    <t>05/09/2018</t>
  </si>
  <si>
    <t>damien-65889</t>
  </si>
  <si>
    <t xml:space="preserve">Je n'ai jamais vu un service client aussi long... Deja une semaine que j'attend une réponse a ma question de remboursement...
Les réponses  à nos questions (quand il y à réponse) son extremement succinctes... ce qui ne donne pas envie de leur répondre puisque 1 mois vont s'écouler avant un retour ...
De plus leur centrale téléphonique devrait être gratuite pour les clients... (10 Minutes d'attentes a chaque fois)
</t>
  </si>
  <si>
    <t>stef-62284</t>
  </si>
  <si>
    <t>juste nullissime, une mutuelle imposée par ma boite, délais de remboursement super long , aucune réponse aux mails qu' on envoie. aucun mail pour prévenir qu' il manque des docs, c est en allant sur le site qu'on se rend compte...communication téléphonique zéro aussi.....à fuir si vous le pouvez.....</t>
  </si>
  <si>
    <t>13/03/2018</t>
  </si>
  <si>
    <t>boune59-61974</t>
  </si>
  <si>
    <t>Une mutuelle moderne et rapide</t>
  </si>
  <si>
    <t>03/03/2018</t>
  </si>
  <si>
    <t>seve1-61157</t>
  </si>
  <si>
    <t>mutuelle entreprise</t>
  </si>
  <si>
    <t>bahlzac-122670</t>
  </si>
  <si>
    <t>Assuré chez DIRECT ASSURANCE pendant plus de 10 ans : habitation et auto.
Je ne les ai jamais contactés.
Cette semaine je déclare une fuite au plafond à la suite d'un orage. Ils me demande un justificatif auprès de la mairie : catastrophe naturelle...
Il se trouve qu'il n'y a pas eu de catastrophe naturelle. Mais moi j'ai eu une fuite au plafond à la suite d'un orage...
Ils ne veulent rien entendre.
Moi, je décide de résilier mes 2 contrats en choisissant un autre assureur.</t>
  </si>
  <si>
    <t>Direct Assurance</t>
  </si>
  <si>
    <t>habitation</t>
  </si>
  <si>
    <t>07/07/2021</t>
  </si>
  <si>
    <t>alex-122310</t>
  </si>
  <si>
    <t>Direct assurance augmente brutalement le tarif de 20 % sans aucune raison (aucun sinistre, aucun changement de situation, aucune fin de promotion...), n'envoie pas de courrier de préavis de changement de tarif, et pire, ne tient pas compte de ma résiliation faite par LRAR.</t>
  </si>
  <si>
    <t>04/07/2021</t>
  </si>
  <si>
    <t>marc-108417</t>
  </si>
  <si>
    <t>Bonjour,
Assuré depuis plusieurs années auprès de cette société, je n'ai jamais eu à m'en plaindre jusqu'à aujourd'hui. Un dégâts des eaux le 30 juin 2020, passage de l'expert le 07 septembre 2020 (Covid oblige pour le délai). Depuis, j'ai contacté 13 fois l'assurance par téléphone pour avoir des nouvelles de mon dossier.... La réponse est toujours la même : Dossier en cours de traitement. 11 mois que je suis dans les travaux, aucune nouvelle de Direct assurance. Lamentable.</t>
  </si>
  <si>
    <t>29/03/2021</t>
  </si>
  <si>
    <t>sandra-v-107493</t>
  </si>
  <si>
    <t xml:space="preserve">Une superbe assurance à prix intéressant et des conseillers qui nous écoute et qui nous donne des conseils pour bien souscrire.
Une bonne communication. </t>
  </si>
  <si>
    <t>22/03/2021</t>
  </si>
  <si>
    <t>christine-d-107125</t>
  </si>
  <si>
    <t>Equipe de conseillers clientèle très professionnelle et à l'écoute du client. J'ai eu l'occasion de les appeler à 2 reprises den 2 jours, et chaque fois, les réponses sont claires et efficaces.
Le temps d'attente est pratiquement nul.
Merci</t>
  </si>
  <si>
    <t>helene-r-105046</t>
  </si>
  <si>
    <t xml:space="preserve">tres bien, pas cher et rapide 
il sont à notre écoute de notre demande, pour un studio l'assurance est pas tres cher,                                 </t>
  </si>
  <si>
    <t>romuald-t-103337</t>
  </si>
  <si>
    <t>je suis satisfait du prix et du service, et je compte bien resté chez vous vu que j'ai par le passé été inscrit chez vous  et que vous avez toujours répondu à mes attentes.</t>
  </si>
  <si>
    <t>27/01/2021</t>
  </si>
  <si>
    <t>clement-l-103311</t>
  </si>
  <si>
    <t xml:space="preserve">simple et pratique*
c'est bien d'avoir assurance voiture et assurance habitation chez le même assureur. 
Nos collègues nos conseillent fortement DIRECT ASSURANCE. </t>
  </si>
  <si>
    <t>annie-g-103246</t>
  </si>
  <si>
    <t>Très pratique, pas besoin de consulter plusieurs compagnies pour obtenir des devis.
Comparaison possible entre plusieurs offres.
Rapide.
Beaucoup de choix différents sont proposés.</t>
  </si>
  <si>
    <t>quentni-p-103163</t>
  </si>
  <si>
    <t>Je ne comprends pas pourquoi mon contrat en cours est plus cher que le devis que j'obtiens sur le site. : ce sont les mêmes options. ! Il n'y a pas de prime à l'ancienneté chez Direct Assurance.</t>
  </si>
  <si>
    <t>24/01/2021</t>
  </si>
  <si>
    <t>joseph-r-103133</t>
  </si>
  <si>
    <t xml:space="preserve">Je trouve excellent les devis en ligne ,cela permet de comparer et signer si offres sont intéressantes. Vos tarifs sont vraiment attractifs. Je souscris si satisfait !! </t>
  </si>
  <si>
    <t>23/01/2021</t>
  </si>
  <si>
    <t>mathis-v-103115</t>
  </si>
  <si>
    <t xml:space="preserve">Je suis satisfait de cette nouvelle souscription, pratique et rapide car directement faite sur internet . Merci pour toutes les conditions générales offrant ce contrat </t>
  </si>
  <si>
    <t>22/01/2021</t>
  </si>
  <si>
    <t>lolo-102985</t>
  </si>
  <si>
    <t xml:space="preserve">L'expert de la compagnie d'assurance  dommages ouvrages  de l'entreprise qui a fait les travaux n'est pas venu lors de  l'expertise en présence de l'expert ELEX pour Direct Assurance. L'expert direct assurance a fait son rapport en faisant son expertise en présence du responsable de la société qui n'a pas fait les réparations de la fuite sur le toit et non de l'expert de l'assurance de la société. Je pense qu'il l'a embobine !! Procédure non respectée. Fuyez direct assurance qui ne propose pas de société sérieuse pour réparer la fuite sur le toit !! </t>
  </si>
  <si>
    <t>geraldine-g-102862</t>
  </si>
  <si>
    <t>.Les prestations proposées sont pas mal mais je m'attendais à un prix moins élevé quand même
Le devis est facile à faire et les aides pour y répondre sont bienvenues</t>
  </si>
  <si>
    <t>19/01/2021</t>
  </si>
  <si>
    <t>anaelle-p-102819</t>
  </si>
  <si>
    <t>satisfaite du service, simple et rapide, juste dommage que l'on ne puisse pas combiné avec l'assurance voiture pour pouvoir diminué le prix des deux assurances.</t>
  </si>
  <si>
    <t>jean-yves-g-102460</t>
  </si>
  <si>
    <t>Je suis Satisfait du service
Car les prix conviennent et sont raisonnables 
J'aime efficacité du service et les questionnaire est clair et prècis
rapidité
facilité d'accès .</t>
  </si>
  <si>
    <t>11/01/2021</t>
  </si>
  <si>
    <t>walter--101512</t>
  </si>
  <si>
    <t xml:space="preserve">Beaucoup de rapidité pour vous assurez mais beaucoup plus compliqué pour résilier non-respect de la loi hamon un scandale fuyez car en cas de problème il n y a plus personne </t>
  </si>
  <si>
    <t>16/12/2020</t>
  </si>
  <si>
    <t>pascal-d-100971</t>
  </si>
  <si>
    <t>je suis satisfait du service.rapide précis.facilité de souscription.tarifs attractifs.payement mensuel possible.je recommande..tres bonne assurance en ligne.</t>
  </si>
  <si>
    <t>djkojak-98794</t>
  </si>
  <si>
    <t>Je suis satisfait des services et des devis que j'ai demande. les tarifs me conviennent bien.
C'est une bonne assurance et sérieuse
Bonne journée
Cordialement</t>
  </si>
  <si>
    <t>isa-96250</t>
  </si>
  <si>
    <t xml:space="preserve">Scandaleux. 
Impossible de résilier mon contrat malgré 2 ans de contrat. Malgré mes demandes réitérées par mail puis par courrier RAR. 
Direct assurance a procédé à une augmentation des tarifs tous les ans, d’où ma volonté de quitter cette assurance. Je n’ai eu AUCUN sinistre. J’ai trouvé une assurance avec les mêmes prestations pour 3 fois moins cher ( pour un 60 m2, direct assurance me demandait 300 euros alors que j’ai trouvé une assurance qui assurait mon appartement avec EXACTEMENT les mêmes prestations pour 99 euros annuels). 
Les services par téléphone de direct assurance (devenue axa) sont nullissimes. Pour souscrire, pour prendre encaisser votre cotisation, tout va bien. Tout se corse quand vous souhaitez résilier. C’est une honte. </t>
  </si>
  <si>
    <t>bpo-94471</t>
  </si>
  <si>
    <t xml:space="preserve">Impossible de joindre par téléphone des personnes qui ont réellement le droit d'agir pour vous, des délais incroyablement longs pour répondre. Ils ne veulent communiquer que par recommandés et ne répondent que si on les relance. Je suis chez deux concurrents pour d'autres assurances et c'est le jour et la nuit !! </t>
  </si>
  <si>
    <t>17/07/2020</t>
  </si>
  <si>
    <t>dus64-88320</t>
  </si>
  <si>
    <t>Voilà 1 mois que j'essaie de faire comprendre à mes différents interlocuteurs que j'ai déménagé et que je souhaite résilier mon contrat.
Malgré l'envoie de plusieurs missives, je ne suis toujours pas été remboursé !
Je déconseille fortement de vous assurer auprès de cette compagnie.
Service clients désastreux !!!</t>
  </si>
  <si>
    <t>13/03/2020</t>
  </si>
  <si>
    <t>taodee-87186</t>
  </si>
  <si>
    <t>J ai fait un devis maison la personne souriante agréable blague avec vous vous dit que cela fait 212 euros pour l année vous paier les, 3 mois et après vous recevez votre devis qui a 30 euros en plus et la quand vous appelez plus de rigolade pas avenant c était à moi de faire attention car les 30 euros c les prélèvements rien n'a été dit avant  et pourtant demande plusieurs fois si c était bien les 212 oui oui on me répond et après pas la même façon de répondre c était a moi de savoir</t>
  </si>
  <si>
    <t>15/02/2020</t>
  </si>
  <si>
    <t>dom-81837</t>
  </si>
  <si>
    <t xml:space="preserve">Si vous n avez pas lu les conventions de garantie, dans son ensemble, attention, vous devez garder toutes les factures de vos ancêtres. La lutte est serrée et bien que j ai des preuves 
de réparations, avec des numéros de séries et des factures de réparations..mais pas la factures d achat de 1970...je vais perdre.Les robots ne comprennent pas l humain. </t>
  </si>
  <si>
    <t>12/12/2019</t>
  </si>
  <si>
    <t>pouicpouic1946-79358</t>
  </si>
  <si>
    <t>apres resiliation acceptee loi hamon le remboursement annonce ne correspond pas à ce qu il devrait etre DEMANDE DE DECOMPTE SILENCE RADIO</t>
  </si>
  <si>
    <t>21/09/2019</t>
  </si>
  <si>
    <t>maxime-79101</t>
  </si>
  <si>
    <t xml:space="preserve">Il n'y a pas zéro étoile comme choix voilà pourquoi je mets une étoile. </t>
  </si>
  <si>
    <t>kvermeul-78364</t>
  </si>
  <si>
    <t>Cela fait maintenant 2 mois que ma maison a subi un orage de grêle, j'ai eu des volets abîmés mais à ce jour toujours en attente des réparations...les jours suivants le sinistre, j'étais très satisfaite de la gestion par direct assurance ( rencontre avec l'expert et l'entreprise très rapide ) mais ensuite arrivent les désillusions...cela fait deux mois que j'appelle direct assurance pour le suivi de mon sinistre...( l'entrepreneur n'envoyait pas le devis à l'expert )...je viens d'apprendre aujourd'hui ( suite à un autre de mes appels ) que le devis est maintenant dans les mains de l'expert et qu'il faut maintenant attendre encore...Ceci est mon premier siniste et j'aimerais pouvoir bénéficier d'un geste commercial de la part de direct assurance, dans le cas contraire, je pense sérieusement à changer d'assureur...</t>
  </si>
  <si>
    <t>12/08/2019</t>
  </si>
  <si>
    <t>eac-76171</t>
  </si>
  <si>
    <t xml:space="preserve">J'ai été victime d'un cambriolage fin février 2019. L'expert est passé 2 mois plus tard et je suis toujours en attente de son estimation. Au mail où je demande l'état de l'avancée des choses on me répond 2 semaines plus tard pour me dire que les factures ont été donné à l expert et d attendre sa réponse...
Voilà où on en est et voilà le tout dématérialisé ce qu'il vaut. </t>
  </si>
  <si>
    <t>22/05/2019</t>
  </si>
  <si>
    <t>chipolata-30457</t>
  </si>
  <si>
    <t>A éviter ! Très mauvaise gestion ! Attention plus rapide à se faire payer qu'à rembourser. Très mauvaise gestion des réclamations</t>
  </si>
  <si>
    <t>03/05/2019</t>
  </si>
  <si>
    <t>magaba-72233</t>
  </si>
  <si>
    <t>la publicité mensongère , on est juste bon à payer mensuellement , en cas de problème, tout est bon pour ne pas vous dédommager . Je me suis fait voler mes lunettes de vue et aucun remboursement n'a été proposé . De plus les conseillers envoient des messages automatiques en guis de réponse. A FUIR</t>
  </si>
  <si>
    <t>17/03/2019</t>
  </si>
  <si>
    <t>megh-72091</t>
  </si>
  <si>
    <t xml:space="preserve">Tout la pseudo gestion pitoyable de mon sinistre sans etre en tort en plus
J attends toujours mon remboursement de 1369 euros que j ai du avancer en ayant choisi un garage partenaire j ai du renouveler une dizaine d'appels
 On me dit qu on me rappelle et les jours passent sans que rien ne se passe 
Bref vivement la fin de mon contrat
</t>
  </si>
  <si>
    <t>12/03/2019</t>
  </si>
  <si>
    <t>lindo-71488</t>
  </si>
  <si>
    <t>Nouvel avis d'échéance : augmentation de 10 pour cent et encaissement cotisation 15 jours à l'avance alors que je suis annualisé et leur fais crédit gratuitement sur un an. Au revoir.</t>
  </si>
  <si>
    <t>20/02/2019</t>
  </si>
  <si>
    <t>estelle-71182</t>
  </si>
  <si>
    <t>Après un dégât des eaux je n'ai plus de chauffage en plein mois de fevrier depuis 10 jours, un taux d'humidité très élevé et un plan de travail dans la cuisine qui ne tient plus donc pas possible de cuisiner ni se réchauffer en pleine hiver et direct assurance ne considère pas ça comme un cas urgent donc à choisir payer plus cher mais avoir un vrai service je ne me tromperai plus !</t>
  </si>
  <si>
    <t>marinahy-69866</t>
  </si>
  <si>
    <t>5 mois pour qu'une entreprise intervienne suite à une effraction dans mon logement. La porte était largement fracturée(panneau du bas démonté entièrement), j'ai du sécuriser moi même. L'entreprise n'a pas changé la porte, ils ont juste recollé le panneau du bas et posé une plaque métallique à l'intérieur. Le service client est excessivement mauvais. Je déconseille vivement</t>
  </si>
  <si>
    <t>03/01/2019</t>
  </si>
  <si>
    <t>cath78-67969</t>
  </si>
  <si>
    <t>pas de conseils lors de la souscription ; manque d'information ; tous les moyens sont bons pour ne pas rembourser l'assuré !</t>
  </si>
  <si>
    <t>22/10/2018</t>
  </si>
  <si>
    <t>badia-67442</t>
  </si>
  <si>
    <t>Bonjour à tous, 
Je vous déconseille fortement de souscrire un contrat chez Direct Assurance malgré leurs tarifs attractifs.
Je suis cliente chez eux depuis des années sans avoir eu aucun sinistre. Malheureusement récemment j'ai eu un bris de glace à mon domicile et c'est avec ce sinistre que je me suis rendu compte du service client déplorable de cette assurance. Nous sommes bon qu'a payer des cotisations mensuelles mais quand nous rencontrons un problème nous sommes laissé à l'abandon et loin d'être traité comme un client!</t>
  </si>
  <si>
    <t>08/10/2018</t>
  </si>
  <si>
    <t>anne-66792</t>
  </si>
  <si>
    <t xml:space="preserve">ils ont prélevé ma cotisation alors que j'avais résilié mon assurance pour cause de déménagement... et depuis le 15 juin jusqu'aujourd'hui ils refusent de me rembourser? ILS ME BALADENT DE SERVICE EN SERVICE !!!! excuses plus impossibles les unes que les autres... du coup mise en demeure ! </t>
  </si>
  <si>
    <t>12/09/2018</t>
  </si>
  <si>
    <t>stfc-65477</t>
  </si>
  <si>
    <t>Bonjour Direct assurance, Quelle belle image de regrouper ses assurances....! C'est ce que nous avons fait chez vous, fidèles clients depuis 4 ans...et sans jamais aucun dommage, a part 1 bris de glace où nous avons payé notre franchise, vous resiliez notre contrat. A priori vous etes dans votre droit, puisque vous pouvez resilier SANS RAISON. Mais du coup, soyez honnete : VOUS N'ASSUREZ QUE LES GENS QUI ONT RIEN? Ceux qui payent toute l'année, mais qui ne vous coutent rien? Mais en fait, vous assurez rien du tout... vous vous engraissez, et resilier les contrats des gens qui pourraient avoir quelque chose.... Quelle belle mentalité! Comptez sur moi pour avertir chacun des gens qui m'entoure sur votre facon d'agir déplorable....</t>
  </si>
  <si>
    <t>13/07/2018</t>
  </si>
  <si>
    <t>islo-64927</t>
  </si>
  <si>
    <t>si la case très mauvais existait je l'aurai volontier cochée.Suite à une très nette augmentation de mon tarif  sans explication et surtout sans raison,j'ai décidé d'aller voir ailleurs visiblement ils n'ont aucune connaissance des lois et m'envoient sans arrêt des courriers de relance pour que je paie l'année à venir ,que je n'ai pas le droit de résilier mon contrat etc etc...sûre que de pauvres gens doivent se faire bananer et payer deux fois...</t>
  </si>
  <si>
    <t>20/06/2018</t>
  </si>
  <si>
    <t>coco13800-55163</t>
  </si>
  <si>
    <t>Super assurance à condition de ne rien en attendre!!!! Depuis le sinistre du 21 mars toujours rien ( je me doute de leur réaction si on mettait autant de temps à les régler...).des que je suis dédommage je résilie auto et habitation...</t>
  </si>
  <si>
    <t>19/05/2018</t>
  </si>
  <si>
    <t>directarnac-63534</t>
  </si>
  <si>
    <t>Je ne vois pas par quoi commencer tant il y en a à dire sur cette soi-disant assurance.
Tout est délocalisé, ne comptez pas avoir un interlocuteur sachant s'exprimer (parler, écrire) ni comprendre (lire, écouter) correctement le français.
Un sinistre ouvert depuis mai 2017 toujours pas réglé au bout d'un an.
Pire, l'assurance me piège avec un artisan véreux chargé des refections dont les ouvriers sont non seulement pas déclarés ni assurés mais également pas qualifiés pour des travaux de plomberie, ce qui est dangereux et inadmissible. Ces refections ne sont d'ailleurs toujours pas achevées.
Aucun suivi, aucune couverture, aucune écoute, aucun interocuteur.
Vous aurez encore plus d'embarras (pour être poli) aprés leur avoir déclaré votre sinistre qu'avant ! ce qui est surréaliste !
FUYEZ CETTE ASSURANCE AVANT QU'UN SINISTRE NE VOUS ARRIVE ET NE VOUS FAITES PAS AVOIR AVEC LA VENTE FORCÉE !</t>
  </si>
  <si>
    <t>24/04/2018</t>
  </si>
  <si>
    <t>gege018-60185</t>
  </si>
  <si>
    <t>J'ai pris cette assurance pendant 3 ans pour mon ancienne adresse. Pour ma nouvelle adresse j'ai repris un nouveaux contrat à date d'effet du 30 novembre 2016. Je reçois un courrier le 13 septembre 2017 découvrant que la nouvelle période démarre à partir du 1er novembre avec un premier prélèvement le 4 novembre (Premier prélèvement 2X plus cher car comprenant la taxe d’attentat). Le 25 novembre 2017 je décide de changer d'assurance en appliquant la loi hamon. Courrier reçu par direct assurance le 29 novembre 2017 avec une fin d'effet du contrat le 24 décembre 2017. N'ayant pas de nouvelles ce jeudi 4 janvier 2018 je décide d'aller voir ma nouvelle assurance afin de faire un point. Celle ci appel Direct assurance. Au final Direct assurance m'informe que la résiliation a était refusé car il manqué 1 jour pour faire UN AN. (Pourtant pour la reconduction il n'ont pas attendu 1 an.....) Pourquoi ne pas m'avoir prévenu ? "Monsieur on n'envoie pas de courier mais on vous à envoyer un mail  le 29 novembre pour vous prévenir...." (J'ai pourtant également résilié mon contrat auto chez eux a la même date j'ai reçu un courrier+ mail de confirmation mais aucune trace pour l'habitation....) Direct assurance = Mauvaise foi Quand je vois comment il gère une simple résiliation heureusement que je n'ai jamais eu de sinistres.....</t>
  </si>
  <si>
    <t>04/01/2018</t>
  </si>
  <si>
    <t>nath-59952</t>
  </si>
  <si>
    <t>BONJOUR
J AI UN SINISTRE DE BRIS DE GLACE EN DATE DU 11 NOVEMBRE VU QUE JE N AI PAS PRIS VOTRE SOCIETE ET EN N AI TROUVE UN QUI ETAIT PLUS RAPIDE AU NIVEAU DELAI DE CHANGER MA VITRE A CE JOUR IL Y A QUELQU UN QUI FAIT BARAGE SUR MON DOSSIER SANS CITER DE NOM, ON M AVAIT ANNONCE QU IL FALLAIT ATTENDRE 15 JOURS PUIS  APRES 1 MOIS A CE JOUR IL Y A 1 MOIS ET DEMI ET QUAND J APPELLE ON ME REPOND IL FAUT ATTENDRE !!ET ON NE ME REPOND PLUS PAR MAIL MERCI POUR LE SERVICE ! JE PENSE QUE L ON SE MOQUE DE MOI ! IL EST INADMISSIBLE QUE CE DOSSIER TRAINE SURTOUT QUE POUR FAIRE DES ECONOMIES J AI REFUSE LA SECURITE VU QUE LA SOCIETE TROUVE POUVEZ M EFFEUCTUER LES TRAVAUX 5 JOURS APRES ET DEPUIS RIEN ETANT CLIENTE DEPUIS TRES LONGTEMPS ET AYANT AUSSI MON CONTRAT VOITURE JE SUIS BIEN DÉÇU DE DIRECT ASSURANCE.OU DU MOINS LES INTERVENANT QUI TRAVAIL POUR EUX!
JE NE FERAI PAS DE PUB.
CORDIALEMENT</t>
  </si>
  <si>
    <t>26/12/2017</t>
  </si>
  <si>
    <t>novaisb-59066</t>
  </si>
  <si>
    <t xml:space="preserve">Très déçu par cette compagnie malgré une fidélité de 20 !! J'ai toujours été à jour de mes cotisation et jamais aucun sinistre déclaré, mais le chèque de ma dernière cotisation ayant été soit disant égaré, mais pourtant bien débité de mon compte, c'est à moi de prouvé le règlement effectif !!! Après plusieurs appel au service clientèle, et malgré des explications précises , aucune solution trouvée, a part un nouveau règlement en direct par CB. Bref j'ai la preuve que le chèque est débité et je fourni le document de ma banque mais non je dois juste payer pour éviter une résiliation d'office ! Cependant comme je vendais ma maison dans le même temps, j'ai fait résilier cette assurance via mon notaire et j'ai donc reçu la prise en compte de cette demande. Mais ils sont tellement bien organisés que ce matin je reçois une nouvelle lettre m'annonçant que mon contrat est résilié pour défaut de règlement......Bref, un assureur qui n'assure pas niveau service client, les conseillers sont désagréables, totalement incompétents et n'apportent aucunes solutions alors qu'ils admettent tous leurs manquements....je déconseilles fortement cette compagnie, certes en avance il y a 20 ans quand j'ai souscrit chez aux, mais totalement dépassée aujourd’hui et ce à tous les niveau....à FUIR TOTALEMENT !!! </t>
  </si>
  <si>
    <t>23/11/2017</t>
  </si>
  <si>
    <t>ab-56872</t>
  </si>
  <si>
    <t>Assuré depuis 8 ans, sans sinistre</t>
  </si>
  <si>
    <t>25/08/2017</t>
  </si>
  <si>
    <t>joke42-53864</t>
  </si>
  <si>
    <t>24% D'augmentation sur mon assurance habitation.
j'ai eu une augmentation de 24% sur ma prime d'assurance pour 2017.j'ai appele pour avoir des explications ,la conseillere n'a pas su justifier cette augmentation .elle m'a dit qu'on allait me rappeler sauf qu'au bout de 15 jours toujours rien: DA Meilleur pour placer des contrats que pour repondre aux questions des societaires.j'ai donc resilié mon contrat .or aujourd'hui je me retrouve dans les mains d'une societe de contentieux INTRUM JUSTICIA Car ma resiliation n'a pas ete prise en compte et en plus il me demande la totalite de la prime de 2017.C' est tout simplement SCANDALEUX.je leur est fait 3 courriers EN RAR mais rien n'y fait on me repond que j'ai resilie hors delais alors que d'une part ils sont infichus de me repondre sur l'augmentation des 24% et de plus c'est DA Qui m'a fait depasser le delais car ils ne repondents pas à mes sollicitations en temps et en heure.IL est evident que je ne paierai pas un centime, que je vais mettre le dossier dans les mains des associations de consommateurs voir d'un avocat et que je vais resilier mon second contrat chez eux à echeance de celui ci. JE vous laisse mes cordonnees au cas ou quelqu'un aurait un tant soit peu le sens du client.
joel.vial@orange.fr
0685529685</t>
  </si>
  <si>
    <t>very-52993</t>
  </si>
  <si>
    <t xml:space="preserve">Madame , Monsieur Vous faites preuve de bonne foi, vous êtes très mal accueillis et en second plan on vous harcèle par des lettres recommandées qui succèdent tous les jours pour un retard de réception dans leurs organismes de vos chèques de règlement de vos assurances habitation ou voiture ils ne prennent pas la peine de vérifier le courrier alors que vous êtes à jour dans vos payements , ils ont un des plus mauvais principes de reporter toutes les fautes sur les clients ils s'en lavent les mains, sauvons-nous très vite de direct assurances, en ce qui me concerne ils ne verront plus la couleur de mon argent dernière année , je les conseille de prendre des cours d'éducation ils n'ont aucun savoir vivre ,ni scrupule seul l'argent ne les  intéresse ,sachez que je ne récupèrerai plus les recommandées je m'adresserai au service consommateur pour harcèlement et pour le langage que vous entretenez au bout du fil , l'année prochaine je donnerai mon argent à une autre compagnie d'assurances où je serai la bienvenue, vous avez un comportement détestable,un détail très important il ne faut pas omettre de le signaler votre personnel ne mérite pas le poste qu'il occupe, de quel Sahara vient-il?????    SALUT BON VENT ENVOYEZ-MOI MA VIGNETTE VOITURE à COLLER Très VITE et RAPIDEMENT  MON ASSURANCE EST réglée pour l'année vous avez le devoir de respecter  les conditions obligatoires                   </t>
  </si>
  <si>
    <t>04/03/2017</t>
  </si>
  <si>
    <t>cricrinettedeseptemes-51787</t>
  </si>
  <si>
    <t>En 16 ans jamais de sinistre ni habitation ni auto aujourd'hui j'ai un sinistre dans ma salle de bain et ils ne veulent rien entendre de leur côté c'est statut-quo, apres deux lettres recommandées  je ne recommande pas cette compagnie.je ne me suis jamais fait tirer l'oreille pour payer, par contre eux ils font la sourde oreille.</t>
  </si>
  <si>
    <t>28/01/2017</t>
  </si>
  <si>
    <t>mhnou-50323</t>
  </si>
  <si>
    <t xml:space="preserve">très mauvais contact et aucun suivi de client en attente d un litige toujours en attente de leur part </t>
  </si>
  <si>
    <t>15/12/2016</t>
  </si>
  <si>
    <t>jean-louis-137945</t>
  </si>
  <si>
    <t>Pour encaisser les mensualités pas de soucis quand il s'agit de défendre ses sociétaires là il n'y a plus personne. Je déteste massacrer les gens mais cet assureur est le pire auquel j'ai eu affaire. je suis entrain de résilier.</t>
  </si>
  <si>
    <t>Pacifica</t>
  </si>
  <si>
    <t>21/10/2021</t>
  </si>
  <si>
    <t>helene--132572</t>
  </si>
  <si>
    <t xml:space="preserve">J'ai eu un dégâts des eaux en février 2021 à ce jour aucun travau n'a été effectué.
Pacifica m'a envoyé un entrepreneur deux semaines après ma déclaration pour faire un premier devis puis en Mai ils mon envoyer un expert pour un deuxième devis et à ce jour plus de nouvelles de pacifica.
Impossible de joindre la personne qui s'occupe du dossier. Alors j'appelle info travau qui me trouve beaucoup d'excuse du fait que mon dossier prend du temps. 
Bref ne prenait pas cette assurance </t>
  </si>
  <si>
    <t>14/10/2021</t>
  </si>
  <si>
    <t>catarina--136793</t>
  </si>
  <si>
    <t xml:space="preserve">pour la deuxieme fois en 6 mois mon contrat a été resilier sans m'en avertir je n'ai aucun incident de paiement ni degats je vais résilier de moi meme les 3 autres contrats chez eux ainsi que mon compte banquaire qui sait le bleme qui peut arriver sur mon compte très mecontente de plus quand j'ai appelé ne sait pas le souci attendre lundi pour plus de rensegnements 
</t>
  </si>
  <si>
    <t>09/10/2021</t>
  </si>
  <si>
    <t>jp-135665</t>
  </si>
  <si>
    <t xml:space="preserve">Nul,ma banque m’a forcé la main pour la protection de notre maison,mais les gens ne vous rappelle jamais limite correcte avec vous 
2sinitres depuis presque 2ans et toujours pas de travaux engagé,c’est pas normal 
J’envisage de partir une fois les travaux fini si il commence un jour 
A fuir et je ne conseillerai jamais ces gens là </t>
  </si>
  <si>
    <t>03/10/2021</t>
  </si>
  <si>
    <t>levieuge-135062</t>
  </si>
  <si>
    <t>Suite à notre sinistre, l'assureur à été très réactif .la visite de l'expert fut également très rapide.L'aide financière pour commencer les travaux était appréciable.
nous ne changerions pas d'assurance !</t>
  </si>
  <si>
    <t>29/09/2021</t>
  </si>
  <si>
    <t>tiphaine--134940</t>
  </si>
  <si>
    <t xml:space="preserve">Fuyez!!!!
Aucune communication.
Aucune prise en charge. 
Bref une assurance a ne pas souscrire. 
Pacifica ne vous assure pas. 
Ils limitent la prestation à prélever l’abonnement mensuel et ne fournissent plus aucun service en cas de besoin. 
Impossible d’obtenir une réponse du conseiller 
Je me demande même si l’agence de Rouen existe réellement 
</t>
  </si>
  <si>
    <t>28/09/2021</t>
  </si>
  <si>
    <t>milie-133971</t>
  </si>
  <si>
    <t xml:space="preserve">À fuir !!!! Ne répond pas aux appels ! J'ai une infiltration dans mon séjour, depuis 10 jours je suis derrière et rien ! Je suis vraiment énervée ?????? quand j'aurai réglé le problème, je quitterai cette assurance </t>
  </si>
  <si>
    <t>22/09/2021</t>
  </si>
  <si>
    <t>mick-132065</t>
  </si>
  <si>
    <t>Malgré un coût plus élevé que la moyenne cet assureur est décevant.
La première prise de contact est rapide, par contre, il faut ensuite les relancer plusieurs fois avant d'avoir un retour.
Depuis qq temps, une franchise est systématiquement appliquée et si vous n'attendez pas qu'ils mandater un intervenant, vous devez faire l'avance...et patienter de longues semaines avant d'être remboursé après de multiples justificatifs pas toujours... justifiés ni justifiables.
Assureur à éviter</t>
  </si>
  <si>
    <t>09/09/2021</t>
  </si>
  <si>
    <t>claudie728-131519</t>
  </si>
  <si>
    <t xml:space="preserve">sinistre degat des eaux, expert mandaté imbu de sa personne, vous rendant mal a l'aise tout le long de l'expertise pour au final rendant une expertise a zero en ayant bien preparé son dossier avant de venir...
Aucun recours et discussion possible avec Pacifica qui suit son compte rendu,quelle honte...
A fuir, d'ailleurs plusieurs contrats de notre famille vont migrer vers d'autres assureurs surement plus compétents et sérieux...
Et pourtant, je prônais les mérites de cette assurance à ma famille, mes amis...
Plus maintenant </t>
  </si>
  <si>
    <t>08/09/2021</t>
  </si>
  <si>
    <t>yokoso13--131769</t>
  </si>
  <si>
    <t>lamentable , mon conseillé ma fait une assurance habitation + assurance voiture, le 15 juillet j'ai vendu mon appartement donc je fais un courrier avec attestation de vente du notaire de l appartement et demande de résilier l'assurance ,tout en recommandé accusé de reception le 05/08/2021 , aujourd'hui le 07/09/2021  je recois un courrier de Pacifica me demandant de leur envoyé l acte de vente de l appartement car ils n'ont pas reçu mon courrier , je craque car a chaque fois que vous leur telephoné vous vous faites tous les services, c'est une honte si cela continu je vais porter plainte contre Pacifica et la poste</t>
  </si>
  <si>
    <t>07/09/2021</t>
  </si>
  <si>
    <t>virginie-125365</t>
  </si>
  <si>
    <t xml:space="preserve">Suite a des inondations reconnues catastrophe naturelle j ai été très bien prise en charge et remboursee: mon interlocuteur pacifica est à mon écoute, soit il m appelle soit il m envoie un.mail mais généralement j ai un.retour a j+1
Nous avons été remboursés d heures de ménage faits.par nous même, d un groupe électrogène pour palier à la.coupure d électricité et à un deshumidificateur, en plus des dégâts causes par les inondations
Je recommande </t>
  </si>
  <si>
    <t>29/07/2021</t>
  </si>
  <si>
    <t>colombini-123967</t>
  </si>
  <si>
    <t>Aucun souci pour me faire rembourser un décodeur détruit par un orage.
Amabilité, Rapidité, aucun problème de la part de Pacifica
Assurance au top
Merci</t>
  </si>
  <si>
    <t>anthony-94-123222</t>
  </si>
  <si>
    <t xml:space="preserve">Assurance Nulle de chez nulle, perte de temps incroyable, fait semblant de pas comprendre, d'un appel à l'autre et donc d'un interlocuteur à l'autre faut tout reexpliquer une catastrophe ! Un mois avec un trou dans mon mur pour entendre dire besoin d'un devis bref incroyablement nulle ! Je regrette la Macif! Je clos ce sinistre et retourne chez mon ancien assureur !!!!! </t>
  </si>
  <si>
    <t>rougier-122412</t>
  </si>
  <si>
    <t>Honteux en therme d'assurance habitation, voici maintenant bientôt 4 mois qu'un dégât des eaux entrainant un changement complet de ma cabine de douche a été déclaré. Un plombier a été missionné par mon assurance et cela fait 3 mois qu'il me dit que la nouvelle cabine n'a tjs pas été livré j'ai donc rappelé Pacifica afin de savoir comment pourrions-nous faire afin de dédommager d'éventuelles frais de relogement puisque je ne peux plus me laver dans mon propre appartement leurs réponse fut simple et clair ils ne me dédommageront rien étant donné que mon appartement n'est pas dans un état dit insalubre. Pour eux puisque j'ai accès à un point d'eau (L'évier de la cuisine ou de la salle de bains) l'appartement est parfaitement viable en gros en 2021 se laver au gant de toilette pdt plus de 3 mois ne parait pas être un problème. Cette situation sans issue est une honte je vie seul dans une région ou je n'ai pas de famille et par ces temps de pandémie il me parait fort déplacé d'aller demander à des collaborateur de bureau si je peux me douché chez eux; 1 fois pourquoi pas mais 3 mois cela me semble abusif.</t>
  </si>
  <si>
    <t>titouan-121274</t>
  </si>
  <si>
    <t xml:space="preserve">J ai eu un degat suite a vent fort une tôle est parti dans ma piscine et à percé mon liner . J ai appelé l assurance ils m ont dis qu'ils n avient pas  de vent fort sur la commune ni le caton er donc qu'ils ne couvraient pas ce dégâts le jour suivant  le vent c est amplifier le secteur était éligible a l assurance même tf1 en parlait a son journal . Je suis dégoûté par ce système qui fait tout pour ne pas nous indemniser . A un.mot pret vous etes démuni. Lamentable .
</t>
  </si>
  <si>
    <t>26/06/2021</t>
  </si>
  <si>
    <t>bil-116666</t>
  </si>
  <si>
    <t>catastrophine cette assurance suite à un sinistre pour lequel je n étais pas responsable , mes locataire ont quittés l appartement devenu insalubre aucune compensation de pacifica pour la perte des Loyes incapable de trouver des artisanats , je resilie tous mes contrats 
je déconseille fortement cette assurance</t>
  </si>
  <si>
    <t>10/06/2021</t>
  </si>
  <si>
    <t>roberto--114591</t>
  </si>
  <si>
    <t xml:space="preserve">Très bonne assurance tant qu'on as pas de sinistres...Je suis très déçu de leurs services et ne recommande pas cette assurance.
A quoi sert une assurance si elle ne permet pas de garantir nos sinistres? 
Ou alors prenez uniquement cette assurance avec une formule au minima si vous désirez avoir juste une assurance obligatoire. </t>
  </si>
  <si>
    <t>swas-112709</t>
  </si>
  <si>
    <t xml:space="preserve">Bonjour une déclaration de sinistre d un montant de 250€ qui traîne depuis 6 mois 
On m avait dit que le sinistre était pris en charge et ce matin je rappelle j ai Armelle au téléphone à éviter ou surtout à changer de poste tellement elle est désagréable je dirais même agressive , et me dit que non 
Du coup rendez vous avec ma banque crédit agricole et résiliation maison /voiture 
Aucun sinistre depuis 2010 en plus ils sont chers et remboursent très mal au vu des commentaires 
Armelle une cliente perdue mais comme vous m avez fait comprendre ça ne vous atteint pas </t>
  </si>
  <si>
    <t>dan-81782</t>
  </si>
  <si>
    <t>Sinistre degat des eaux chez un locataire en aout 2019. L assurance aussitot averti. Pacifica veut faire intervenir une entreprise de son choix, cela a pris des mois alors que via mon agence de gestion c etait fait dans la journee, au pire dans la semaine. Pas d information au client, je dois aller à la chasse aux infos. Apres avoir validé une entreprise aussitot pour faire reparer le probleme exterieur il faut maintenant faire reparer les degats interieurs pris en charge par Pacifica. Un devis est envoye à Pacifica par l agence. pacifica le refuse, il donne le montant pris en charge maximum. Deuxieme devis qui rentre dans leurs criteres est envoyé et valide. Travaux effectués. Subitement, on nous averti qu un expert passe pour voir les travaux a faire. Sauf qu ils ont ete fait puisque Pacifica a donné son accord. Maintenant Pacifica ne veut pas intervenir financierement car les degats ne peuvent plus etre verifies par l expert....pour 1000 euros!!!!! Bon, et bien on est bon pour un recours en justice mes amis pacifistes.....</t>
  </si>
  <si>
    <t>03/05/2021</t>
  </si>
  <si>
    <t>laika-112316</t>
  </si>
  <si>
    <t>Bonjour, Je suis assuré chez Pacifica  dont je ne suis pas du tout satisfaite de leurs comportements , j'ai eu un sinistre au mois de Mai 2020 et a ce jour je suis toujours au même point . Pacifica a mandaté une entreprise de leurs choix celle-ci est venue faire les travaux , cette entreprise inapte aux réparations de véranda. Pacifica ne réponds pas au courriers en LRAR ni aux mails tout par téléphone chose que je désapprouve vu qu'il ni a pas d'écrit pour faire preuve. Vu mon mécontentement Pacifica a envoyé un expert après les travaux normalement un expert viens avant!!!! Celui a fait un rapport vraiment néfaste pour lui l'entreprise  bien travaillé tout viens de la vétusté de ma véranda or lors de son passage il n'a même chercher a coulisser les baies , pour lui les roulettes sont usées or pour voir ça il faut démonter les baies, je constate que les experts sont tout pour les assurances et le sinistré n'a que ses yeux pour pleuré!!!
On est assuré pour tout sauf pour ce qui nous arrive et bon pour payé tous les mois l'assurance honteux!</t>
  </si>
  <si>
    <t>nardo2013br-25542</t>
  </si>
  <si>
    <t>titulaire de plusieurs contrats multirisques habitations, véhicules, protection juridique, nous avons eu recours à leurs services pour deux différents dossiers (habitations, protection juridique) difficultés à obtenir au téléphone, et après plusieurs entretiens nous apprenons que les garanties ne sont pas prévues au contrat ????? Lire entre les lignes avant de s'engager pour leurs contrats.</t>
  </si>
  <si>
    <t>melka-111315</t>
  </si>
  <si>
    <t xml:space="preserve">Zéro pointé suite à cambriolage un expert qui pose des questions qui non aucun rapport un service sinistre qui ne répond plus pas de remboursement pas de nouvelles ne respecte pas le contrat depuis août 2020 j'espère pouvoir changer d'avis </t>
  </si>
  <si>
    <t>bd-110532</t>
  </si>
  <si>
    <t>Un grand merci à Florine pour la gestion de mon dossier de dégât des eaux, pour son professionnalisme et sa gentillesse. Le passage des experts a été très cordial. Le RDV de début des travaux est fixé (remplacement d'un parquet en chêne de 60m2).
Je recommande bien entendu PACIFICA, mon sinistre a été réglé avec sérieux.</t>
  </si>
  <si>
    <t>ll-110452</t>
  </si>
  <si>
    <t>J'ai quitté mon appartement que j'ai loué en France depuis 06/2018, j'ai payé un contrat d'assurance habitation d'un an mais je ne savais pas que le contrat pouvait être renouvelé automatiquement.  la compagnie d'assurance a continué à retirer de l'argent de mon compte bancaire pendant près de deux ans après mon départ.  quand j'ai réalisé en 2021, j'ai tenté de résilier le contrat par l'intermédiaire de mon conseiller bancaire LCL, je lui ai envoyé près de 8 documents pour justifier que je n'habite plus dans cette résidence: document inclus (mon précédent contrat de location france qui s'est terminé le 30 /  06/2018, document scolaire justifiant que je suis en programme d'échange et que je vis dans un autre pays, certificat de résidence gouvernemental et plusieurs autres documents) pourtant la compagnie d'assurance a répondu par «nous ne résilierons pas le contrat faute de preuves  ».  Je n'ai jamais entendu un contrat que vous pouvez conclure mais que vous ne pouvez jamais résilier.? 
dans l'ensemble, je ne recommanderais jamais cette société, et je suggère que lors de la souscription d'une assurance résidentielle auprès de votre banque, assurez-vous de vous renseigner sur le nom de la société et si c'est celle-ci, restez à l'écart. 
 Est-ce que quelqu'un a des suggestions?</t>
  </si>
  <si>
    <t>oldesem-108147</t>
  </si>
  <si>
    <t xml:space="preserve">2 années de suite qu'une partie de ma palissade est emportée par le vent. La première fois, PACIFICA m'a remboursé 800€ afin que je puisse faire les travaux de réparation(Que j'ai réalisé). Pour cette 2ème expérience (Une autre partie de ma palissade), j'ai envoyé un devis de mon artisan pour remplacer la partie arrachée par une palissade en Alu. Sachant que je vais en plus refaire l'ensemble (Tous le reste) à mes frais afin que ce genre de déconvenue ne se reproduise plus. PACIFICA à refusé le devis m'expliquant qu'il faut refaire la palissade à l'identique en bois. Même si je dois les rappeler chaque année après chaque tempête. Je suis circonspect et totalement furieux. </t>
  </si>
  <si>
    <t>dominion-107549</t>
  </si>
  <si>
    <t xml:space="preserve">Bonjour,
Résumé de situation:
Après un gros dégât des eaux sur un parquet massif (20m² sur 40)
Devis de travaux envoyé mi-novembre 2020 (&gt; à 5000euros demandant un passage d'expert)
Passage de l'expert début décembre 2020 (estimation de l'expert 
                            </t>
  </si>
  <si>
    <t>aline-102995</t>
  </si>
  <si>
    <t>Fuyez ! Malgré les confinements et la diminution des risques auto et habitation en 2020, Pacifica fait partie du peu d'assureurs qui refusent d'appliquer la loi et d'accorder une réduction des cotisations sur 2020. Pire encore, il ont augmenté leurs tarifs 2021 (30 euros pour ma part sur chacun de mes contrats et aucune explication donnée par mon conseiller) ! Attention quand vous résiliez, faites opposition à vos prélèvements tout de suite car ils continuent de prélever des échéances bien après la résiliation des contrats et derrière, c'est une vraie galère pour obtenir le remboursement. Pour ma part, le dossier est parti en litige chez le médiateur !</t>
  </si>
  <si>
    <t>cguyart-104790</t>
  </si>
  <si>
    <t>J'ai contacté l'assurance à deux occasions, un accident survenu dans l'habitation en 2020 et une pénétration avec vol cette nuit. Beaucoup de mal à les joindre et dans les deux cas nous ne rentrions pas dans leurs cases... Bref une assurance bien chère, peu disponible mais qui ne couvre jamais :-( Vive les astérisques en bas du contrat... Je déconseille très fortement.</t>
  </si>
  <si>
    <t>thomas-104776</t>
  </si>
  <si>
    <t xml:space="preserve">Vu la situation, il me semble nécessaire de faire un retour d'expérience sur mon assurance Pacifica du Crédit Agricole et la société d' « expert » Polyexpert. Les deux sont à éviter !!!! Ce retour d'expérience a pour but de vous informer et vous prévenir sur la qualité de service de cette assurance/banque ainsi que de la société d'expertise.
Il a 4 mois, un conducteur est entré en collision avec un des murets de notre portail. Le muret est toujours défoncé. Le portail électrique est toujours inopérant. Tout cela est uniquement dû à mon assurance. L'assurance du conducteur n'a posé aucun problème. 
Voici les faits :
Une fois le constat envoyé à Pacifica, ils ont envoyé deux artisans qui ont fait des devis (une pour le portail et l'autre pour le muret)
Ensuite, l'assurance a envoyé un « expert » de chez Polyexpert. Cet « expert » était très condescendant et son rapport est « ni fait ni à faire ». Dans ce rapport, il mélange les montants et artisans, tout ça pour couper les devis en deux. Naturellement les artisans ont refusé le chantier. 
Une autre société (Rousset fermeture), que j'avais trouvé sur Evreux, est venu pour faire un devis que je n'ai jamais vu, au final …j'ai appelé deux fois. La première fois, la secrétaire m'a demandé si je voulais tout de même un devis, même s'il dépassait le montant de l'expert. Je lui dis oui et, après une semaine, je rappelle… Elle me pose la même question en me soulignant que, de toute façon, ils ne prendront pas le chantier.
En parallèle, une nouvelle société, venant de Paris et missionné par Pacifica, est venue pour faire un devis, il y a plus d'une semaine. Depuis, toujours pas de nouvelle alors que Pacifica a le devis depuis un semaine selon la société.
Pour info, j'ai fait appel à une autre entreprise d'expert (Lamy Sinistre à Evreux) pour une contre-expertise. Malheureusement, encore une fois, j'ai échangé avec eux, au début, et après ils n'ont plus donnée de nouvelles malgré mes appels. Heureusement, je n'avais encore rien signé avec eux.
Conclusion, Je vous conseillerais simplement d'éviter les sociétés nommées. Je vous passe tout autre commentaire afin de laisser place aux faits et rien qu'aux faits.
NB: L'assurance ne répare que ce qui est cassé, du coup, il ne vont pas refaire le muret mais que la partie qui est cassée (reste à voir si ca va durer dans le temps...). Ils vont tout de même refaire l'enduit du muret entier mais pas celui de l'autre muret, si cela est accepté par l'"expert"... Du coup, je vais me retrouver avec deux murets différents. Merci le Crédit Agricole...
PS : J'ai eu le service relation client du Crédit Agricole mais ça n'a rien changé…
</t>
  </si>
  <si>
    <t>billet--104657</t>
  </si>
  <si>
    <t xml:space="preserve">Expertise sous évaluée  suite à  un sinistre incendie qui a entièrement détruit mon appartement 
J’ai reçu une proposition d’indemnisation 11 mois après les faits mais comme le " contenu " était sous estimé j’ai demandé la désolidarisation de l’immobilier ce qui m’a été refusé! Ayant engagé des travaux il m’a été dans l’obligation de signer cette proposition que je conteste toujours. Je voudrais récupérer le document de l’expert 
Aucune réponse favorable aucun retour en arrière ....et ce malgré de nombreuses relances!
</t>
  </si>
  <si>
    <t>23/02/2021</t>
  </si>
  <si>
    <t>?-103700</t>
  </si>
  <si>
    <t>Je trouve inadmissible que ma cotisation augmente sans en être averti.Je le découvre en regardant mon relevé de compte.
Surement à cause du COVID.(la bonne excuse)</t>
  </si>
  <si>
    <t>geoffeey-103679</t>
  </si>
  <si>
    <t xml:space="preserve">16ans chez Pacifica j'assure une piscine une maison de 200m2 aujourd'hui suite au inondations l'eau et rentre chez moi partout je déclare le sinistre il me réponde mes sur votre assurance il n'y a pas la pack jardin malgré qui a 2ans il me prenne 8euro de plus pour la piscine assurance a jamais prendre j'ai déjà fait des devis je par de chez eux inadmissible vraiment assurance a éviter preneur pas vos mieux perdre 3euro ailleurs. Que chez Pacifica 
</t>
  </si>
  <si>
    <t>omij51-101820</t>
  </si>
  <si>
    <t>Service sinistre compétent et disponible.
Toutefois, les artisans proposés pour la réparation n'ont plus donné de nouvelles après leur première visite, ce qui a retardé la résolution du sinistre.
Les prix sont beaucoup plus élevés que ceux qu'on peut trouver chez d'autres assureurs
(comparaison pour les mêmes garanties : 35€/mois GMF contre 53€/mois Pacifica).</t>
  </si>
  <si>
    <t>jbarata11-101386</t>
  </si>
  <si>
    <t xml:space="preserve">Pas de site pour voir les contrats .tout part la banque .10 ans assuré chez eu .et pas un sinistre .
Je vais aller chez MMA sur limoux .......
..,...
</t>
  </si>
  <si>
    <t>13/12/2020</t>
  </si>
  <si>
    <t>yamina--101101</t>
  </si>
  <si>
    <t xml:space="preserve">De loin la pire des assurances avec des employés vraiment sans compétences. 
En effets ils ont oubliés de faire le changement d'adresse j'était donc assurée à la mauvaise adresse. Ensuite j'apprends que mon contrat à été résilié sans ma demande. Et aujourd'hui un homme vraiment hautain me raccroche au nez et ça a été fait exprès. Après avoir appelee plusieurs fois une femme daigne à me répondre mais ne m'est d'aucune aide et au contraire elle est vraiment fatiguer de son travail insinu des choses grave à mon encontre sans aucune gêne 
 Aucun professionnalisme de leurs part et je parle des deux personnes que j'ai eu au téléphone. 
Vraiment c'est une honte d'embaucher des personnes qui n'ont ni le sens du relationnel ni professionnel. Javais toutes mes assurances chez vous( voitures, maison, mutuelle) je me ferai un plaisir d'aller autre part. Juste à cause de ces deux personnes INCOMPÉTENTES. 
Veillez à embauchez des personnes qui ne feront pas fuir vos clients ! </t>
  </si>
  <si>
    <t>mathieu--100891</t>
  </si>
  <si>
    <t xml:space="preserve">J ai été victime d’une catastrophe sécheresse . Pacifica, mon assureur, a mandaté un expert du fameux cabinet ( elex).
Des expert qui ne se déplacent pas, en tout cas pas le mien.
Qui parlent mal au téléphone, j ai eu l impression de parler avec dieu.
Au téléphone l expert me dit qu il va rendre un avis favorable à pacifica et la procédure risquerait d être très longue.
4 moins après tj pas de nouvelles, je contacte pacifica et là une personne me dit:
Vous êtes pas au courant ?
L expert nous a donné un avis défavorable.
Pourquoi vous ne me l avez pas dit plus tôt, j ai perdu du temps!
Voilà leurs réponse :
L assureur n est pas obligé d avertir les assurés ????????
Mon expert m a rendu une expertise ou son nom ne figure nulle part. 
Son expertise est rempli de contradiction.
Cependant pacifica trop heureux de ne pas rembourser ne fait rien pour faciliter une rencontre pour une contre expertise.
L expert en question mr P. ne répond jamais pour justifier son expertise.
J ai mandaté un expert indépendant il m a dit que le travail de l expert de pacifica a été bâclé.
Il c est énervé quand il a vu qu il n était même pas signé.
Je ne recommande pas cet assurance. Ni ce cabine d expert.
(Un ami âgé  a eu un souci avec le cabinet elex aussi l expert lui a dit « c est moi qui décide et je met ce que je veux dans mon rapport » bravo elex)
Pour obtenir le rapport d expertise de Alex expertise, ça été un grand moment,il m a fallut 4 lettres recommandées au cabinet Alex et à pacifica et plusieurs crises de nerf au téléphone.
( je viens d apprendre que cet expert ne fait plus partie d elex.
peut-être que pacifica sera intelligent et évitera la justice car je comptes en janvier 2021 aller défendre mes droits)
Je précise que tous mes voisins ( leurs expert c est déplacé) ont été dédommagés 
</t>
  </si>
  <si>
    <t>jp-100659</t>
  </si>
  <si>
    <t xml:space="preserve">Je dispose de 5 assurances habitation au crédit agricole par l'intermédiaire de Pacifica. les prix sont plus élevés que chez matmut. Aucune possibilité de négocier avec l'interlocutrice du crédit agricole. Il faut que je change d'établissement. </t>
  </si>
  <si>
    <t>jora-99943</t>
  </si>
  <si>
    <t xml:space="preserve">mais c'est quoi cette assurance sans aucune plateforme online, ils ont même pas de mail, du coup, en cette période de COVID, impossible d'échanger avec eux sur une plateforme dématérialisée. 
ILS ONT PAS DE E-MAIL... </t>
  </si>
  <si>
    <t>laeti-99894</t>
  </si>
  <si>
    <t xml:space="preserve">Dégâts des eaux depuis 18 mois. Il a fallu qu'on bataille juste pour obtenir les compte-rendus des artisans que Pacifica nous a envoyé. Les employés au téléphone ne s'y connaissent pas plusieurs ne font même pas la différence entre tout à l'égout et fosse septique ou micro station d'épuration. Ca tergiverse au maximum, Pacifica nous soutien que les réparations ont été faites alors qu'il n'y a eut que des recherches de fuites. Il y a une photo, sur un compte rendu, de l'intérieur du meuble de dessous d'évier et pacifica soutien que c'est le vide sanitaire parce que c'est sombre. Ils font les morts, ne reviennent jamais vers nous. Actuellement mon bébé dort dans une chambre à 85% d'humidité! J'ai mis une étoile car il est impossible d'en mettre zéro. </t>
  </si>
  <si>
    <t>dany-99779</t>
  </si>
  <si>
    <t>Absolument satisfaite de l'intervention rapide et du remboursement immédiat sur devis avec un acompte important et le solde à réception des factures. Je conseille totalement cette Assurance pour son sérieux.</t>
  </si>
  <si>
    <t>lolita-99328</t>
  </si>
  <si>
    <t xml:space="preserve">FUYEZ cette assurance !!! Ils font tout pour ne pas prendre en charge vos sinistres catastrophe naturelles ! Ils ne font même pas intervenir d'expert ! Et quand ils le font c'est pas vidéo ! Comme si un expert pouvait se rendre compte de l'état d'une maison par vidéo puis après ils cherchent toutes les façons pour mettre la faute sur autre chose sans vraiment pointer du doigt quelque chose en particulier qui aurait été mal fait lors de la construction. Ils ne donnent aucune explications, ils ne vous tiennent au courant de rien et ne répondent jamais au téléphone ! </t>
  </si>
  <si>
    <t>lane-99086</t>
  </si>
  <si>
    <t xml:space="preserve">Avons plusieurs fois fois eu affaire à Pacifica suite à de malheureux dégâts dans notre maison.
Cherchent par tous moyens à rembourser le moins possible, me direz vous c'est l'objectif de toutes assurances, cependant il y a des façons de faire qui ne passent pas.
Des réflexions au téléphone par une conseillere concernant la météo, pas de dégâts liés à la tempête chez elle (tant mieux pour vous), pas de pack jardin dc clôtures non prises en charge, on ne l'apprend que lors du sinistre bien entendu. Concernant notre dégât des eaux, la recherche de fuite n'est pas prise en charge et les travaux ont engendré nous semble t il une bataille entre eux et leur société agréée, et tout cela pendant le covid, en laissant passer quelques mois ont pensé que nous aurions oublié quelques détails... Résultat expert OK, entreprise OK, et Pacifica rembourse les travaux en périphérie du coffrage situé sous la fuite d'eau !!!! On marche sur la tête !!!!  Et nous avons appris tout cela grâce à l'honnêteté de l'ouvrier travaillant sur le chantier.
Nos soucis auront duré plus d'un an,  les dossiers plusieurs fois "laissés de côté" je cite, avons du relancé plusieurs fois les conseillers. C'est une aberration.
Pacifica c'est terminé pour nous. </t>
  </si>
  <si>
    <t>22/10/2020</t>
  </si>
  <si>
    <t>yossicb-99075</t>
  </si>
  <si>
    <t>Durant 16 ans j'ai été assurée chez Pacifica, avec un seul dégât suite à une tempête de grêle à signaler. Alors de la mise en location de ma maison et la résiliation de mon assurance habitation, personne ne m'a signalé que je devais prendre une assurance propriétaire non occupant et bien sûr on ne l'apprend que lorsque l'on a des problèmes et là ... on apprend que Pacifica ne veut plus jamais nous assurer ! Heureusement que les concurrents sont plus compréhensifs. Mais bravo à Pacifica pour sa manière de traiter ses fidélité clients ! Zéro pointé</t>
  </si>
  <si>
    <t>nini-99055</t>
  </si>
  <si>
    <t xml:space="preserve">Des garanties difficilement egalables : reconstruction "A L'IDENTIQUE" , remplacement de tout de qui n'est pas immobilier à neuf, quel que soit l'âge, spécial coup dur (prise en charge des mensualités de crédit en cas de sinistre ne permettant plus de vivre dans la maison et jusqu'à 2 ans de relogement ) , cadeau de franchise au bout de 3ans sans sinistres, droit à l'erreur, plafond d'indemnisation élevé, prix compétitif, pas besoin de facture. </t>
  </si>
  <si>
    <t>brieubland-98623</t>
  </si>
  <si>
    <t>J'essaie de résilier l'assurance habitation depuis mai pour un logement quitté en janvier !
On est en octobre et je continue d'être prélevé, 
Ils sont bien là pour prendre l'argent.
Assurance à fuir le plus vite possible. Aucune réponse de leur part...
Bien entendu je ne serai pas remboursé pour les mensualités payées en trop........
Ça laisse une image bien déplorable de cette assurance vraiment, mais je vais faire toute la pub nécessaire pour que le plus de monde possible ne s'assure pas au crédit Agricole.</t>
  </si>
  <si>
    <t>naho-96299</t>
  </si>
  <si>
    <t>Je regrette amèrement d'être rester chez cet assureur Pacifica Crédit Agricole. Requis lors de l'obtention du prêt avec le Crédit Agricole, tout est facile pour y souscrire. Une petite signature avec votre conseiller bancaire et c'est tout bon !
Par contre suite à la vente du bien immobilier, ils font traîner la résiliation et demande une lettre manuscrite par courrier.  Alors bien même que le prêt remboursé appartient à la même compagnie, à savoir le Crédit Agricole. 
Je vous conseille de changer d'assurance habitation après la première année selon les termes de la loi Hamon, et de choisir un vrai assureur. Ce que j'aurai dû faire.</t>
  </si>
  <si>
    <t>kstephant-96223</t>
  </si>
  <si>
    <t>Bonjour à tous,
Pacifica est une assurance habitation aux pratiques limites !
1er dégât : ils m'ont mandaté une entreprise qui a très mal effectué les travaux et sans respecter le contrat qui stipulait que les travaux devaient être réalisés selon l'existant. Depuis, aucune intervention de leur part, les conseillers gagnent du temps...
2ème dégât : mon dossier traîne chez eux depuis deux ans et leur stratégie semble à nouveau être de gagner du temps. La dernière expertise de leur part semble montrer qu'il n'y a pas de preuve d'infiltrations, et pour cause : je vis sur place donc j'ai évidemment nettoyer les dégâts entre 2018 et 2020. J'ai la facture de l'entreprise venue colmater les infiltrations et des vidéos du dégât datant d'avant la réparation, pourtant l'assurance Pacifica refuse la prise en charge (contractuelle), je suis dans une impasse : ils ont gagné...
Fuyez avant de signer !</t>
  </si>
  <si>
    <t>rbfbl-96028</t>
  </si>
  <si>
    <t>Pacifica est mon assureur depuis de nombreuses années. Trop cher, j'ai voulu comparer avec des assureurs moins chers et avec les avantages de Pacifica, pas de franchise, valeur matérielle à neuf, différentes options pour coller au plus grand nombre, pas de chichi, un contact téléphonique simple hors plate-forme. Je n'ai rien trouvé pour remplacer PACIFICA à un prix comparable. Les prix d'appel se faisant hors options et avec des franchises considérables.</t>
  </si>
  <si>
    <t>07/08/2020</t>
  </si>
  <si>
    <t>mick-96007</t>
  </si>
  <si>
    <t>Assurance qui ne joue pas son rôle. Accepte les cotisations mais vous laisse dans la galère en cas de sinitre.
Rdv pris pour une recherche de fuite et annulation définitive du rdv la veille.
Je ne conseille pas cette assurance qui n est pas la moins chère avec un service qui est limite.</t>
  </si>
  <si>
    <t>06/08/2020</t>
  </si>
  <si>
    <t>flo01290-95854</t>
  </si>
  <si>
    <t xml:space="preserve">Nous nous sommes retrouvé enfermé chez nous hier soir, donc j appel l assistance pour avoir un dépannage serrurier afin d ouvrir la porte entrée. La je recois un premier message me disant que sur la ville la plus proche de chez nous, aucun prestataire affilié a pacifica, le plus proche étant à bourg en bresse, mais fermé. Je rappelle, la on me propose un depanneur sur anse (environ 1h30 de mon domicile). Et ok me dit que l assurance ne couvrira que les frais de déplacement(150 euros environs) mais pas l intervention, sans me donner de montant ( un dimanche en plus...). Bref je refuse, du coup avec mon voisin on trouve une solution en decoupant une grille de defense d une fenêtre donnant sur le garage, et en la forçant nous pouvons acceder au garage et rentrer dans la maison. Je rappelle ce matin pour savoir si une prise en charge serait possible pour ressouder la grille par une entreprise que je connais bien qui ma proposer de réaliser l intervention, qui ne depassera pas les 80 euros... On me  rappelle me dire que malheureusement aucune prise en charge n'est possible, que nous avions refusé leur solutions et comme c est nous qui avions découper la grille, cela ne rentrer pas dans leur conditions et que même pour un sinistre, j avais pei de chance de me faire rembourser... Bref payer 46 euros par mois pour être avoir soit disant une couverte maximale, et au premier pepin n'avoir pas de solution, a mois de "douiller" niveau financier, de trouver une solution soi même, moins onéreuses, et n avoir aucun geste derrière... Je ne vais pas rester client chez eux, j ai été obligé pendant un an, a cause de mon prêt maison, je vais aller voir ailleurs. Très déçu. </t>
  </si>
  <si>
    <t>steph-95022</t>
  </si>
  <si>
    <t>Depuis 2002, je n'ai eu qu'un sinistre de bris de glace que j'ai réparé moi-même (vitre d'insert de cheminée), PACIFICA n'a eu qu'à procéder au remboursement de la pièce, je me suis chargé de toutes les démarches.</t>
  </si>
  <si>
    <t>24/07/2020</t>
  </si>
  <si>
    <t>1a-93160</t>
  </si>
  <si>
    <t xml:space="preserve">A FUIR. PACIFICA NE SE SOUCIE GUÈRE DE SES CLIENTS. J'AI DEMANDE DES EXPLICATIONS PAR MAIL SUITE A UN LITIGE : APRES 12 JOURS D'ATTENTE, TOUJOURS AUCUNE RÉPONSE DE LEUR PART !!! SUITE A UN SINISTRE PACIFICA A FAIT INTERVENIR UN ARTISAN A MON DOMICILE QUI N A EFFECTUE AUCUN TRAVAUX DE REPARATION ET QUI A POURTANT DEBITER MON CHEQUE DE 250 EUROS DE FRANCHISE. PACIFICA RESTE SOURD A MA DEMANDE D ENVOI DE LA FACTURE DES SOIT DISANT TRAVAUX QU AURAIENT EFFECTUER
L ARTISAN !!SANS DOUTE PARCE QUE CETTE FACTURE N EXISTE PAS. J AI DONC PERDU 250 EUROS EN 15 MN ET PACIFICA NE FAIT RIEN ET RESTE MUETTE. C EST INADMISSIBLE. ASSUREUR A FUIR !!!!! </t>
  </si>
  <si>
    <t>04/07/2020</t>
  </si>
  <si>
    <t>b22laeti-90310</t>
  </si>
  <si>
    <t xml:space="preserve">Depuis lundi 1 juin  j'ai eu un dégât des eaux à mon sous-sol , j'ai appelé mon assurance pour un dégât des eaux et depuis aujourd'hui toujours rien de leurs part, comme dirai la personne que j'ai eu au téléphone le lundi 8 juin pas avant mardi ou mercredi que mon dossier soit traité. 
Pour aller plus vite, il faudrait que sa soit moi qui face les démarches pour un plombier et part la suite les appelé pour qu'il puisse donner leurs accord et faire un acompte  pour les réparations.. un ral le bol ,je suis enceinte et la sa commence à être long pour intervenir..
Pas satisfait de cet assurance habitation...
</t>
  </si>
  <si>
    <t>maud7241-89078</t>
  </si>
  <si>
    <t xml:space="preserve">Pour un remboursement à la suite d'un sinistre électrique 
Je me suis fait voler de presque 300 euros j'ai fait intervenir ma conseillère mais j'attends le court-circuit est de 
Fin octobre </t>
  </si>
  <si>
    <t>23/04/2020</t>
  </si>
  <si>
    <t>loulou-88281</t>
  </si>
  <si>
    <t xml:space="preserve">JE SUIS A PACIFICA DEPUIS PEU SUITE A UN DEGAS CAUSE TEMPÊTE   L EXPERT EST VENUE   DANS LES 15 JOURS   ET 8 JOURS ÂPRE SA VISITE   J AI  ETÉ CREDITEE SUR MON COMPTE  LA SOMME DE 4070 EURO QUI CORRESPOND A 80 POURCENT DU MONTANT TOTALE DES DÉGÂT    MERCI PACIFICA POUR LA GESTION DE MON DOSSIER PRO ET RAPIDE </t>
  </si>
  <si>
    <t>12/03/2020</t>
  </si>
  <si>
    <t>marion-86008</t>
  </si>
  <si>
    <t xml:space="preserve">Résilier car trop de sinistres...
1/ 1innondation explosion canalisation même pas 5000euros de casse
2/ 1innondation à cause de la commune eau de la voirie 3000euros pas plus
3/ Et juste déclarer perte de tuile suite à la tempête du 13/12/19 catastrophe naturelle...pour l'instant rien d'expertisé mais peut-être 1000 euros à tout casser avec 250euros de franchise.
Donc quand on pas de chance avec eux, ils résilient. 5 contrats un 6eme était à venir chez eux et 1 compte joint ...et beh tampis pour eux sans compter la mauvaise pub que je vais me charger de faire...fuyez ce sont des banquiers pas des assureurs, ils veulent vôtre argent c'est tout. 1 étoile a défaut de pouvoir mettre 0
</t>
  </si>
  <si>
    <t>sarazin-82240</t>
  </si>
  <si>
    <t>interlocutrice à l écoute et trés trés pro,le 23 OCTOBRE suite aux innondations j ai eu de gros dégats et mon assurance pacifica a vraiment était à la hauteur et particulièrement mon interlocutrice MARIE,j ai conseIllé à pas mal de monde de s orienter vers pacifica car c est du sérieux j ai toute mes assurances chez eux et je compte pas changer.</t>
  </si>
  <si>
    <t>23/12/2019</t>
  </si>
  <si>
    <t>grandjeanborgeaudjulie31-81568</t>
  </si>
  <si>
    <t>J'ai été cambriolée il y a deux mois et depuis, aucune indemnisation ni prise en compte de mes factures pour remboursement</t>
  </si>
  <si>
    <t>03/12/2019</t>
  </si>
  <si>
    <t>steph-79472</t>
  </si>
  <si>
    <t>J'ai eu un dégât des eaux non responsable
Trois mois pour me donner la reponse qu'ils navient pas d'artisan dans ma ville et que donc c'était à moi de trouver une entreprise pour les travaux pour un budget de 1400 euros 
J'ai fais plusieurs devis et le moins cher était de 1400 euros
Prix juste vu les dégâts qu'il y a eu et lorsque que je les ai appele pour trouver une solution la réponse a été  on ne cherchera pas partisan ce n'est pas de notre faute si vous avez eu un dégât des eaux </t>
  </si>
  <si>
    <t>25/09/2019</t>
  </si>
  <si>
    <t>trk4178-79299</t>
  </si>
  <si>
    <t>Suite à la vente forcée d'un contrat habitation par notre conseiller crédite agricole qui nous a bien comprendre que si on ne prenait pas l'assurance habitation Pacifica, notre demande de prêt immobilier serait grandement compromise, nous avons souscrit chez Pacifica. Au bout de 2 ans, je souhaite résilier cette assurance. Après 2 courrier en recommandé, ils me répondent que je n'ai pas le droit de résilier, sur ma propre initiative ce contrat, et que c'est mon futur assurance qui doit se charger des démarches de résiliation. Or la loi n'oblige pas les propriétaires a avoir une assurance habitation (même si cela est très très très fortement recommandé). Je sais aussi qu'au bout de la 1ère année de contrat, la résiliation est possible à tout moment telle que la loi le permet. J'ai pris rdv avec mon conseiller CA, et j'ai signé 1 lettre de résiliation de ce contrat.
Après toutes ces tentatives, Pacifica me répond que je ne peux résilier mon contrat d'habitation tant que je n'ai une nouvelle assurance qui se chargera des démarches de résiliation. Pacifica égal Assurance à fuir et à bannir. Leurs démarches commerciales est à la limite de la légalité, et surtout contraire au Code des Assurances et malgré celà,  ils perséverent...
Je vais donc me résigner à signer 1 contrat à la MAAF (que j'avais de toute façon l'intention de souscrire) et aussi faire appel au Médiateur des Assurances, afin de connaître son avis sur les pratiques de Pacifica.
Merci d'avoir pris le temps de me lire et j'espère que cela aidera certains d'entre vous à ne pas se faire pigeonner.</t>
  </si>
  <si>
    <t>18/09/2019</t>
  </si>
  <si>
    <t>libre-78144</t>
  </si>
  <si>
    <t>Sans être client, mais juste le tiers dans un sinistre intervenu chez des amis client Pacifica. Cet assureur ma remboursé rapidement le dégât occasionné sur un bien matériel en 3 semaines.Donc 4 etoiles</t>
  </si>
  <si>
    <t>14/08/2019</t>
  </si>
  <si>
    <t>mamie-78323</t>
  </si>
  <si>
    <t xml:space="preserve">Bien couvert mais pas lors d'un sinistre! Ils trouvent toujours une excellente raison pour ne pas payer (exemple : vous avez pris le risque de...). Manque d'amabilité de certains personnels. </t>
  </si>
  <si>
    <t>09/08/2019</t>
  </si>
  <si>
    <t>zenobe-76163</t>
  </si>
  <si>
    <t>notre appartement a été vendu, demande de résiliation par téléphone pas par mail donc attestation du notaire envoyée et les prélèvements continuent au bout d'in mois
plus rapides pour te plumer que pour réagir</t>
  </si>
  <si>
    <t>maxime29-74655</t>
  </si>
  <si>
    <t xml:space="preserve">Il y a UN AN j'ai eu un dégât des eaux, aujourd'hui il n'y a toujours rien qui a avancé !
Je me fais promener dès que je téléphone ! </t>
  </si>
  <si>
    <t>fabiriv-71733</t>
  </si>
  <si>
    <t xml:space="preserve">Cela fait des années que nous sommes clients pacifica...jusque là nous n avons eu aucun problème. Toute les personnes avec qui nous avons eu des contacts téléphoniques étaient au top. J ai un dossier en cours actuellement, la personne qui s'occupe du dossier est très désagréable...peut on changer de conseiller...aujourd'hui, ça nous donne envie d arrêter notre assurance chez Pacifica. </t>
  </si>
  <si>
    <t>28/02/2019</t>
  </si>
  <si>
    <t>api-53996</t>
  </si>
  <si>
    <t>De très bonnes assurances dommage que le personnel ne soit pas à la hauteur: manque de professionnalisme évident. Je déconseille fortement! Mes 10 contrats partent à la concurrence!</t>
  </si>
  <si>
    <t>benjamin-70250</t>
  </si>
  <si>
    <t>J'ai une assurance habitation chez eux pour un appartement en location.
Voilà 4 mois que j'ai eu un sinistre et je n'ai aucune nouvelle de mon assurance. Et à chaque fois qu'on les appelle on se fait envoyer balader avec des propos à la limite de l'insulte.</t>
  </si>
  <si>
    <t>15/01/2019</t>
  </si>
  <si>
    <t>gaelle-69847</t>
  </si>
  <si>
    <t>une incompétence rare. Fuite depuis plus d'une semaine, après le refus d'envoyer un plombier pour recherche de fuite, on me rit au nez en disant que je ne suis pas prioritaire</t>
  </si>
  <si>
    <t>isa-69347</t>
  </si>
  <si>
    <t>Aucun conseil client ! Aucune prise en compte des demandes de prise en charge du sinistre suite à l'expertise</t>
  </si>
  <si>
    <t>12/12/2018</t>
  </si>
  <si>
    <t>loulou0771-69305</t>
  </si>
  <si>
    <t>Fuyez cette assurance incapable de suivre des dossiers de sinistre. Toujours obligé de les relancer pour avoir un rapport d'expertise. 4 mois pour obtenir un rapport d'expertise. Il ne rappelle jamais pour communiquer sur l'avancement des dossiers.</t>
  </si>
  <si>
    <t>11/12/2018</t>
  </si>
  <si>
    <t>pn-68156</t>
  </si>
  <si>
    <t>pas de renseignements sur le détail des sommes versées, malgré la demande par mail.pas de suivi du dossier malgré les demandes.et quand on obtient une personne , c'est pour apprendre que le dossier est clos et si insatisfaction , demander une contre-expertise "à notre charge".</t>
  </si>
  <si>
    <t>29/10/2018</t>
  </si>
  <si>
    <t>pascalg-67022</t>
  </si>
  <si>
    <t>Assureur à fuir car dangereux.</t>
  </si>
  <si>
    <t>21/09/2018</t>
  </si>
  <si>
    <t>vvv-66886</t>
  </si>
  <si>
    <t>n'a rien voulu savoir pour un vol de vélo dans mon garage, a chaque téléconseiller, une réponse différente ... imcompétence et de vrais mauvais conseils, explications alors que cela fait plus de 10 ans que je suis chez eux et que je n'ai jamais rien eu</t>
  </si>
  <si>
    <t>16/09/2018</t>
  </si>
  <si>
    <t>yannicketjess-66567</t>
  </si>
  <si>
    <t>UNE HONTE, Je ne sais pas quels mots employer pour montrer ma détresse et mon insatisfaction, voilà 1 AN que mon dossier est en cours, je suis dans une  M.... incommensurable car il ne me rembourse pas le dégât des eaux quoi a été estimé à plus de 9000euros, ils se foutent complètement de la situation dans laquelle ils nous mettent et nous maintiennent JE NE RECOMMANDE PAS DU TOUT, si le crédit agricole vous la faite prendre surtout FUYEZZZZZ</t>
  </si>
  <si>
    <t>03/09/2018</t>
  </si>
  <si>
    <t>roland-64208</t>
  </si>
  <si>
    <t>La toiture de mon habitation (située dans le Vaucluse) a été détruite suite à un incendie le 24/10/2017. La semaine suivante, le secteur « sinistre » de mon assureur PACIFICA après validation de l’expert, a mandaté une entreprise pour qu’un nettoyage complet et une mise hors d'eau de la maison soient effectués. Après avoir donné mon accord, un maître d'œuvre a organisé et coordonné les corps de métiers nécessaires aux travaux : maçon, carreleur, électricien, plaquiste, peintre. Celui-ci a toujours été à mon écoute avec toujours de bons conseils. Je viens de récupérer la maison après six mois travaux qui sont plus que satisfaisants et six mois de location qui ont totalement été pris en charge. Je tiens à remercier grandement toutes les personnes qui ont participé à la réhabilitation de ma maison et également le sérieux de mon assureur PACIFICA qui a pris en compte mes demandes et qui a toujours été à mon écoute. Je recommande vivement cette assurance réactive et serieuse.</t>
  </si>
  <si>
    <t>30/05/2018</t>
  </si>
  <si>
    <t>juliec-62595</t>
  </si>
  <si>
    <t>Assurance très chère et conseiller irrespectueux. Je suis obligé de rester un an chez eux à cause d'un prêt au crédit agricole et dans un an retour à la macif!
Parquet gondolé à cause d'un dégât des eaux conseille téléphonique: attendre que sa sèche pour voir si ça se remet tout seul car selon eux il vaux mieux que l'on se débrouille seul si on ne veut pas payer de franchise. Alors pourquoi je les paie tous les mois?</t>
  </si>
  <si>
    <t>22/03/2018</t>
  </si>
  <si>
    <t>nico8683-61193</t>
  </si>
  <si>
    <t>Catastrophique</t>
  </si>
  <si>
    <t>06/02/2018</t>
  </si>
  <si>
    <t>alice-61051</t>
  </si>
  <si>
    <t>Assurance catastrophique en cas de sinistre. La conseillère en face de moi est injoignable, irrespectueuse, ne prend pas le temps de me tenir au courant de mon dossier et se met même à élever la voix au téléphone lorsque je lui fais remarquer des choses non satisfaisantes. Passer 20 minutes à se faire mal parler au téléphone, alors qu'on est une victime d'un accident, merci mais non. Ensuite, aucun sentiment d'être soutenu par rapport à l'assurance adverse, toutes les pièces justificatives sont toujours insuffisantes. Pour finir, la plateforme est mal faite : certes on peut déposer les documents en ligne, mais on ne peut pas y ajouter de commentaire, si bien que la conseillère s'énerve de ne pas comprendre à quoi correspondent les documents. On a donc le droit à un rappel (si on  a de la chance) de la conseillère, qui nous prend une nouvelle fois de haut. Au pire le dossier reste bloqué. Génial. 
On ne peut pas envoyer d'email au conseiller, mais uniquement les joindre par téléphone, ce qui est très difficile (je n'ai jamais réussi, en plus de deux mois de traitement de dossier à avoir ma conseillère du premier coup).
La communication est désastreuse, et la façon dont on nous prend de haut une fois que celle-ci est établie est juste révoltante.
Bref, une fois le sinistre réglé, je prends mes jambes à mon cou et je résilie ce contrat.</t>
  </si>
  <si>
    <t>enzo5151-60913</t>
  </si>
  <si>
    <t>Suite a un dégâts des eaux en aout 2016 , mon dossier n'est toujours pas cloturé.On m'a appliqué de la vestusté sur mes meubles alors que je suis en rééquipement à neuf et pour l'accès aux services à la personne inexistant. Ne pas faire confiance à Pacifica.Le carrelage se fissure et sonne creux à plusieurs endroit , il y a une odeur dans la maison et les bandes du plafond resortent et se fissures.Il prenne seulement les murs en peinture et la maison a été asséché 14 mois après le sinistre.</t>
  </si>
  <si>
    <t>ardechois-59037</t>
  </si>
  <si>
    <t>Service sinistre affligeant ;  Refuse carrément d'enregistrer un sinistre au motif que la compagnie adverse est une mutuelle performante et compétente.</t>
  </si>
  <si>
    <t>kawasaki82-57364</t>
  </si>
  <si>
    <t>Fuyez cette assurance.
Nous avons mis plus d'un an à être remboursé suite à un sinistre toiture après tempête. Ils font passer des autos entrepreneurs peu scrupuleux, qui prennent les clients pour des imbéciles et s'engraissent au passage (1200€ pour un remaniement complet de la toiture alors qu'il a découvert 3 m2 et n'a même pas sorti la mousse...).
De plus, on est baladé de service en service, jamais rappelé, et obligé de faire des lettres avec ar et dossier photos pour qu'ils se bougent un peu.
De plus, 2 fois plus cher par an que chez A** pour les mêmes conditions.
Et c'est pareil pour l'assurance emprunteur... Vente forcée du contrat au moment du crédit (si vous ne prenez pas le contrat habitation et l'assurance emprunteur chez nous je ne suis pas sûre que votre crédit soit accepté...)</t>
  </si>
  <si>
    <t>15/09/2017</t>
  </si>
  <si>
    <t>amelie-54632</t>
  </si>
  <si>
    <t xml:space="preserve">Je suis complètement déçue et très remontée de cette assurance après courrier recommandé,mails , et de nombreux appels toujours aucunes nouvelles de ce service "relation client", personne ne sait nous donner de nouvelles. 
A l'heure actuelle je suis toujours prélevée et PACIFICA m'a pourtant gentillement résilié soit disant pour un papier manquant qu'on m'aurait demandé par courrier recommandé ( Je demande à voir le récépissé et là on me dit que ça n'est pas possible.. HAHAHA ! )
Service client déplorable et la MAAF qui a repris mon contrat n'est pas du tout surpris de mon insatisfaction,ils sont entrain de reprendre beaucoup de vos contrats ! </t>
  </si>
  <si>
    <t>12/05/2017</t>
  </si>
  <si>
    <t>En tant que syndic bénévole, j'ai du gérer un gros sinistre: sinistre sur 4 étages. Le seul assureur de locataire qui a qui a été efficace c'est PACIFICA. Maif et Maaf: les experts étaient en vacances, bpo: pas réactif</t>
  </si>
  <si>
    <t>10/04/2017</t>
  </si>
  <si>
    <t>softail-53553</t>
  </si>
  <si>
    <t xml:space="preserve">Aout 2015, effraction de mon habitation , vol de mon véhicule, appareil photo et pc portable. 
3 jour plus tard après déclaration, reception d'un nouvel appareil photo et  d'un pc portable de chez boulanger . 
pour la voiture , c 'est tout autre chose , elle disparait pendant 3 mois , il ne veulent pas me rembourser mes mensualités, , la voiture est retrouvée en Belgique et c moi qui doit aller la chercher en Belgique, il m'ont payer le billet de train , !! pourquoi paie t'on ue assurance????
il y a 3 semaines , je declare un dégat des eaux, une société passe pour un devis, mais pacifica refuse  et fait passer un expert qui lui ne peut  valider le devis, vu les dégats trop vieux, je vais peter un cable !!!!!!!!!!!!!!!!!!!
</t>
  </si>
  <si>
    <t>24/03/2017</t>
  </si>
  <si>
    <t>tp29200-53535</t>
  </si>
  <si>
    <t xml:space="preserve">Un rééquipement à neuf complètement mensongé (les conditions générales de ventes stipule de qualité, et caractéristiques identiques). Une vrai désolation, un partenariat avec Boulanger catastrophique avec des personnes incompétentes et insultantes (chez Boulanger). Je n'ai jamais demandé à ce que la foudre tombe chez moi et aurait 1000 fois préféré garder mon ancienne TV... </t>
  </si>
  <si>
    <t>23/03/2017</t>
  </si>
  <si>
    <t>lebourguibreton56-53156</t>
  </si>
  <si>
    <t>Locataire d'un appartement pour ma fille étudiante, j'ai du avoir recours à Pacifica suite à un dégât des eaux. Les frais étaient à la charge de l'assurance du propriétaire, mais, dans cette situation, il revient à l'assurance du locataire de s'occuper du bien-être du résident. L'expert mandaté par Pacifica s'est rendu sur les lieux moins d'une semaine après les faits. /Orléans.45/; Ma fille a dû être relogée pendant les travaux., d'abord à l’hôtel, ensuite dans un meublé. Pacifica a pris en charge les frais d'hotel et les loyers. L'assurance du propriétaire faisant la sourde-oreille; heureusement que j'ai été bien renseigné par mon conseillé Pacifica /Vannes.56/.</t>
  </si>
  <si>
    <t>10/03/2017</t>
  </si>
  <si>
    <t>yaya-52293</t>
  </si>
  <si>
    <t>nous avons un sinistre depuis deux jours pour avoir un plombier il fallait attendre 24 h mais les 24 h sont passer et toujours rien . on appelle et la bonne femme veuillez rappeler le service est fermer . Comment ont fait ?????? et pour le numéro de service ne sert a rien ...</t>
  </si>
  <si>
    <t>11/02/2017</t>
  </si>
  <si>
    <t>4calicea-52245</t>
  </si>
  <si>
    <t>Ayant une longue expérience avec d'autres companies d'assurance je dois reconnaître que PACIFIA est certainement mieux équipée pour répondre aux différents sinistres et les régler rapidement . J'en ai personnellement fait l'expérience que ce soit ausujet de ma maison qu'au sujet d'une de mes voitures .</t>
  </si>
  <si>
    <t>09/02/2017</t>
  </si>
  <si>
    <t>laurarose35-50261</t>
  </si>
  <si>
    <t>Seul chose bien, et encore, chez eux c'est le tarif pas trop cher.
Assurance nulle je ne recommande pas, je suis en train de changement toutes mes assurances de chez eux</t>
  </si>
  <si>
    <t>14/12/2016</t>
  </si>
  <si>
    <t>pampu-50178</t>
  </si>
  <si>
    <t>fuyez pendant qu,il est encore temps.assurance inexistante.il vous trouverons le petit details qu,il leur permetrons de fuir leurs responsabiltées.j,en est fais la douloureuse experience.a eviter</t>
  </si>
  <si>
    <t>12/12/2016</t>
  </si>
  <si>
    <t>matojoco-49409</t>
  </si>
  <si>
    <t>6 mois d'attente pour remplacer une porte fracturée malgré une déposition de plainte à la gendarmerie. On vous appelle sans cesse pour changer d'artisant ou différer les rdv !!!! pire on m'a demandé de voir par moi même pour trouver un artisant qui me fait les travaux plus rapidement!!!! conclusion je dois leur mâcher le travail !!!!! une honte et ces gens sont payés pour faire leur travail!!!!! si de mon côté je ne suis pas dans les temps pour payer ma cotisation chose qui n'est encore JAMAIS arrivée , ils vous rappellent à l'ordre dans les plus brefs délais!!!! c'est tout simplement scandaleux de traiter les gens de cette manière!!!!</t>
  </si>
  <si>
    <t>21/11/2016</t>
  </si>
  <si>
    <t>lauranne-137767</t>
  </si>
  <si>
    <t>J'ai eu le malheur d'avoir un sinistre dont je n'étais pas responsable. Suite aux dégâts des eaux du voisin au dessus de chez nous il faut faire des travaux et trouver une solution pour etre relogé le temps des travaux car je suis à 100% en télétravail. 
Sachez que le service sinistre de la GMF est injoignable! Sur le numéro communiqué et il n'y a pas de système d'attente donc quand vous appelez tous les conseillers sont en ligne et on vous invite à rappeler. Le contact par messagerie de l'espace client n'est pas plus efficace j'ai écrit à plusieurs reprises depuis 2mois sans aucun retour de leur part.
Cet assureur est cher, injoignable quand vous êtes sinistré je vous le déconseille fortement. a</t>
  </si>
  <si>
    <t>GMF</t>
  </si>
  <si>
    <t>19/10/2021</t>
  </si>
  <si>
    <t>mapijo-132697</t>
  </si>
  <si>
    <t>Un dommage électrique au 1er juin. Téléviseur hs. Documents fournis. Expertise demandée pour 600e de remboursement. Toujours pas réglé.  Nous sommes clients depuis 20 ans.
Une honte. Je resilie tout.</t>
  </si>
  <si>
    <t>13/09/2021</t>
  </si>
  <si>
    <t>prince-49270</t>
  </si>
  <si>
    <t>j'ai assuré ma résidence secondaire depuis 18 mois maintenant et tout se passe bien.
J'ai du faire des modifications sur mon contrat à 2 reprises et la réactivité était au rendez vous.</t>
  </si>
  <si>
    <t>mm-53953</t>
  </si>
  <si>
    <t xml:space="preserve">En toute confiance nous avons souscrit par apport à l'assistance car comme l assistance auto est un service parfait, nous avons souscrit l'assurance habitation aussi à la gmf. Simplement rien à voir, à aucun niveau pareil. Pour déclarer un sinistre, accueil glacial et robotisé. Suivre le dossier 16 à 23 minutes d'attente. Pour des réponses plus banales que pire ??. Nous craignons de découvrir la prise en charge.. Résiliation à venir. </t>
  </si>
  <si>
    <t>12/08/2021</t>
  </si>
  <si>
    <t>chtiminord-127548</t>
  </si>
  <si>
    <t>L'extension de mon assurance habitation aux appareils nomades tel ordinateur, tablette, téléphone.....  est assez exceptionnelle.
Ma fille, casse son écran d'ordinateur en laissant la prise entre le clavier et l'écran lorsqu'elle le referme.
Déclaration de sinistre faite, devis envoyé avec photos. Réparation faite, coût 639 euros moins 110 euros de franchise = 529 euros remboursés par la GMF le tout en une semaine.
Bravo la GMF. je recommande vivement.</t>
  </si>
  <si>
    <t>11/08/2021</t>
  </si>
  <si>
    <t>fati--123127</t>
  </si>
  <si>
    <t xml:space="preserve">Je suis atterrée par la capacité de la gmf à ignorer les clients au moment d’un sinistre pourtant il me semble qu’ils sont payés pour cela. Sinistre en 2020 j’ai dû me débrouiller seule une véritable mascarade dans leurs services  ( je n’avais plus d’eau chaude ). Je me suis dis que cela devait être exceptionnel un loupé ben visiblement je me suis trompée il semble coutumier du fait, les sinistres ne sont pas leur priorité, j’ai mon frigo qui a lâché suite à l’orage , j’ai suivi leur demande envoie facture et devis via l’espace adhérent et aucune réponse, à ce jour j’ai fait plusieurs mail de relance,la GMF continue de briller par son absence. J’ai deux enfants à la maison, je me débrouille avec une glacière tous les jours je vais chercher de la glace et des courses après ma journée de boulot .
Je tiens à remercier mon assureur la GMF d’ignorer mes demandes et de me laisser ds cette situation très inconfortable malgré les prélèvements de plusieurs contrats chez eux. </t>
  </si>
  <si>
    <t>bb-40840</t>
  </si>
  <si>
    <t xml:space="preserve">Très décue de cette assurance habitation. En effet, vous n'avez aucun suivi, les sms et courrier sont signé GMF !!! Quand il y a un sinistre alors que l'on paye l'assurance ils ne veulent plus nous rembourser !!! C'est scandaleux. Par contre pour prélever les cotisations pas de problème ela est fait en temps et en heure !!!Je vais certainement être obligé e saisir un médiateur de l'assurance ou peut être d'aller en justice pour obtenir mon dû. A fuir. Il vaut mieux payer un peu plus cher mais avoir un interlocuteur qui s'occupe de votre dossier et ne pas tomber sans arrêt sur des personnes différentes sur des plateformes téléphoniques. Et être indemnisée en cas de problème. </t>
  </si>
  <si>
    <t>11/07/2021</t>
  </si>
  <si>
    <t>pod-116428</t>
  </si>
  <si>
    <t xml:space="preserve">Incendie dans l’habitation de mes voisins âgés, je décide de m’occuper d’eux. Assurés à la GMF depuis plus de 40 ans, je me dis « c’est bon » pour eux, les pauvres. Et bien non, un relogement certes indemnisé, mais pas les frais annexes (frais d’agence, état des lieux,…). Comme les dégâts sont importants, le dossier passe de la GMF régionale de Marseille à la GMF siège social de Paris. Et là, on passe d’une bienveillante et empathie de la GMF Marseille à une logique comptable et contarctuelle de la GMF Paris. Plus de considération humaine, de demande de nouvelles des assurés, de prise en charge « commerciale », pour le bien être des relogés. Alors, quand on parle d’assureur militant, à l’écoute ou proche de ses sociétaires, j’aimerais que la GMF soit en phase avec ses valeurs, surtout avec des assurés de presque un demi siècle de cotisations multiples (maisons, voiture, assistance juridique…). Affaire à suivre, puisque il est maintenant temps de passer à la reconstruction d’une partie de la maison…mais je crains le suivi, et les explications à donner à mes voisins de plus de 80 ans. </t>
  </si>
  <si>
    <t>ag-114462</t>
  </si>
  <si>
    <t>En cas de litige, vous ne recevrez aucune écoute. Par ailleurs, cette assurance dispose d'une plate-forme numérique complètement obsolète, avec tous les risques que ça induit.</t>
  </si>
  <si>
    <t>srd-108351</t>
  </si>
  <si>
    <t xml:space="preserve">Bonjour,
J'ai un sinistre ouvert auprès de la GMF. Je ne suis pas d'accord avec la résolution de ce sinistre... désaccord sur lequel je me suis entretenue en direct avec le service qui en est  chargé. Il a été convenu que je leur envoie un courrier, chose qui a été faite. Je n'ai pas eu de nouvelle. Depuis ce service est injoignable. Je n'ai JAMAIS eu de réponse à mes mails envoyés depuis mon espace personnel sur le site de la GMF. Je me suis rendue en agence (PAU) le 12/03... Il était question à l'issue de cet entretien que je sois contactée par téléphone : toujours rien. J'ai depuis téléphoné la plateforme d'appel, envoi de mail via la plateforme GMF... mais en vain (ce dossier date de 2016!). Service client 0 pointé!
</t>
  </si>
  <si>
    <t>conflans69-108009</t>
  </si>
  <si>
    <t xml:space="preserve">A fuir ! Assurée  depuis des nombreuses années à la GMF Risques Spécifiques et contente de l’être, aujourd'hui j'ai changé radicalement d'avis! Pour un sinistre de dégâts des eaux , datant du 5 novembre 2020, j'ai eu droit à l'ouverture du dossier sinistre seulement le 23 novembre 2020 et depuis RIEN, aucune réponse sur mes 2 courriers recommandés, impossible de contacter qui ce soit en ligne, personne répond. Bref la compagnie n'existe plus ! Bravo, les cotisations étaient plutôt "salées". Les prestations restent inexistantes.     
</t>
  </si>
  <si>
    <t>emmanuel-pras-105404</t>
  </si>
  <si>
    <t xml:space="preserve">5 ans de procédure pour catastrophe naturel sur notre maison dans le gard !fissuré sur terrain argileux .toujours pas abouti. Pourtant nos cotisations sont paye en temps voulu. Nous allons nous tourner sur 60 millions de consommateurs. </t>
  </si>
  <si>
    <t>04/03/2021</t>
  </si>
  <si>
    <t>mcp2609-104848</t>
  </si>
  <si>
    <t xml:space="preserve">le pire service client téléphonique jamais rencontré. Ils ont meme trouvé le moyen de me raccrocher au nez au lieu de me conseiller 
a fuir à l'heure ou tout se fait à distance </t>
  </si>
  <si>
    <t>jcvictorion-104425</t>
  </si>
  <si>
    <t xml:space="preserve">Conseillers très à l'écoutent répondant à toutes les questions clairement ,sur les différents produits pouvant convenir à chaque client
Prix sur la première année très appréciable 
Bon accueil téléphonique
</t>
  </si>
  <si>
    <t>vivi-104381</t>
  </si>
  <si>
    <t>cette assurance est déplorable.suite a une tempete ma cheminée est tombée provoquant quelques dégats de toiture.je n'ai été indemnisée que la moitié de la valeur,l'expert fait l'estimation qu'il veux sans se déplacer,apres plusieurs rappels pour contester la compagnie se retranche derriere l'expert, il doit rappeler mais ne rappelle jamais.cette assurance est a fuir.je vais retirer tous mes contrats de chez eux.</t>
  </si>
  <si>
    <t>klein-104220</t>
  </si>
  <si>
    <t>J'ai mis une étoile pour pouvoir continuer mais cet assurance ne mérite meme pas un grain de sable.
nous avons subit un incendie dans les combles de l'immeuble, comme nous vivons juste en dessous, notre appart a subit d'importants dégats des eaux+ suie (pompier).
un expert est passé, a sous evalué les dégats, entre-temps bcp de pluies et neiges sont tombées ce qui a empiré les choses.Nous avons casiment tout perdu.
GMF fait le sourd en indemnisant 1000e pour le moment.
J'ai contacté l'assistance ce jour, une personne ultra désagréable qui m'a dit d'aller me faire voir et m'a traité de sa**pe parce que je lui ai demandé de baisser d'un ton.
choquant !!! assurance à fuire le slogan est juste à l'opposé de ce qu'il propose.</t>
  </si>
  <si>
    <t>choups-103476</t>
  </si>
  <si>
    <t>Cela va faire presque 10 mois que j’ai déclaré un sinistre habitation, bris de vitre.
Mon sinistre n’est toujours pas réglé je dois relancer à chaque fois pour avoir des nouvelles de mon dossier 
J ai envoyé un recommandé à mon agence de Villefranche sur Saône, je ne suis toujours pas recontactée.
C’est inadmissible.</t>
  </si>
  <si>
    <t>31/01/2021</t>
  </si>
  <si>
    <t>jade06-103033</t>
  </si>
  <si>
    <t xml:space="preserve">Tous mes contrats et se des membres de ma famille assuré chez eux depuis plusieurs années j ai eu un sinistre pour la tempête Alex mes locataires ont dû quitter le logement car la maison n avez plus d accès plus électricité plus d eau enfin assuré pour mes perte de loyer avec chiffrage de l experts mon conseiller m’a bien dit que je serai indemnisé pour la perte de loyer et quand il mon rembourse les frais du à la tempête pour la maison  des miettes bien sur il m’on sorti que je n été plus assuré pour la perte de loyer car c’était passé en catastrophe naturel!!!  alors plus de remboursement je suis scandalisé je suis écœurée il ont joué sur les mots fuyez ses des vauriens  je vais résilier tous mes contrats alors assuré depuis 30ans </t>
  </si>
  <si>
    <t>maxoue-102893</t>
  </si>
  <si>
    <t xml:space="preserve">Résilier pour altération de la relation commerciale le 12 janvier 2021.
Plus de 30 ans assurer auprès de la GMF qui se dit assurément humains.
Incompréhensible de la part d'une mutuelle </t>
  </si>
  <si>
    <t>achille-102783</t>
  </si>
  <si>
    <t xml:space="preserve">Voici presque 20 ans que nous sommes assurés auprès de la GMF, autos, habitations....
Comme beaucoup, quelques incidents mineures (pare-brise...) rien de plus. Mais en 2020, le pire nous est arrivé: incendie (sans victimes) de notre habitation principale, avec des dégâts importants. 
-notre contrat indique que dans les 10 jours au maximum du sinistre, une avance est versée pour un relogement; après plusieurs coups de téléphone, de mails (de notre part et des experts), déplacement auprès de l'agence régionale, cette avance a été versée au bout de presque deux mois!!
-nous en sommes à la partie indemnité et reconstruction: pas gagné là aussi, et on comprends bien que tout est fait pour indemniser au minimum;
nous espérons une meilleure fin dans cette galère...
</t>
  </si>
  <si>
    <t>17/01/2021</t>
  </si>
  <si>
    <t>bruno-70838</t>
  </si>
  <si>
    <t xml:space="preserve">J'ai toujours été assuré à la GMF (32 ans). Aujourd'hui, je les appelle suite à un soucis de coque arrière sur un téléphone portable de la famille. On me répond que ce sinistre n'est pas pris en compte car je n'ai pas souscrit l'option "bri"... C'est facile de répondre des idioties pareilles vu que l'on ne m'a jamais proposé cette option, avec plusieurs téléphones dans la famille, j'y aurais souscrit ! 
De plus j'ai demandé un devis pour 2 voitures il y a quelques mois. Personnes ne m'a recontacté par téléphone ou Mails. Il me semble que c'est la base et le rôle d'un service clientèle. (Pas à la GMF !!!)
Donc .... Allez voir ailleurs ! </t>
  </si>
  <si>
    <t>leanie-100806</t>
  </si>
  <si>
    <t xml:space="preserve">Bonjour, 
je mets 1 étoile car il n'est pas possible de mettre moins. J'ai résilié il y a deux mois mon assurance habitation à la GMF (résiliation effectuée par mon nouvel assureur). Cette assurance habitation comprenait l'assurance de 2 herbages avec un léger coût supplémentaire.
Mon nouvel assureur a donc procédé à la résiliation du contrat habitation qui incluait l'assurance de ces deux herbages. J'ai reçu peu de temps après le courrier de la GMF m'indiquant que la résiliation était prise en compte. Puis par mail une proposition de contrat pour mes 2 herbages, puis une relance pour signature... bref, contrat que je ne souhaitais pas et que je n'ai pas signé puisque mon nouvel assureur me les assure gratuitement. Aujourd'hui je reçois un avis d'échéance de 48€. Je fais un mail en demandant si c'est une plaisanterie, si c'est bien normal de recevoir un avis d'échéance pour un contrat non signé. Et je reçois un message vocal de l'agence du Havre (76600) qui m'indique que oui, que le nouvel assureur n'a pas été assez précis pour la résiliation, alors qu'il n'y avait qu'un seul et unique numéro de contrat !!!
Je n'en reviens pas, quel culot !!! Je sui tellement soulagée d'avoir résilié chez eux, j'imagine l'accueil en cas de sinistre !!!
</t>
  </si>
  <si>
    <t>gilles-98609</t>
  </si>
  <si>
    <t>A l'heure du COVID, le site GMFest en vrac, impossible de se connecter.
Si une chose doit être possible; c'est bien de se connecter à distance...
C'est juste indadmissible.
A fuir.</t>
  </si>
  <si>
    <t>11/10/2020</t>
  </si>
  <si>
    <t>nanou--98594</t>
  </si>
  <si>
    <t xml:space="preserve">En cas de sinistre c'est une prise en charge catastrophique. En agence on vous dit que ça n'est pas leur mission qu'il faut contacter la plateforme téléphonique. Il faut attendre au moins 15 minutes à chaque appel pour avoir parfois l'opératrice ou parfois une communication interrompue.  On vous oriente alors vers une société partenaire qui effectue tous ses devis à environ 1500 euros puisque la gmf demande des devis inférieurs à 1600 euros quelques soit les dégâts des eaux. Les devis sont faux avec des surfacturations ou des pièces de l'habitation avec un mur sur deux repeint, donc un patchwork de couleurs. Quand vous avez une question l'opératrice vous dit très sèchement "nous savons ce que nous avons à faire comptentez vous de faire ce que l'on vous demande, sur ce aurevoir" et vous raccroche au nez. Sans compter également "vous n'allez quand même pas vous plaindre pour vos joints endommagés alors que des gens ont perdus leur maison ". Vraiment passez votre chemin, ne souscrivez pas cette assurance, moi je change. Je préfère payer un peu plus cher mais avoir une assurance présente en cas de sinistre. </t>
  </si>
  <si>
    <t>10/10/2020</t>
  </si>
  <si>
    <t>bv35380-98363</t>
  </si>
  <si>
    <t xml:space="preserve">Assuré depuis une dizaine d'année je suis très insatisfait de la GMF !
Dans le cadre des intempéries Alex, avec la coupure du courant pendant plus de 48 heures j'ai perdu tout le contenu de mon congélateur.
Aujourd'hui je rencontre un refus d'indemnisation pour motif (absence de facture) mon congelateur ayant 8 ans j'ai égaré la facture d'achat.
Je pense sincèrement changer de compagnie d'assurance, à la fois en raison des difficultés pour les joindre par téléphone, et de la manière dont sont traités les sociètaires 
A suivre !
</t>
  </si>
  <si>
    <t>05/10/2020</t>
  </si>
  <si>
    <t>anne-98209</t>
  </si>
  <si>
    <t xml:space="preserve">J'ai essayé de souscrire un contrat avec GMF. Au moment de la signature il y a deux contrats qui apparaissent et sont différents (différents tarifs), mais je n'arrive pas à savoir lequel signer. J'appelle donc le service client pour m'aider à signer le bon contrat. Une conseillère extrêmement désagréable m'indique que je dois signer les DEUX contrats. Je ne comprends pas pourquoi je devrais signer deux contrats, différents. Elle me répond "faites ce que vous voulez" (!!). Je dis que du coup je ne vais rien signer, surtout si je suis traitée ainsi. Elle me dit "ok allez voir ailleurs". </t>
  </si>
  <si>
    <t>amienois-97431</t>
  </si>
  <si>
    <t xml:space="preserve">C'est au moment ou arrive un sinistre que l'on juge de l'efficacité de l'assureur. La GMF met beaucoup de temps à traiter un dossier. Une effraction survenue en mars n'est toujours pas traitée en septembre. Le retard est dû au nombre de pièces de la maison. Le grenier est considéré comme une pièce "habitable" dés vous entreposez des meubles. Et non pas sur la partie ou l'on peut se tenir debout mais sur la surface au sol (même si la hauteur est de 40 cm). Et 30 ans de fidélité n'y change rien. </t>
  </si>
  <si>
    <t>chrisd-97252</t>
  </si>
  <si>
    <t>Surtout n’ayez aucun sinistre, délais de traitement inconcevable : dégât des eaux en août 2019, septembre 2020 toujours pas clôturé.
Il faudrait pouvoir tester les services avant de s’assurer.</t>
  </si>
  <si>
    <t>10/09/2020</t>
  </si>
  <si>
    <t>corinne-96408</t>
  </si>
  <si>
    <t xml:space="preserve">Adhérente gmf depuis des années auto habitation jamais aucun soucis un jour dégât des eaux dans ma chambre intempéries une fois les réparations effectuées par le syndic un   devis à été effectué pour les travaux accordés par l'expert on m'a retiré de la somme 177 euros franchise que l'on ma jamais rendu le personnel de l'agence fort désagréable Grossier insultant j'habite Marseille agence du 8eme arr en plus que j'ai été volé j'ai été insultée par Mme Giordano personne qui m'a reçu au bureau je suis partie dans une autre assurance moins cher et plus correct 
</t>
  </si>
  <si>
    <t>decu-92495</t>
  </si>
  <si>
    <t>Si vous croyez pouvoir bénéficier de l"assistance juridique détrompez-vous. Même si vous donnez 81€40 par an, dans votre contrat il y a surement un alinéa qui exclu votre problème. Soyez très patient au téléphone.</t>
  </si>
  <si>
    <t>27/06/2020</t>
  </si>
  <si>
    <t>alif-92014</t>
  </si>
  <si>
    <t xml:space="preserve">Tant que vous ne subissez pas de sinistre, tout va bien. Notre dégât des eaux traîne depuis août 2018. La GMF est aréactive, ne répond pas aux e-mails. Une entreprise est venue pour l'expertise : pas moins de 3 experts sont venus. Le 1er n'a pas rédigé son compte-rendu, heureusement, il a pris le chèque, seule trace de son passage. Après des mois de silence radio, on nous informe que nous devons chercher un artisan local pour les travaux de rafraîchissement. On en sélectionne un et maintenant que nous avons transmis le devis et bien une nouvelle entreprise d'expertise nous contacte pour une recherche de fuite pour notre dégât qui date d'il y a 1 an et demi. Ha la GMF, j'en perds mon latin... Si vous n'êtes pas encore chez eux, passez votre chemin ! </t>
  </si>
  <si>
    <t>23/06/2020</t>
  </si>
  <si>
    <t>fab-91442</t>
  </si>
  <si>
    <t>Je trouve cette société archaïque, dépassée... impossible de faire quoi que ce soit en ligne. les communications par mail, ils ne connaissent pas. Il faut se déplacer pour faire la moindre modification. Il faudrait penser à évoluer un peu non ?</t>
  </si>
  <si>
    <t>antoine-90016</t>
  </si>
  <si>
    <t>Je suis navré de l'archaïsme de cet assureur qui fasse à une opportunité de contrat d'habitation à plus de 1000 Euros par an, a refusé de me transmettre les conditions générales de ventes préalablement à une éventuelle signature de contrat alors qu'ils nous est demandé de ne nous déplacer que pour des motifs impérieux !!! Il faut évoluer s'il vous plait. Et lorsque j'ai commencé à posé des questions sur les inclusions au contrat prévu dans la fiche DIPA on m'a fait réponse qu'ils n'avaient pas le temps de tout détailler.
En gros signez et ensuite vous découvrirez précisément ce sur quoi vous êtes couverts et ce sur quoi vous ne l'êtes pas ! A éviter à tout prix, ça promet le jour où le sinistre se présente...</t>
  </si>
  <si>
    <t>minou-88348</t>
  </si>
  <si>
    <t xml:space="preserve">Décidément avec la GMF n'est pas une assurance sérieuse.
On m'a prélevé 553,76 euros sur mon compte bancaire le 5 mai 2020
Mais après  les avoir informé que la résiliation d'un de mes appartements a été résilié le 29/06/2019, j'ai reçu un relevé m'informant que j'ai un crédit de 120, 02 Euros qui prendra effet ??? C'est pas très clair, mais pas de remboursement.
J'ai aussi prévenu par courrier que mon appartement   75014 Paris a été vendu le 12 mars 2020 avec acte notarié 
Je constate qu'il a été encore assuré pour 2020-2021.
Impossible de les joindre par téléphone.
J'ai encore un  appartement assuré à la GMF.
Je croix que je vais le résilier si cela continu
</t>
  </si>
  <si>
    <t>13/05/2020</t>
  </si>
  <si>
    <t>moi-89328</t>
  </si>
  <si>
    <t>Reponses de la GMF au dessous de tout, voir irrespectueuses et impolies, lorsqu'il s'est agit de diligenter une expertise à ma demande concernant le préjudice Lubrizol. C'était pourtant simple : adversaire identifié, articles de presse constatant la catastrophe.</t>
  </si>
  <si>
    <t>02/05/2020</t>
  </si>
  <si>
    <t>doume-87881</t>
  </si>
  <si>
    <t>A fuir ! Un service sinistre inexistant. N'essayer même pas de les appeler. Ils n'existent pas. Durant les heures d'ouvertures avez un repondeur vous disant qu'ils sont occupés et durant les heures de fermeture vous avez un répondeur qui vous donnent les heures d'ouverture. Bref vous n'avez qu'un répondeur comme interlocuteur. Assurance à fuir et pourtant j'y suis depuis 40 ans. Jamais eut de vrais sinistres jusqu'à présent. Dès que je peux je les quitte</t>
  </si>
  <si>
    <t>03/03/2020</t>
  </si>
  <si>
    <t>pierre-87874</t>
  </si>
  <si>
    <t>Ils ne prennent pas en compte vos demandes de changement de contrat quand c'est une demande de changement à la baisse. En l'occurrence passage de 2 apparts à assurer à 1, correspondant à une période de transition entre deux apparts.</t>
  </si>
  <si>
    <t>samagi-87760</t>
  </si>
  <si>
    <t>Attention avant de souscrire essayé de joindre le service sinistre et vous comprendrez qu'il vaut mieux choisir un autre assureur: 0253552610</t>
  </si>
  <si>
    <t>28/02/2020</t>
  </si>
  <si>
    <t>popof-87749</t>
  </si>
  <si>
    <t>Suite à un sinistre survenu en 2016 (catastrophe naturelle) l'indemnisation n'a toujours pas eu lieu aujourd'hui (28/02/2020).
le service "dommages habitation" est très peu réactif.
je suis très mécontent 
je déconseille fortement cette assurance</t>
  </si>
  <si>
    <t>coco120-85888</t>
  </si>
  <si>
    <t>Cliente de la Gmf depuis 40ans, tous mes contrats chez eux et depuis octobre un dégâts des eaux, situation simple, aucune réponse aux devis adressés, des dizaines d'appels sans réponses, une lettre recommandée sans réponse, la seule fois ou j'ai pu obtenir le service sinistre il y a 5 jours, après mise en attente on a raccroché...sans me rappeler! Depuis hier 13 janvier on me répond que le service ne reprend que le lundi 20 janvier. Merci GMF.</t>
  </si>
  <si>
    <t>14/01/2020</t>
  </si>
  <si>
    <t>kenzo-35642</t>
  </si>
  <si>
    <t>Depuis juin 2019 dégâts des eaux.Oppose des clauses abusives,non signées,non discutée.Expert incompétent,partial,discriminatoire,ne produit aucune photo,ne respecte pas les règles éthiques.Méprise les huissiers.Service réclamation ne connait rien en droit.
Il faut se grouper tous les sociètaires et agir ensemble.
merci et bonne année</t>
  </si>
  <si>
    <t>31/12/2019</t>
  </si>
  <si>
    <t>magali-85359</t>
  </si>
  <si>
    <t xml:space="preserve">A la suite de mes parents j'ao adhéré à la GMF depuis les années 1970. </t>
  </si>
  <si>
    <t>30/12/2019</t>
  </si>
  <si>
    <t>pamelanantes-85317</t>
  </si>
  <si>
    <t>aubriette-81294</t>
  </si>
  <si>
    <t>lorsque vous avez besoin d'un rapport d'expertise, ils font la sourde oreille pourtant vous payez vos cotisations, alors vous n'avez pas le choix il faut prendre une personne compétente pour défendre vos intérêts</t>
  </si>
  <si>
    <t>24/11/2019</t>
  </si>
  <si>
    <t>marc-81235</t>
  </si>
  <si>
    <t>A éviter absolument. En cas de sinistre, les agences physiques disent ne rien pouvoir faire. Ils vous donnent un numéro de téléphone spécifique pour les sinistres. Vous pouvez essayer tous les jours, toutes les heures, le message est le même (tous nos conseillers sont occupés veuillez nous recontacter)
Cela fait 2 mois que j'ai eu un dégât des eaux. La déclaration se fait sur internet. Mon dossier est ouvert, j'ai envoyé plusieurs mails, coup de fil, passages en agence et rien. Rien de rien.
Le pire est que j'ai reçu un mail dernièrement pour me dire de ne pas oublier de payer ma nouvelle cotisation avant le 22 décembre pour l'année prochaine.Je suis furieux. Mon parquet du séjour est totalement foutu depuis 2 mois. Une honte cette assurance.</t>
  </si>
  <si>
    <t>22/11/2019</t>
  </si>
  <si>
    <t>esras-81067</t>
  </si>
  <si>
    <t>Incendie  dans mon garage  le 11 septembre l expert demande le passage société de décontamination et avance , depuis rien  service sinistre injoignable ne réponds pas au mail , service client joignable dit ils vont vous rappeler le dossier est complet</t>
  </si>
  <si>
    <t>16/11/2019</t>
  </si>
  <si>
    <t>vigilance-80416</t>
  </si>
  <si>
    <t xml:space="preserve">Bonjour,
Suite à un incendie ,la G M F m'a dépêché un expert qui sous  son aspect  gentil enfonce le sociétaire  en estimant votre bien dans des vétustés   et tout est tiré vers le bas .en plus pour couronner le tout le service  risque ne travaille que  3 jours de 9 heures à 12 heures (lundi,mardi et jeudi dans ma région).
</t>
  </si>
  <si>
    <t>25/10/2019</t>
  </si>
  <si>
    <t>ucorsu-80170</t>
  </si>
  <si>
    <t>Assuré depuis des décennies, suite à un vol ils ont juste remboursé la vitre cassé et l'intervention. Pour le reste rien absolument rien et totalement désagréables au téléphone. Donc stop j'ai changé pour un assureur à proximité a qui je pourrai m'adresser en tête à tête en cas de PB.</t>
  </si>
  <si>
    <t>17/10/2019</t>
  </si>
  <si>
    <t>seb77-79814</t>
  </si>
  <si>
    <t xml:space="preserve">Nous nous sommes fait cambrioler dans notre location de vacances il y'a 2 mois de ça et aujourd hui notre dossier n'a pas été traité  je m'interroge sur la fiabilité de notre assurance gmf </t>
  </si>
  <si>
    <t>08/10/2019</t>
  </si>
  <si>
    <t>storm094-79731</t>
  </si>
  <si>
    <t>Dossier ouvert depuis début juillet impossible de joindre le service sinistre sois il est fermé exceptionnellement toute la semaine sois il ne peuvent pas repondre, ou lors le disque en boucle comme quoi il vont nous répondre mais rien. le service commerciale n'arrive même pas à les joindre.</t>
  </si>
  <si>
    <t>eblaugy-79053</t>
  </si>
  <si>
    <t>Nous avons eu un sinistre, nous l'avons déclaré mi juin. Pas de réponse, nous avons contacter le service sinistre mais impossible d'avoir une personne le service est ouvert de 10 à 17h fermé le midi
Nous avons envoyé des mails et des courriers pas de reponse</t>
  </si>
  <si>
    <t>mehdi-79057</t>
  </si>
  <si>
    <t>Résilié de l'assurance habitation propriétaire non occupant d'un immeuble 5 logements après 20 ans de cotisation.Motif 3 dégâts des eaux dans les cinq dernières années mais  seulement 5 sur 20 ans !</t>
  </si>
  <si>
    <t>09/09/2019</t>
  </si>
  <si>
    <t>azur-78992</t>
  </si>
  <si>
    <t>Manque de considération et de sérieux. Les dossiers peuvent traîner en longueur. Pas de mise à jour. Action dite au téléphone n'est pas suivi en réalité. Et on recommence. A mon avis, ils font tout pour que les gens abandonne. Assureur à éviter.</t>
  </si>
  <si>
    <t>06/09/2019</t>
  </si>
  <si>
    <t>oliviervtt-78132</t>
  </si>
  <si>
    <t>Lors de ma souscription, on ne m'avais pas dit que mes appareils ménagers étais assurés 7 ans!
Je l'ai appris à mes dépends lors d'un sinistre du aux orages!</t>
  </si>
  <si>
    <t>26/08/2019</t>
  </si>
  <si>
    <t>coulomby68-78461</t>
  </si>
  <si>
    <t xml:space="preserve">FUYEZ!!! ( c'est fait); Victime de dégradations sur ma clôture par un véhicule qui s'est encastré dans un plot en béton face à mon domicile , et , moteur explosé, plein d'huile chaude sur les murs et portillon. Passage de l'expert GMF qui me donne le feu vert pour réparation; et, GRAND REVERS de GMF, L'Expert a le droit de se tromper!!!! Il faut des témoins; J'en fournis 5 dont la Gendarmerie, la Mairie et 3 témoins de passage. En effet ils sont témoins, mais pas témoin de la projection de l'huile qui sort du moteur et se propulse sur le mur.( pour eux, j'ai certainement fait bouillir de l'huile et je l'ai jetée sur mon mur !!! donc REFUS d' indemnisation. MAUVAISE FOIE EVIDENTE; impossible joindre par tel, pas de réponse aux nombreux mails sauf un courrier qui me dit que j'ai très peu de chance d'obtenir quelquechose. Ils ont reçu mes résiliations (5 au total) aujourd'hui; là je pense que leur téléphone va à nouveau fonctionner!!!!! ADIEU GMF et pas de pub de ma part sauf mauvaise! Un ancien client gmf très remonté!! </t>
  </si>
  <si>
    <t>16/08/2019</t>
  </si>
  <si>
    <t>dida-77948</t>
  </si>
  <si>
    <t xml:space="preserve">Affreux! Fuyez. Si vous aimez les problèmes (même si vous êtes victime d'un sinistre) et surtout si vous n'avez besoin de rien, assurez-vous alors à la GMF. Qu'il s'agisse d'1 dégât des eaux ou d'1 cambriolage, vous serez entièrement livré à vous-même. des versions différentes pour 1 même question, aucun conseiller en ligne, on vous réclame des documents que vous ne pouvez avoir, on vous dit de prendre le temps de lire votre contrat au moment de votre cambriolage car tout y est noté dedans. On vous répond "je ne sais pas c'est la cellule gestion des sinistres qui s'occupe de cela" mais la cellule gestion des sinistres est aux abonnés absents.... Lamentable. Je suis assurée GMF depuis plus de 8 ans. Tant que je n'avais pas de sinistre tout allait bien et la GMF encaissait mon chèque. Mais au moindre dégât des eaux c'est devenu problématique....A la date d'anniversaire je mettrais fin à mon contrat.   </t>
  </si>
  <si>
    <t>26/07/2019</t>
  </si>
  <si>
    <t>tatalyne-77677</t>
  </si>
  <si>
    <t>Aucun contact avec les services  le personnel des agences tres bien mais sont là simplement pour vendre des contrats et n'ont aucun moyen de nous renseigner sur un sinistre en cours</t>
  </si>
  <si>
    <t>16/07/2019</t>
  </si>
  <si>
    <t>ctephan-77410</t>
  </si>
  <si>
    <t xml:space="preserve">Pas de suivi sérieux. Interface GMF / Dynaren laissant largement à désirer. A éviter pour l'assurance habitation. </t>
  </si>
  <si>
    <t>07/07/2019</t>
  </si>
  <si>
    <t>mb-77308</t>
  </si>
  <si>
    <t>Accident de ski 
J ai appelé avant d aller au skis on m as dis qie j étais assurer
Chute au skis
On vous couvre pas car vous etes pas assuré à moins de 30 km de votre domicile habitant en savoie je vais pas aller skier à paris</t>
  </si>
  <si>
    <t>03/07/2019</t>
  </si>
  <si>
    <t>paul-75178</t>
  </si>
  <si>
    <t>Assureur ayant imposé la résiliation du contrat après un sinistre...
Et encore, on a eu de la. chance que la directrice d'agence nous laisse le temps de trouver une autre assurance avant de nous résilier !!!</t>
  </si>
  <si>
    <t>27/06/2019</t>
  </si>
  <si>
    <t>gerard-77074</t>
  </si>
  <si>
    <t xml:space="preserve">Ma mère est en EHPAD depuis plus de 1 an, et depuis, le site GMF pour suivre ses contrats m'est fermé;
Or je suis son tuteur légal en décision d'un tribunal d'instance et malgré tout la GMF me refuse l'accès aux dires de sécurité, ou de non solution digitale !
Du foutage de gueule  quand on sait que  j'ai accès a la gestion financière de ma mère, ses assurances vies, ses comptes et qu'un assureur se targue de ne pas appliquer la Loi et me laisser gérer ses contrats, sachant que malheureusement pour elle , elle a eu 2 incidents à l'ehpad, dont je n'ai pas la vision sur le suivi.
j'ai appelé plusieurs fois, 
j'ai pris RV en agence prés de chez moi
j'ai écrit à leur service communication et la réponse et risible "pas de solution au niveau digital".
je vais écrire pour un recours , 
mais cela suffira t'il ? quelqu'un a t'il eu ce type de déboire ubuesque ?
merci de votre aide
Gérard
</t>
  </si>
  <si>
    <t>bird83-76834</t>
  </si>
  <si>
    <t xml:space="preserve">Sinistre électrique non pris en charge car c'est un mobil home malgré une cotisation de cinq cent euros par an toujours réglé à temps. Pour eux c'est normal pour un contrat mobil home.
</t>
  </si>
  <si>
    <t>17/06/2019</t>
  </si>
  <si>
    <t>virgil-dimbezel-76241</t>
  </si>
  <si>
    <t>Le parcours du combattant pour résilier. Service Client malpolis et passif agressif. Parmi les assureur que je vais exclure formellement pour toutes mes besoin dans l'avenir</t>
  </si>
  <si>
    <t>25/05/2019</t>
  </si>
  <si>
    <t>maritxu-75576</t>
  </si>
  <si>
    <t>Tant que vous payez, parfait, mais quand ils doivent faire leur boulot, c'est une autre paire de manche!! En plus on vous raccroche au nez si vous avez le malheur de hausser un peu le ton. C'est sur que planqué derrière son téléphone...</t>
  </si>
  <si>
    <t>1234-75385</t>
  </si>
  <si>
    <t>GMF SI VOUS  TROUVER UNE ASSURANCE QUI NE VOUS ASSURERA PAS VOUS AVEZ FAIT LE BON CHOIX............................................................................................................................................................................................</t>
  </si>
  <si>
    <t>25/04/2019</t>
  </si>
  <si>
    <t>myriam-74995</t>
  </si>
  <si>
    <t>30 ans de fidélité
Service mediocre assurance chère. Bien sur le papier. Mais la réalité est bien différente.
Il est temps de conclure et d'arrêter d'être bête et fidèle. Inutile</t>
  </si>
  <si>
    <t>12/04/2019</t>
  </si>
  <si>
    <t>jaski-72265</t>
  </si>
  <si>
    <t>Une catastrophe. Je paie mes cotisations depuis plus de 40 ans chez eux. Quand enfin il m'arrive une succession de dégâts des eaux (4 en deux ans), je n'ai aucune indemnité, l'expert ayant changé de version 4 fois, et mettant 4 mois à faire son rapport (délai de 35 jour maxi, légalement)... Sur deux ans, tous mes coups de fil (où la politique semble être de vous passer une personne différente à chaque fois en se montrant progressivement de plus en plus désagréable), RAR, Mises en demeure (à la GMF, au service Juridique, au service des réclamations) sont restés lettres mortes. En fait non. Je rectifie : ils ont toujours fini par me répondre. Mais en trouvant des prétextes à leur incompétence, souvent en retournant la situation (jusqu'à mettre en doute mon identité au tél, alors qu'il nous ait demandé toutes les preuves de celle-ci avant même d'avoir le moindre interlocuteur !)... J'en suis au stade de faire appel au Médiateur des Assurances et compte changer d'assurance au plus tôt...</t>
  </si>
  <si>
    <t>carla-marie-46747</t>
  </si>
  <si>
    <t>J'ai oublié de signaler 38 années à la Gmf, les contrats, supprimés.</t>
  </si>
  <si>
    <t>modif-68570</t>
  </si>
  <si>
    <t>Attention aux frais pour TOUTES modifications de votre contrat même les plus insignifiantes. Je trouve ça incroyable. Je vais me faire les 91 pages de vos conditions général. J avais d'autre projet Merci GMF</t>
  </si>
  <si>
    <t>13/11/2018</t>
  </si>
  <si>
    <t>mtajmouati-67923</t>
  </si>
  <si>
    <t xml:space="preserve">Une prise en charge qui dure plus de deux ans, sans aucun suivi ni intervention, l'interlocuteur est de mauvaise foie et les presrataires gmf d'une pure incompétence.
Je suis client chez la gmf depuis plus que 3 ans et avec un seul sinistre/incident à mon actif et il s'agit d'un cambriolage dans une zone chic de l'île de France. </t>
  </si>
  <si>
    <t>20/10/2018</t>
  </si>
  <si>
    <t>isa-67809</t>
  </si>
  <si>
    <t>Bonjour Assurance qui vous laisse en attente téléphonique très longtemps sur répondeur et quand il décroche s'est soit pour vous raccrocher au nez soit pour vous dire de rappeler un autre jour : Enregistrement à l'appui</t>
  </si>
  <si>
    <t>pierrelecorse-36220</t>
  </si>
  <si>
    <t xml:space="preserve">dégât des eaux déclaré le jour même du 22 aout 2018, 1 devis le 25 aout transmis 2 277 euros l expert m indique qu il refuse le devis les métrés sont trop chère il me rapproche d'un artisant DOMUS avec qui travail l assurance, visite du chantier envoi du devis a la gmf le 23 sept 2018 et depuis rien j appel tous les 2 jours et une version différente à chaque appel (réf dossier 003345003Z) à ce jour le service sinistre GMF m indique que l expert n'a toujours pas recus le devis de la société DOMUS nous sommes le 12 octobre 2018, et la personne m'indique que c est à DOMUS d'envoyer à l'expert et que eux ont le devis mais ils doivent imprimer le mail et le scanner pour l envoyer a l expert lundi 15 oct si d ici la l expert aurait toujours rien reçus. je contact la société DOMUS ce jour qui m'indique qu en aucun cas ils ont relation avec l'expert car c est gestionnaire du sinistre qui a ouvert la demande d intervention soit la GMF et qu'ils ont bien envoyé le devis ! et nous nous sommes au milieu de tout ça avec un contrat soit disant full garantie et un suivis 0 et prise en charge 0 accompagnement 0 , 1 voiture , 1 moto , une résidence principale une résidence secondaire, une résidence mis en location , une assurance risque de la vie .....nous pensons qu'ils faut absolument aller voir ailleurs car les contrats ne sont en aucun cas le reflet des prises en charges;
mail fait sur le site gmf ....toujours aucune réponse super le suivis clientèle </t>
  </si>
  <si>
    <t>12/10/2018</t>
  </si>
  <si>
    <t>victimesdesassurances22-66594</t>
  </si>
  <si>
    <t xml:space="preserve">Pire que des banquiers, comparable aux vautours des laboratoire pharmaceutiques, ou aux marchants de cigarettes qui distribuent cancers handicaps ou suicide pour leurs seuls profits et spéculations </t>
  </si>
  <si>
    <t>06/09/2018</t>
  </si>
  <si>
    <t>nono086-65696</t>
  </si>
  <si>
    <t>Très bien tant que vous n'avez pas de soucis...
Lorsque vous cassez vous même quelque chose, vous n'avez quasi aucune couverture et lorsque quelqu'un casse quelque chose chez vous il faut s'accrocher: vous devez trouver une entreprise et lorsque comme moi personne ne veut intervenir car le travail est trop ingrat et mal rémunéré il faut trouver un ami ou l'ami d'un ami! Du jamais vu!
Du coup pour 2 carreaux à changer l'ami de mon amie doit produire une attestation où il indique combien il souhaite être dédommagé, ensuite les assurances doivent se concerter pour décider de ce qu'il aura: 10 euros de l'heure environ m'a-t-on annoncé au téléphone . Une misère...Du coup, je n'ai plus personne pour mes travaux et la GMF n'a pas de solution à me proposer!!!</t>
  </si>
  <si>
    <t>23/07/2018</t>
  </si>
  <si>
    <t>all-65345</t>
  </si>
  <si>
    <t xml:space="preserve">Impossible de contacter son conseiller en direct, obligation de passer par la plateforme téléphonique qui ne peut rien faire à part lui laisser un message. J'ai été prélevé par la gmf alors que suite à une erreur d'adresse au cadastre ils n'ont toujours pas résilié mon ancienne assurance. Honteux. J'essaye d'avoir ma conseillère depuis 2 semaines, personne ne m'a rappelée. J'ai pris un rdv en ligne pour la semaine prochaine en ne sachant même pas si ma conseillère sera présente. </t>
  </si>
  <si>
    <t>08/07/2018</t>
  </si>
  <si>
    <t>gillesh-64551</t>
  </si>
  <si>
    <t>Excellent pour faire payer mais désastreux en cas de problème</t>
  </si>
  <si>
    <t>truc-63590</t>
  </si>
  <si>
    <t>A fuir !! Aucun courrier de la GMF depuis l'expertise il y a 6 mois. Depuis mes 3 courriers restent sans réponse ainsi que mes 2 réclamations et ma mise en demeure (tout en R avec AR). Je n'ai plus que le tribunal pour résoudre l'affaire !!</t>
  </si>
  <si>
    <t>26/04/2018</t>
  </si>
  <si>
    <t>crabejoli-62531</t>
  </si>
  <si>
    <t>Un dégât des eaux énorme, aucune aide de l'assureur. La personne présente est en faite une "télégraphiste" qui se contente de vous mettre en contact avec une plateforme. Ils ne gèrent rien, ne vous sont d'aucune aide, les experts qu'ils envoient n'ont qu'une idée en tête VOUS INDEMNISER LE MOINS POSSIBLE ! 1ère expertise 7000€ pour faire faire les travaux. Nous avons refusé, demandé une entreprise agrée et tout à coup il donne 140000€ à l'entreprise. Sauf que l'entreprise refuse de faire les travaux prévus en prétextant qu'elle n'est pas assez payée. Fuyez cette assurance, pour eux vous n'êtes bons qu'a payer !</t>
  </si>
  <si>
    <t>21/03/2018</t>
  </si>
  <si>
    <t>jub-60677</t>
  </si>
  <si>
    <t>NE PAS S'ASSURER A LA GMF!!! Assurée depuis 10 ans, lors d'un dégât des eaux massif (dont je n'étais pas responsable), longueur dans la prise ne charge de la part de l'expert. S'en est suivi une aggravation de sinistre rendant mon logement insalubre. La gmf a mis plusieurs mois à "m'indemniser" et ne m'a versé que l'équivalent de 2 de mois de relogement alors que je suis restée plus de 7 mois à la porte de chez moi. Elle ne m'a même pas indemnisée l'intégralité des sommes avancées pour la remise en état de l'appartement. J'ai dû payer de ma poche plusieurs milliers d'euros sur le coût des travaux</t>
  </si>
  <si>
    <t>v85-60408</t>
  </si>
  <si>
    <t>Deux sinistres en un an ‘ un dégât électrique et un dégât des eaux : impeccable</t>
  </si>
  <si>
    <t>11/01/2018</t>
  </si>
  <si>
    <t>anthares30-60358</t>
  </si>
  <si>
    <t xml:space="preserve">suite à un dégat des eaux subis par un voisin. Le gestion des travaux par la GMF est nul. L'Expert de chez Elex Nimes irrespectueux et incompétent. Les travaux sont fait sans grande conviction et le résultat nul. Suite à une réclamation l'Expert vient nous dire que tout aller bien pour lui. Nous irons au Tribunal pour faire nommé un Expert judiciaire car il faut savoir qu'Elex est un filiale de la GMF. Nous allons résilié tous nos contrats. voilà ce qu'ils ont gagnés. </t>
  </si>
  <si>
    <t>10/01/2018</t>
  </si>
  <si>
    <t>mpowdpow-59610</t>
  </si>
  <si>
    <t>Cette assurance ne dispose plus d'aucun sens de l'assuré... Vous avez beau y être assuré depuis des années, au premier sinistre, vous serez baladé de services en services (et jamais ouverts à des horaires). En revanche, ils vous rappellent sans problème pour souscrire un nouveau service ou autre. Pour le reste, il faut écrire, écrire, et encore écrire...</t>
  </si>
  <si>
    <t>nath-58352</t>
  </si>
  <si>
    <t>fuyez !! et ils osent ce dire assurément humain !! 25 ans chez eux ,un seul soucis de remboursement ,plus d an pour avoir une réponse négative !! je veux partir de chez eux et la c est l agence de mon département qui me harcele au tel !!</t>
  </si>
  <si>
    <t>25/10/2017</t>
  </si>
  <si>
    <t>ar22-58188</t>
  </si>
  <si>
    <t>A fuir absolument!! Notre maison a brulé et nous n'avons quasiment pas été remboursé : la moitié des travaux est restée à notre charge, rien ne nous a été remboursé pour les objets détruits, nous n'avons eu droit à rien pour le logement temporaire que nous dû occuper pendant plus de sept mois, l'expert était d'une mauvaise fois absolue, le remboursement a pris plus de deux ans... Dire que c'est censée être une mutuelle qui "protège les agents du service public"... Il faudrait vraiment arrêter cette publicité mensongère.</t>
  </si>
  <si>
    <t>18/10/2017</t>
  </si>
  <si>
    <t>telmarmarjorie-53425</t>
  </si>
  <si>
    <t>Des appels et des appels qui ne se terminent plus suite à une agent qui m'a dit que mon assurance habitation aller se resilier automatiquement.... 
Je reçois une lettre comme quoi je n'ai pas payé l'année à venir..... Bref depuis décembre je fais tout ce qu'on me dit de faire et je continu à avoir des lettres de huissier comme si de rien n'était !!!!!!! Services déplorable, aucun suivi des dossiers, on nous prend pour des blaireaux !!!!!!</t>
  </si>
  <si>
    <t>20/03/2017</t>
  </si>
  <si>
    <t>koalatorus-53312</t>
  </si>
  <si>
    <t xml:space="preserve">Bonjour. Je suis extrêmement mécontent de mon assurance habitation de la GMF agence de Palaiseau 91.
Suite à un dégât des eaux datant de plus d'un an, les travaux n'ont toujours pas été effectués.
Les rendez vous avec les sociétés n'ont pas eu lieu : cessât ion d'activité pour l'une, salarié malade pour l'autre...et le tout sans me prévenir. J'ai posé 4 jours de congés pour rien. La GMF ne veut pas indemniser ce préjudice au titre qu'elle n'est pas responsable de ses prestataires. C'est honteux! Je sensibilise tout le monde sur le manque de sérieux de cette assurance. Inadmissible!!! </t>
  </si>
  <si>
    <t>16/03/2017</t>
  </si>
  <si>
    <t>tardelkarine36-52890</t>
  </si>
  <si>
    <t>Grosse déception. On paie une assurance pendant des années et au moindre sinistre ils sont incapable de vous donnez satisfaction. En revanche pour prendre cos sous chaque année il n'y a pas de probllème</t>
  </si>
  <si>
    <t>maisonsecroule-52512</t>
  </si>
  <si>
    <t>Des procédures judiciaires à n'en plus finir qui pourrissent la vie depuis des années. Ma maison s'écroule et moi avec. Mais d'où vient ce slogan "assurément humain"? parce que franchement, c'est tout sauf humain. Si vous voulez assurer votre habitation, fuyez...avant d'y laisser toutes vos économies, dans des procédures interminables et de n'être qu'un "dossier". Leurs avocats ne vous entendent pas, ne vous voient pas, vous n'existez pas en tant qu'"humain" dans leurs débats.</t>
  </si>
  <si>
    <t>17/02/2017</t>
  </si>
  <si>
    <t>zoubic-50445</t>
  </si>
  <si>
    <t>Je suis assuré pour les dégâts électriques. Comme là ou j'habite, j'ai une mauvaise qualité de courant... j'ai des appareils qui tombent en panne souvent...j'en ai même un qui a pris feu. La GMF a augmenté mon assurance habitation de 30% estimant que j'avais, pour les dommages électriques un niveau anormal de sinistre !</t>
  </si>
  <si>
    <t>19/12/2016</t>
  </si>
  <si>
    <t>jc25-50058</t>
  </si>
  <si>
    <t>L'agence où j'ai signé mes contrats ( 3 habitations - 3 VL - 1 accident : Famille ) a fermée (Perpignan Glaieuls) . Meme pas un mail de la part de la GMF pour annoncer cette fermeture.  Résultats 10 km aller retour pour rien. Arrivé a la maison, je tente de contacter mon conseiller, après 10 mn d'attente au 0970 809 809 une personne me répond de Bordeaux. pour une assurance de proximité je pense que l'on peut faire mieux. Mais toujours pas possible d'avoir mon conseiller, on me fixe un rendez pour le vendredi 9 décembre à 10h mais je n'aurai pas la personne que j'avais l'habitude de voir une fois par an afin de faire le point sur mes contrats</t>
  </si>
  <si>
    <t>08/12/2016</t>
  </si>
  <si>
    <t>fefe-49999</t>
  </si>
  <si>
    <t>client GMF depuis 30 ans j'ai subi un vol avec effraction en avril 2016.a ce jour soit 7 mois après le sinistre nous n'avons toujours pas eu de proposition de remboursement et nous avons pu malheureusement constater a nos dépens tout le laxisme et l'incompétence de cet assurance
total mépris de l'adhérent ,aucun contact digne de ce nom
la GMF  épuise la patience du client jusqu'a ce que celui ci baisse les bras
en totale contradiction avec ses campagnes publicitaires
a fuir</t>
  </si>
  <si>
    <t>oli37-139554</t>
  </si>
  <si>
    <t>2 dégats des eaux et je suis résilié… les assureurs savent encaisser mais n'assurent pas… Mais doit-on être surpris, ils ne sont intéressés que par le gain, et quand certaines assurances se présentent comme mutualiste…</t>
  </si>
  <si>
    <t>Matmut</t>
  </si>
  <si>
    <t>michel57-138636</t>
  </si>
  <si>
    <t xml:space="preserve">Bonjour la Matmut mérite 0 étoile pour moi car mon contrat habitation sera résilié pour le motif suivant dixit matmut:"l'examen de votre situation fait apparaître une fréquence de sinistres pour lesquels nous avons été amenés à intervenir". Je suis quand même assuré à la Matmut pour une assurance habitation depuis 1984.J'ai pris des options en 20170 pour mon contrat habitation pour avoir plus de couverture de sinistres. En avril 2018 j'ai eu une rupture de canalisation évacuation des eaux usées(option canalisations extérieures activé) , en décembre 2019 le four est tombé hors service (option panne electromenager de moins de 7 ans activée) et en juin 2021 un arbre est tombé dans mon jardin suite à une tempête(option arbre en terre activé) . Je pense que tant que tout va bien cette assurance se gave des cotisations et quand il faut trop débourser elle vous vire car vous n'êtes pas rentable. Fuyez cette assurance aujourd'hui !!! </t>
  </si>
  <si>
    <t>30/10/2021</t>
  </si>
  <si>
    <t>cati-137347</t>
  </si>
  <si>
    <t xml:space="preserve">Cela fait plus de 2 mois qu'un expert est passé chez moi sur cambriolage. Je passe mon temps à relancer la matmut pour qu'ils fassent leur boulot c'est à dire relancer l'expert. En revanche pour me prélever tous les mois il y a pas de souci.
Des la fin de mon sinistre je change d'assurance </t>
  </si>
  <si>
    <t>13/10/2021</t>
  </si>
  <si>
    <t>flo-136755</t>
  </si>
  <si>
    <t>Depuis plus de 15 ans à la Matmut sans sinistre, je cumule les déceptions depuis un récent dégât des eaux. Les services sont difficilement joignables par téléphone et lorsqu'on vous envoie un document à remplir par mail il est IMPOSSIBLE de leur renvoyer par mail...
Les enregistrements vocaux vous servent leur baratin au téléphone et vous disent de vous connecter à votre compte avant vous raccrocher au nez. Cela fait plus d'une semaine que j'essaie désespéramment de me connecter à mon compte pour transmettre mes documents et soit le site me signale une erreur, soit il me renvoie vers le numéro de téléphone précédant, une horreur....
Je veux bien payer une assurance plus cher pour avoir la qualité de service qui va avec, or les tarifs continues d'augmenter et la qualité baisse.</t>
  </si>
  <si>
    <t>jmd-135551</t>
  </si>
  <si>
    <t xml:space="preserve">Bonjour
Assuré à la Matmut.
Suite à incendie dans ma maison.
J'ai contacté dans la nuit mon assurance et tout c'est enclenché à une vitesse qui m'a surpris.
Espert constat,ajout de certaines dégâts pas visibles au premier RDV.
Très satisfait de la Matmut 
</t>
  </si>
  <si>
    <t>02/10/2021</t>
  </si>
  <si>
    <t>pat-59923</t>
  </si>
  <si>
    <t>Je pensais avoir fait le bon choix,après avoir bien étudié la proposition de contrat.
Les années passes,pas de sinistre et pas de problème.
Jusqu'au jour ou j'ai eu recours à la Matmut pour une assistance juridique souscrite.
Concernant un conflit de voisinage.Ma demande faite le 10 juin 2021 directement à l'agence, avec apport des documents nécessaires.
Sans réponse, j'ai envoyé par mail les documents,plusieurs fois en juillet et aout.
Réponse tardive par mail.
" Nous vous laissons le soin de prendre, a vos frais exclusifs, l'attache de l'avocat de votre choix afin d'etre representé à l'audience du 29 septembre 2021si vous estimiez cela nécessaire "</t>
  </si>
  <si>
    <t>06/09/2021</t>
  </si>
  <si>
    <t>corinnepizzano-127520</t>
  </si>
  <si>
    <t>Pour prendre des contrats pas de problème. Très bon service commercial, mais ensuite NUL !!! dégât des eaux il y a 6 semaines, pas de réponse, personne ne rappelle. Nous ne savons pas si nous pouvons faire les réparations ou attendre un expert...Nous sommes très mécontents !</t>
  </si>
  <si>
    <t>pm-124639</t>
  </si>
  <si>
    <t>J'ai été victime d'un cambriolage il y a 3 mois et ils n'ont toujours pas réglé ma situation. Ils continuent d'envoyer des gens pour faire l'évaluation et les petits services et ils ne résolvent pas le problème. Ils n'ont pas assuré les objets volés. Je ne recommande pas.</t>
  </si>
  <si>
    <t>25/07/2021</t>
  </si>
  <si>
    <t>bastien-v-124271</t>
  </si>
  <si>
    <t>Bonjour,
Comme lu dans de nombreux commentaires, quand il s'agit d'indemniser les assurés, il n'y a plus personne.
Je suis assuré chez eux depuis au moins 10 ans (habitation et véhicule). 
- 3 MOIS que mon dossier traine ils inventent toujours une excuse pour vous faire patienter.
- MENSONGES DU SERVICE SINISTRE : impossibilité de joindre le service avec votre numéro enregistré chez eux (filtrage de leur part) , mais tout à fait possible avec un autre téléphone...
Ma référence dossier si une âme charitable souhaite faire avancer mon dossier: 211M47261E</t>
  </si>
  <si>
    <t>darkies-121560</t>
  </si>
  <si>
    <t>Mon enfant a eu un grave accident chez un ami ( chute ). 
A ma grande surprise j'ai découvert que les accidents d'enfants mineurs sans tiers ne sont pas assurés ni chez moi ni ailleurs. 
Seule solution porter plainte contre les parents ( qui sont chez le même assureur et qui m 'ont bien volontiers fournis toutes les infos nécessaires) , ce que je me refuse à faire . Mon enfant a failli être tétraplégique (à 2mm près !) et je n'ose imaginer les difficultés que cela aurait posé au quotidien.
Je pense à toutes les soirées-pyjama, les goûters d'anniversaire , aux enfants d'amis ou de la famille emmenés en vacances ...et la terreur me gagne : aucun d'eux n'a jamais été assuré par aucune des assurances que j'ai à la matmut (habitation,scolaire,complementaire familiale ,smac ima ou autre) .
  Le positif :la MATMUT a accordé sans rechigner (mais ne m'ont pas informée lors de la déclaration d'accident , je l'ai su par une amie dont l'enfant avait eu un accident de la circulation) des heures de cours à domicile bien utiles.
Le négatif : ma commode 18eme est mieux assurée  (je n'en ai pas lol ) que mon enfant.
Je trouve cela terrifiant : le  conseil de la MATMUT prendre une assurance accidents de la vie pour mon enfant...j 'imagine les gens qui en ont 5 ou 6... sans compter que je réfléchirai à 2 fois avant d'inviter un autre enfant chez moi , ce qui est évidemment très triste...</t>
  </si>
  <si>
    <t>29/06/2021</t>
  </si>
  <si>
    <t>clara-114818</t>
  </si>
  <si>
    <t>Cliente depuis plus de nombreuses années, je viens de recevoir un courrier m’indiquant que la matmut résiliait mon contrat habitation sous prétexte que j’aurais eu trop de sinistres !!!! Sur 10 contrats souscrits, deux contrats ont eu des sinistres. 1 contrat a été dédommagé alors que sur le sinistre du deuxième contrat j’attends toujours un remboursement des frais engagés 3 mois après!
Par ailleurs, j’ai également remarqué qu’ils avait ouvert plusieurs dossiers pour un même sinistre!
Le service juridique est incompétent et ne vous apporte rien en terme de solution!
Les délais pour se faire rembourser prennent des mois voir ne sont toujours pas remboursés! Par contre vous débiter tous les mois de 200 euros, ils savent faire!!!
A fuir!!!</t>
  </si>
  <si>
    <t>25/05/2021</t>
  </si>
  <si>
    <t>peter58-113745</t>
  </si>
  <si>
    <t>Une voiture a complètement détruis notre mur de clôture depuis le 27 janvier, deux experts  se sont succédés, et un chiffrage des travaux a été réalisée et depuis plus rien... la Matmut nous répond qu'il faut attendre, attendre, attendre.. le paiement de la partie adverse et cela "ad vitam aeternam" (pour l'éternité!)
J'ai décidé de prendre le taureau par les cornes, j'ai contacter l'émission de Julien Courbet, "Ça peut vous arriver sur M6" mon dossier a été sélectionné et je passe dans 10 jours à l'antenne pour résoudre ce problème avec la Matmut</t>
  </si>
  <si>
    <t>chant-109772</t>
  </si>
  <si>
    <t>Uniquement bon pour encaisser vos cotisations ; zéro pour la prise en charge d'un sinistre et éventuellement pour utiliser la protection juridique.
A éviter ++++</t>
  </si>
  <si>
    <t>coco-101956</t>
  </si>
  <si>
    <t>Responsable d'un dégât des eaux, un agent se présente chez moi pour faire le bilan.
Sa première inquiétude : où se trouve votre détecteur de fumée ? 
Il se trouve qu'il n'y en avait pas chez moi. L'agent note son absence dans son dossier et ne me donne aucune explication, ni conseil sur le sujet. Il est vrai que je n'avais rien demandé non plus. Conscient de mon non respect de la loi et interpellé sur la démarche prioritaire de l'agent de l'assurance, je me suis empressé d'acheter et d'installer un détecteur (recommandé par les pompiers).
J'ai ensuite apporté à mon assurance le document qui indiquait l'installation de ce détecteur à mon domicile.
J'ai dû insister fortement pour que ce document soit scanné et apporté à mon dossier. En effet, l'agent qui m'a reçu m'a indiqué que ce n'était pas prévu pour eux de prendre en compte ce document et que ce serait à moi de prouver l'existence d'un détecteur de fumée en cas d'incendie...
Alors pourquoi avoir cherché sa présence lors de la visite pour le dégât des eaux ???</t>
  </si>
  <si>
    <t>30/03/2021</t>
  </si>
  <si>
    <t>pjf-108124</t>
  </si>
  <si>
    <t>Bon pour encaisser les primes, mais des qu'il y a problème (sinistre secheresse) pas de réponse aux appels, tout est fait pour ne pas entrer en contact avec l'assuré, c'est un répondeur qui filtre et là pas de rappel. Lorsque par hasard vous avez une conseillère, elle prétexte de ne pas vous entendre et raccroche, lorsque vous faite à nouveau vous êtes sur le répondeur filtrant . Une autre correspondante explique que le tel. Etait mal raccroché... qu'il y a le Covid etc... à quand le coup du "je suis dans le tunnel" en résumé Matmut déplorable en cas de besoin. Dossier ouvert depuis août 2019 arreté secheresse 2018 toujours rien et pas d'échange possible.</t>
  </si>
  <si>
    <t>momo-95984</t>
  </si>
  <si>
    <t xml:space="preserve">Fuyez l'assurance Matmut,  vous êtes bon pour payer  mais  dès  s'il y a sinistre, ils font tout pour ne pas vous payer.  Le temps passe  et vous engoisse.J'ai changé et à  ce jour je suis plus serein.  Choisissez une assurance  honnête </t>
  </si>
  <si>
    <t>mc92150-105561</t>
  </si>
  <si>
    <t xml:space="preserve">Client MATMUT depuis 20 ans. Aucun soucis jusqu'à la 1ere déclaration de Sinistre dégats des eaux  le 04 janvier 2021, appartement inhabitable 
Nous décidons d'appeler à plusieurs reprises pour faire avancer le dossier nous tombons sur des personnes ne connaissant pas vraiment notre dossier et nous demandant d'attendre l'appel de la personne en charge de notre dossier.
Cette personne nous rappelle enfin, personne très désagréable, hyper agressive, hautaine et inhumaine, ne comprenant pas notre appel ! Discussion incohérente 
</t>
  </si>
  <si>
    <t>yveane-66454</t>
  </si>
  <si>
    <t>Assurée a la matmut depuis plus de 20 ans je suis en passe d'aller payer mes cotisations ailleurs des cette semaine.Suite a un cambriolage et une indemnisation ridicule j'ai fait une lettre de reclamation demandant soit une reevaluation du sinistre ou au moins un geste commercial..Et depuis pratiquement un mois,,,rien.L'expert ne veut pas revenir sur son evaluation et le service de gestion fait la sourde oreille.La personne chargeait de mon dossier ( rire !! ) extrememnt desagreable et un peu hysterique et aussi  agresive me traite comme si c'etait moi la voleuse alors que c'est moi qui vient d'etre cambrioler ! Le comble!!
Bref,la Matmut a fuir!!!!!!!!!!!!!!!!!!!!!!!!!!!</t>
  </si>
  <si>
    <t>1connu-103057</t>
  </si>
  <si>
    <t xml:space="preserve">ATTENTION ! Les souscriptions sont fausses, certaines ne possèdent que les couvertures pour les visiteurs et non les propriétaire/ locataire. C'est hallucinant quand même de faire souscrire une assurance à un particulier qui, lui même ne l'est finalement pas. Je suis tombée de quelques étages dés lors où j'ai appris qu'un membre de ma famille posséder une assurance habitation mais que pour les visiteurs et même pas pour ça propre personne.
Vous êtes la risée des assurances française.
</t>
  </si>
  <si>
    <t>leo-102069</t>
  </si>
  <si>
    <t xml:space="preserve">Les sinistres ne sont pas traités dans l’urgence malgré l’attente et la gêne des assurés.
Pas informé sur le suivi, quant au téléphone injoignable la plupart du temps, quand on y arrive la personne va faire une relance, mais quelques semaines après toujours pas de réponse.
C’est déplorable </t>
  </si>
  <si>
    <t>fred-101894</t>
  </si>
  <si>
    <t xml:space="preserve">Cela fait plus d'un an que notre maison n'est plus habitable suite à un séisme et nous ne savons toujours pas ce que nous allons faire de notre maison (si elle est réparable ou à démolir). L'assurance traîne en faisant venir en 1 an 3 sois disant experts. Nous n'arrivons à joindre personne par téléphone, via le site ou en courrier recommandé. Aujourd'hui sans l'aide de nos connaissances ma famille serait à la rue. Cela fait pourtant plus de 15 ans que je paye sans retard mon assurance. 
De plus nous avons droit à une aide pour payer notre loyer en attendant une décision pour notre maison mais cette aide ne nous a pas été versée depuis 3 mois. Donc nous devons payer notre loyer + le crédit de notre maison en ruine. 
Assurance pas la moins chère du marché mais à éviter absolument car n'est pas là en cas de besoin. </t>
  </si>
  <si>
    <t>moiblain-100583</t>
  </si>
  <si>
    <t>Ne prenez pas votre assurance habitation chez la Matmut...
...on a (avait) notre assurance habitation chez la Matmut, courant septembre le syphon de la douche a fuit, cela a été remplacé par un professionnel à notre charge...à cause de cette fuite la Matmut résilie notre assurance...??</t>
  </si>
  <si>
    <t>25/11/2020</t>
  </si>
  <si>
    <t>gweeps-100444</t>
  </si>
  <si>
    <t xml:space="preserve">Viré de la Matmut après deux sinistres responsables en 35 ans.
La Matmut devrait le faire après un seul sinistre pendant qu'elle y est.
Voilà ce qu'on appelle pas une mutuelle.
</t>
  </si>
  <si>
    <t>22/11/2020</t>
  </si>
  <si>
    <t>loupfre-99670</t>
  </si>
  <si>
    <t>Victime d'un dégât des eaux nous avons été suivi par notre assureur la MATMUT.
L'accueil au guichet de Chambéry et au téléphone (siège lyonnais ?) a été particulièrement agréable aux vues des circonstances  et les employés ont montré beaucoup de patience et d'efficacité.
La prise en charge des frais sur devis ainsi que le remboursement sur facture ont été très rapide.
Bravo à tout le personnel qui a su être à l'écoute.</t>
  </si>
  <si>
    <t>05/11/2020</t>
  </si>
  <si>
    <t>oxie77-99590</t>
  </si>
  <si>
    <t>J'ai une assurance habitation chez la matmut avec une option panne électroménager, j ai pris cette option car ayant de l'électroménager plus sous garantie mais âgé de moins de 7 ans, les conditions générales de la matmut pour cette option. Mais j'ai eu malheureusement 4 pannes sur une période de 24 mois. J'ai eu la surprise de recevoir hier un AR me disant que j'avais eu trop de pannes qui n'était pas bon pour leurs chiffres, je suis allée voir les conditions générales et en aucun cas il y a un quota, montant pour cette option. Je leur ai demandé de me justifier cette suppression d'option en date du 1 janvier 2021, leur réponse : il n'y a rien de marqué dans les conditions générales (pas de quota de sinistre, ni de montant maxi à ne pas dépasser) que seul la direction choisie si j'ai encore droit à cette option. Je leur ai demandé un écrit de cette réponse, ils ne peuvent pas même réponse seul la direction décide. je suis un peu énervée car j'ai tous mes contrats chez la matmut soit 9 au total plus ma fille 3. Et pour une histoire d'option a 4 euros pas mois je vais surement enlever certains contrats soit presque la totalité.</t>
  </si>
  <si>
    <t>nad-98606</t>
  </si>
  <si>
    <t>J'ai pu compter sur eux sur ma fuite d'eau, un jour férié en plus et je n'ai rien deboursé. Je remercie également le plombier pour son intervention rapide.</t>
  </si>
  <si>
    <t>alou-97923</t>
  </si>
  <si>
    <t>Assuré depuis 12 ans , j’ai eu mon 1er sinistre le 5 septembre 2020( cambriolage), la gestion de votre part est juste CATASTROPHIQUE!!!!
Je suis deçu!!Aucunes coherences de la part des differents interlocuteurs, aucuns rappels, la venue d’un expert qui s’est fait attendre plus de 2 semaines!!!!On m’a volé tout un tableau electrique donc je n’ai pas d’electricité , il y’a donc urgence mais cela ne vous presse pas pour autanf!!! La matmut assure quand il n’y a pas de probleme.
Mes parents sont chez vous depuis plus de 25 ans et d’autres membres de ma famille ( et nous sommes nombreux) au vue de l’incompetences quant a la gestion de mon dossier , je peux vous assurer que beaucoup vont partir!!!INACCEPTABLE!!!</t>
  </si>
  <si>
    <t>dan--97895</t>
  </si>
  <si>
    <t xml:space="preserve">Très mauvaise assurance du jamais vue. Un simple incident de peinture me voilà à appeler l’assurance depuis 3 mois sans avoir un interlocuteur qui s’occupe de mon dossier. </t>
  </si>
  <si>
    <t>26/09/2020</t>
  </si>
  <si>
    <t>flandre-97654</t>
  </si>
  <si>
    <t>- Contact impossible a établir (téléphone, courriel) sauf à se déplacer 
- Experts sortis je ne sais d'où, affirmant des absurdités 
- Tout est fait pour s'abstenir de prendre en charge les sinistres si petits soient-ils
Je m'interroge sur la volonté de MATMUT de prendre en charge les gros dommages : cambriolage, incendie et ... Je vais donc me résoudre à quitter cet assureur.</t>
  </si>
  <si>
    <t>tiblues-96633</t>
  </si>
  <si>
    <t>Service et suivi inexistant. Dégât des eaux déclaré en août 2019 toujours pas indemnisé 1 an plus tard. 13 appels, des mails sur l’espace assuré : aucune réponse. Les conseillers rejettent la faute sur leurs prestataires (inter mutuelle habitat). Super class comme attitude. Ils promettent de vous rappeler et jamais rien....Les travaux ne sont toujours pas réalisés. 
Je n’ai jamais eu d’aussi mauvais service avec une assurance. Je l’ai prise pour la facilité de contractualisation par Internet mais rien derrière. A fuir.</t>
  </si>
  <si>
    <t>25/08/2020</t>
  </si>
  <si>
    <t>jfr-93807</t>
  </si>
  <si>
    <t>engorgement evacuation eaux usée dans un maison individuelle,ni l'assistance ni le service client ne peut m'apporter de l'aide un samedi charge à moi de me débrouiller seul sans être assuré d'être remboursé alors que mon contrat prends en charge ce problème</t>
  </si>
  <si>
    <t>11/07/2020</t>
  </si>
  <si>
    <t>kkroukk-92526</t>
  </si>
  <si>
    <t>Suite à une effraction dans la copropriété assurée à la Matmut, j'ai au téléphone un conseiller qui me demande d'envoyer le devis pour la réparation de la porte d'entrée et le dépôt de plainte, et m'informe qu'ils indemnisent sur la base de la réparation à l'identique. Plus de 20 jours plus tard pas de nouvelle, après un appel je reçois la réponse... qui me dit qu'il n'y a pas de prise en charge de ce type de dommage, alors que l'on nous avais remboursé pour exactement la même chose il y a 2 ans... Je pense aller voir ailleurs.</t>
  </si>
  <si>
    <t>28/06/2020</t>
  </si>
  <si>
    <t>td33-92382</t>
  </si>
  <si>
    <t>Service client injoignable, réclamations qui ne servent à rien la Matmut n'est pas une valeur sure</t>
  </si>
  <si>
    <t>26/06/2020</t>
  </si>
  <si>
    <t>pcrif22-92366</t>
  </si>
  <si>
    <t>Sinistre dégat des eaux avec des Dommages évidents Dans les murs et 
 dans le bois de la fenêtre mais Aucun remboursement
 tout les prétextes  pour ne pas rembourse</t>
  </si>
  <si>
    <t>claireb-91876</t>
  </si>
  <si>
    <t xml:space="preserve">Tres mauvaise gestion des sinistres. Il faut relancer sans arret. Sinistre dégat des eaux dans un appartement en loication, due a une fuite chez un voisin, d'octobre 2019. A ce jour, 22 juin 2020 toujours non solutionné. Pire, ont clos le sinistre sans rien dire a personne; obliger de les appeler et reclamer la reouverture, des fois que l'on soit amnesique... </t>
  </si>
  <si>
    <t>22/06/2020</t>
  </si>
  <si>
    <t>reagissons2020-90084</t>
  </si>
  <si>
    <t xml:space="preserve">Les garanties sont toujours contourner, la matmut est uniquement là pour dire qu'elle assure, mais quelque soit le sinistre, elle n'assure pas... </t>
  </si>
  <si>
    <t>laura-80757</t>
  </si>
  <si>
    <t xml:space="preserve">J'ai mis une étoile car je peux pas mettre zéro. Assuré depuis 2003. Sinistre en janvier 2019 dossier toujour pas traité sachant que l'expert a chiffré le véhicule. J'ai continué à payé la totalité de l'assurance tous risque renforcé alors que le véhicule a été déclaré non réparable par le 1er expert. Résilié depuis janvier 2020 par l'assurance matmut. A ce jour trop de dossier selon l'agent matmut, mon dossier n'est pas ça priorité. L'attente engendre des préjudices (préjudices avec un s) </t>
  </si>
  <si>
    <t>danfav04-89244</t>
  </si>
  <si>
    <t xml:space="preserve">DEGATS DES EAUX SUITE AUX INTEMPERIS DE FIN 2019 APRES SILENCE RADIO PENDANT 3 MOIS JE RECOIS UN MAIL AVEC REFUS D'INDEMNISATION J'AI CONTESTE LEUR CONCLUSION ET EN PLUS J'AI SOULIGNE QUE MA COMMUNE A ETE CLASSEE EN CATASTROPHE NATURELLE POUR CETTE PERIODE , J'ATTENDS UNE REPONSE DE LEUR PART .        </t>
  </si>
  <si>
    <t>29/04/2020</t>
  </si>
  <si>
    <t>mlt59-88258</t>
  </si>
  <si>
    <t>Comme beaucoup l'ont dit, quand il n'y a pas de problème, tout va bien, surtout pour encaisser 30 ans d'assurance maison à 470€/an (faites le compte...). J'ai eu un sinistre (dégât des eaux peu étendu) il y a presque 2 ans. J'attends toujours que les travaux se fassent. La MATMUT fait traîner les choses, ne propose rien pour résoudre le problème d'humidité, se retranche derrière des valeurs contradictoires (mesures d'humidité) entre les différents intervenants du dossier; elle ne bouge (lentement) que tous les 3 ou 4 mois, lorsque vraiment je les harcèle au téléphone pour les sommer de faire les travaux...
Lorsque l'expert est passé initialement à la maison pour évaluer les dégâts, j'ai même eu droit à une réévaluation à la hausse de ma cotisation au prétexte que j'aurais sous-évalué le nombre de pièces! Vous venez d'avoir un dégât des eaux et tout ce que l'expert vous dit, c'est qu'il faudra revoir à la hausse votre cotisation! J'ai moi-même retiré le parquet de la pièce, et intégré des ventilations dans la pièce. Dernière nouvelle du jour: un expert va repasser; et c'est reparti pour un tour...
PS: je ne coche pas la case pour qu'un conseiller Matmut me rappelle, je viens d'avoir à l'instant le service sinistre pendant plus de 30 minutes qui m'explique que non, les travaux ne peuvent pas encore se faire mais qu'un expert va repasser prochainement...</t>
  </si>
  <si>
    <t>kat30-87583</t>
  </si>
  <si>
    <t>Très déçue de cette assurance. Je souscris à un contrat habitation en Mars 2019 et quitte le logement en Octobre suite à un différent avec mon proprio. J'ai envoyé une lettre de résiliation au siège le mois de mon départ de l'appartement en joignant à ma lettre mon état des lieux de sorti et j'ai attendu jusqu'à hier, avec de nombreuses relances, pour finalement les appeler. Le service me dit qu'ils n'ont pas reçu ma première lettre et qu'ils subissent actuellement du retard. Quand je demande si je vais être remboursée des 6 mois payés non passé dans le logement, on me répond que non et que le mois de Janvier sera remboursé s'ils sont gentils ? Je n'ai jamais vu un service aussi déplorable et je ne compte pas m'arrêter là-dessus. A éviter très sérieusement.</t>
  </si>
  <si>
    <t>kmu93-87327</t>
  </si>
  <si>
    <t>Évitez.
Victime d'un sinistre, mais ayant la même assurance que l'auteur des faits, et malgré la venue et validation de leur expert, cette société mercantile refuse de reconnaître le sinistre. Je me tourne donc vers le médiateur des assurances.</t>
  </si>
  <si>
    <t>alex9ve-87225</t>
  </si>
  <si>
    <t xml:space="preserve">Très en colère et très déçue 
J'ai souscrit à un contrat habitation au mois de octobre 2019 .j'ai signée pour la  somme qui ma été proposée 
A ma plus grand surprise sur mon relever de compte le tarif est légèrement plus élevé lors du signature  du contrat 
Et j'ai signée pour un contrat habitation pas d'autre contrat...j'ai remarqué en allant sur mon compte personnel que   j'ai un autre contrat que j'ai pas demandé c'est le contrat Matmut SMAC ....
Mon problème  c'est que maintenant je suis plus dans le logement ou j'ai demandé le contrat habitation , j'ai rencontré un  problème avec le logement ,l que j'ai du rentre les clés au propriétaire le mois suivant parce que son logement avait des problème humidité 
Actuellement je suis plus dans le logement depuis trois mois environs je souhaite arrêter le contrat .
En envoyant lettre de résiliation pour expliquer les causes de ma résiliation.... et vous continuer à me prélever sur mon compte .... 
Dans ce cas comment ça se passe ? 
</t>
  </si>
  <si>
    <t>17/02/2020</t>
  </si>
  <si>
    <t>nelly-85610</t>
  </si>
  <si>
    <t xml:space="preserve">UN GRAND MERCI A LA MATMUT POUR AVOIR RÉSILIÉ MES 7 CONTRATS
Pour le motif "Alternation de nos relations commerciales"
Les faits : J'ai déclaré un petit sinistre dont d'ailleurs je n'étais pas responsable. Cinq semaines plus tard, suite au dysfonctionnement de la prise en charge de mon sinistre, au cours de ma troisième visite à l'agence j'ai vivement manifesté mon mécontentement. La sanction était immédiate : Résiliation de tous mes contrats !
Ayant était auparavant assurée à la compagnie AXA pendant 30 ans j'ai donc aussi tôt ouvert tous mes contrats chez AXA. Il s'est avéré que mes primes à présent sont légèrement inférieures à celles prélevées par la MATMUT alors que la publicité veut faire croire que cette dernière est la plus compétitive sur le marché.
Que plus est, mon expérience de 30 ans passée chez AXA me permet de comparer la réactivité de cette dernière lors de la prise en charge des sinistres ainsi que l'écoute de leurs assurés.
</t>
  </si>
  <si>
    <t>07/01/2020</t>
  </si>
  <si>
    <t>lorna-85543</t>
  </si>
  <si>
    <t>Cliente depuis quelques années pour l'assurance habitation, je demande un devis car je déménage.Ils me font un contrat direct et je me rends compte que je suis dejà débitée sans n'avoir rien signé....De plus leur " accueil téléphonique" est injoignable.</t>
  </si>
  <si>
    <t>06/01/2020</t>
  </si>
  <si>
    <t>clementine31-85451</t>
  </si>
  <si>
    <t>J'ai envoyé une déclaration de bris de glace  avec la facture le 28 septembre 2019. Depuis j'ai écris 2 fois sur leur messagerie, j'ai téléphoné 3 fois, j'ai envoyé une LR avec AR LE 9 11 19, je suis allée à mon agence MATMUT ; aucune réponse, aucune information, aucun numéro de dossier. Sociétaire depuis 40 ans je trouve que les services de la MATMUT se dégradent considérablement et que le client est vraiment maltraité.</t>
  </si>
  <si>
    <t>03/01/2020</t>
  </si>
  <si>
    <t>koldo-85420</t>
  </si>
  <si>
    <t>Sur Rennes, très mauvaise expérience avec une SCI, une configuration manifestement trop compliqué pour la MATMUT qui mandate un "expert" qui n'en est pas un pour un dégât des eaux.</t>
  </si>
  <si>
    <t>02/01/2020</t>
  </si>
  <si>
    <t>rachii-85360</t>
  </si>
  <si>
    <t xml:space="preserve">Dégât des eaux déclaré en juillet 2019 toujours aucune réparation . Le dégâts des viens provient d'un tiers celui ci a été indemnisé par son assurance mais la matmut ne répond jamais et ne sait pas où en est le dossier </t>
  </si>
  <si>
    <t>mjg-82238</t>
  </si>
  <si>
    <t xml:space="preserve">Décision du service sinistre de conserver une franchise de 150 euros suite à un dégât des eaux qui implique le syndic de copropriété </t>
  </si>
  <si>
    <t>thr-82105</t>
  </si>
  <si>
    <t>Bonjour. 
J'ai été victime d'une tentative d'effraction à mon domicile le 13 septembre 2019. Ma serrure a été forcée et endommagée, mais la porte n'a pas été ouverte.
J'ai contacté aussitôt mon agence Matmut qui ne m'a absolument pas aidé, et m'a laissé totalement gérer la mise en sécurité de mon domicile et la réparation de ma serrure. Son remplacement a été réalisé le 16 septembre et j'ai donc fait l'avance des frais le jour-même.
Le correspondant de mon agence a saisi la déclaration de sinistre le 21 septembre, en oubliant d'indiquer que la réparation avait été faite, et que la facture lui avait été donnée. Depuis je n'ai plus aucune nouvelle. 
Je suis passé à 4 reprises à mon agence où je n'obtiens jamais de réponses à mes questions, autant sur la situation du dossier que sur l'absence de remboursement, ou bien sur la raison de ce blocage. En parallèle, via la messagerie de la Matmut attachée à mon compte, j'ai adressé 3 messages depuis le 22 octobre qui sont restés eux-aussi sans aucune réponse, mis à part l'accusé de réception automatique m'indiquant que mon message serait traité dans les meilleurs délais ...
Très concrètement, cela fait 3 mois que j'ai avancé les frais de la réparation, et que je n'ai eu aucun remboursement, ni même la moindre explication. Je vous laisse juge de ce qu'il convient de penser d'un tel service !!!</t>
  </si>
  <si>
    <t>19/12/2019</t>
  </si>
  <si>
    <t>mp-81346</t>
  </si>
  <si>
    <t xml:space="preserve">Assurance a banir une copine me conseil pour le prix je me dis ok jetais chez societe general me demande encore pourquoi jai quitter, pour quelques euros tres long jamais vue ca conseille client plus que detestable pour souscrire tres sympa mais si pas content il deviennent odieux il as oser me dire quil y avait des cas plus important suite a un degat des eaux hallucinant bref fuillez premiere fois de ma vie que je laisse un commentaire un avis sur le net et jen ai connus des incompetant mais en tant qu'assurance c'est du jamais vu </t>
  </si>
  <si>
    <t>26/11/2019</t>
  </si>
  <si>
    <t>cosette-81233</t>
  </si>
  <si>
    <t>Nous sommes très satisfaits de la Matmut Melun et Rouen.Très bonne qualité d'écoute, réactifs lors de nos différents sinistres.Service juridique assistante maternelle  et habitation très compétent Depuis + de 40 ans nous sommes sociétaires et tenions à dire notre très grand contentement.</t>
  </si>
  <si>
    <t>Je suis assuré depuis 2003, dégât des eaux des parties commune, constat amiable effectué le 3mars 2019, on me relance quelque mois après pour me dire que je n'ai pas déposé le constat. Je renvoi le constat tamponner par l'agence on me transmet en septembre les coordonnées de l'expert qui passe a mon domicile et effectué le devis : réponse de la matmut trop élevé donc l'envoi un mail et me dit clairement que je vais payer une franchisse de 150euro et que je serai indemnisé de 721euro et que quand j'aurai effectué les travaux je toucherai 500euro moi je ne me suis jamais engagé à effectuer les travaux. Je trouve cela hyper déplacé. Assurance vraiment a fuite car situation actuellement bloqué. Je deconseille</t>
  </si>
  <si>
    <t>06/11/2019</t>
  </si>
  <si>
    <t>domie62-80303</t>
  </si>
  <si>
    <t>Assurés depuis 30 ans sans jamais avoir eu de sinistre, une amie (qui fait partie du comité des fêtes) me prête gentiment et gracieusement leur barnum. Un coup de vent le barnum s'envole et est complètement détruit, réponse de la MATMUT : la facture est au nom d'un comité des fêtes nous ne prenons pas en charge ce sinistre (1200.00 euros le barnum) ... chercher l'erreur.</t>
  </si>
  <si>
    <t>22/10/2019</t>
  </si>
  <si>
    <t>pascale-ca-80095</t>
  </si>
  <si>
    <t>33 ans d'assurance à la MATMUT : 
habitation, voiture, scolaire, moto maintenant. 
Un service de crédit très bien. Une télé-assistance parfaite.</t>
  </si>
  <si>
    <t>brubru26-77778</t>
  </si>
  <si>
    <t>suite à la grêle, l'expert m'a indemnise en tenant compte des cotisations versées.j'ai paye 16000 euros de cotisations en 20 ans.la matmut m'a versé 15000 euros alors que les dommages sont de 26000 euros.</t>
  </si>
  <si>
    <t>20/07/2019</t>
  </si>
  <si>
    <t>ludovic-67277</t>
  </si>
  <si>
    <t xml:space="preserve">Méthode scandaleuse
1 an sans réponse 
Interlocuteurs aigris 
Prise d'otage financière
Assuré pris pour une vache à lait 
Cotisation chère 
Qualité de service médiocre 
Coquille vide
</t>
  </si>
  <si>
    <t>10/07/2019</t>
  </si>
  <si>
    <t>zaza-76817</t>
  </si>
  <si>
    <t>Bonjour j'étais et ma maman aussi sociétaire de la Matmut depuis 1970. lors du décès de maman. Le notaire a pris le relais des paiements normal Il y a eu un loupé dans les paiements. Alors qu'à la succcession tout serait réglé. Cette assurance s'est permis de ne plus assurer son appartement sans même me prévenir alors que j'étais curatrice et sociétaire . Ils ont un comportement irresponsable et dangereux. Bien entendu j'ai quitté cette ste ainsi que mon compagnon et mes enfants Je ne recommande pas cette société .</t>
  </si>
  <si>
    <t>sofia-75520</t>
  </si>
  <si>
    <t xml:space="preserve">Depuis plus de 10 ans chez la MATMUT jamais de problème. Jusqu'à aujourd'hui ou je me retrouve alitée pour menace d accouchement prématuré . Donc j appele après une hospitalisation de 6 jours pour bénéficier d une aide ménagère comme le prévoit le contrat et je tombe sur incompétente qui me dit que l hospitalisation pour une menace d accouchement prématuré n est pas prevu par le contrat. Je me renseigne de mon côté auprès d autres assurances nitemment Malakoff qui prend en compte ma demande via ma mutuelle, et je me rends compte que la dame est juste imcompetente. Donc je rappelle deux semaines plus tard et la je tombe sur une conseillère qui veut bien se renseigner auprès de son supérieur. Donc elle confirme que la prestation est possible mais ça sera à partir de ce jour donc il ne reste que 4 h de ménage sur les 12 h prévues dans le contrat....bref.  une assurance qui ne fait que ramasser du fric, car en cas de coup dur ne comptez pas sur eux. </t>
  </si>
  <si>
    <t>30/04/2019</t>
  </si>
  <si>
    <t>liinak-74889</t>
  </si>
  <si>
    <t>Je suis assurée depuis 4 ans en assurance auto et habitation, donc je dispose de plusieurs contrats avec la Matmut. Je vous partage mon expérience en matière d'assurance habitation. Je me suis fait cambrioler et l'ensemble de mes bijoux et d'autres affaires ont été volés. Je fait donc une déclaration à la Matmut qui m'envoie un sérrurier que je paye 150 euros. Ensuite je prend rendez-vous avec un expert qui ne viens que 2 mois après le sinistre pour constater l'infraction et la conformité du logement. L'expert prend les factures sans m'informer de la suite. Je ne reçois pas de proposition de la part de l'expert concernant le chiffrage, je n'ai reçu aucune lettre aucune information. Je reçois quelques semaines plus tard un virement qui ne représente que 8% du montant total de mes pertes que j'ai déclaré. Donc j'effectue deux réclamations par téléphone pour contester, l'argument de la Matmut est que l'article 32 prévois qu'en cas de vol je dois présenter les factures des bijoux PLUS des photos de moi portant les bijoux afin d'être remboursé (je n'ai pas de photo de moi avec l'ensemble de mes bijoux). Mais ils m'ont quand même remboursé une montre sans photo et seulement avec la facture donc cela n'est pas logique. Le deuxième argument est que les bijoux qui n'ont pas été acheté en France doivent disposer de la déclaration en douane si ils dépassent 430 euros, or certains bijoux pour lesquels j'ai transmis des photo ne dépassent pas ce seuil, ils ne disposent donc pas de déclaration de douane puisque je n'ai pas dépassé le plafond. Mais la encore la Matmut ne veux rien entendre et passe outre mes arguments et ne veut pas prendre en compte ces bijoux et ne répond pas à la totalité de ma réclamation. A ce jour, on m'a transmis le chiffrage de l'expert seulement après m'avoir payé et après que je l'ai demandé et sans que je donne mon approbation, le document qui m'a été envoyé est à moitié coupé. Les arguments qu'ils exposent ne sont pas cohérents et il n'y a pas un vrai traitement de ma réclamation puisqu'on ne répond jamais a mes questions, mais on me répond sans cesse la même chose. En plus de m'être faite cambrioler je n'ai rien récupérer alors que je paie mon assurance et je n'ai même pas assez pour racheter ne serait-ce qu'un quart de mes pertes.</t>
  </si>
  <si>
    <t>09/04/2019</t>
  </si>
  <si>
    <t>bibbiche-74728</t>
  </si>
  <si>
    <t xml:space="preserve">Rencontrant un soucis au niveau de l'évacuation des eaux usées car nous avons une fosse septique, la matmut ne couvrait pas se sinistre (vidange de la fosse septique), </t>
  </si>
  <si>
    <t>03/04/2019</t>
  </si>
  <si>
    <t>gignac-1238</t>
  </si>
  <si>
    <t>suite à un degat des eaux, toujours en attente d un remboursement, sinistre datant de plus d un an.la Cie c est trompé sur le contrat au debut, et depuis  on me cherche des histoires de toutes  sortes, les coups de telephoneà la cie meme pas je raconte , ça rigole de tous coté , on me balade de bureau en bureau, je ne compte plus les courriels , ras le bol de cette cie , je deconseille</t>
  </si>
  <si>
    <t>26/03/2019</t>
  </si>
  <si>
    <t>anzmarc-71715</t>
  </si>
  <si>
    <t xml:space="preserve">Dégât des eaux mettant en cause mon voisin au dessus. Après avoir fait le devis pour les travaux chez moi, plus d'un mois sans nouvelles. Il a fallu harceler au téléphone pour être mis en relation avec un expert moi même. Pas de réponse de la matmut à mes différents mail, excepté quand je leur envoie mes factures d'essence lié au fait que je ne peux occuper mon logement actuel. Triste le traitement accordé à un fidèle client. </t>
  </si>
  <si>
    <t>27/02/2019</t>
  </si>
  <si>
    <t>vced-70086</t>
  </si>
  <si>
    <t>J'ai du relancer au moins 10 fois pour qu'un expert passe finalement 5 mois après un incident sur ma clôture de jardin. J'ai du appeler MOI MÊME les experts pour que cela avance !</t>
  </si>
  <si>
    <t>10/01/2019</t>
  </si>
  <si>
    <t>deska-67904</t>
  </si>
  <si>
    <t>Une assurance qui ne sert  à rien. Remboursée 600 euros un incendie dont les frais s'élèvent à plus de 3000 euros. 
MATMUT fanfaronne dans le mécénat mais c'est les adhérents non indemnisés qui financent tout ça.</t>
  </si>
  <si>
    <t>frany26-67734</t>
  </si>
  <si>
    <t>J’ai eu un cambriolage y a deux semaines j’ai appelé Matmut et depuis silence radio! Sois disant ils devaient m’envoyer des papiers par mail a remplir et depuis quand j’ai rappelé la personne m’a dit ah je ne sais pas vous les aurais soit aujourd’hui ou demain ça fait deux semaines!Peut-être qu’elle voulait dire l’Anne prochaine Je vais vous dire quand il s’agit de payer c’est une obligation mais quand il nous arrive quelque chose et qu’il faut nous payer et bein la y a aucune pression!Je trouve ça degueulasse surtout qu’on est malheureux car on a pénétré dans notre intimité et que rien ne remplacera la valeur sentimentale</t>
  </si>
  <si>
    <t>16/10/2018</t>
  </si>
  <si>
    <t xml:space="preserve">Tout va bien jusqu'au jour où vous avez un sinistre. La MATMUT met en place une stratégie laissant peser sur le client une suspicion permanente selon laquelle le client est un fraudeur. Un gestionnaire s'est d'ailleurs amusé à me le dire. Je trouve ce type de propos inacceptables. </t>
  </si>
  <si>
    <t>02/10/2018</t>
  </si>
  <si>
    <t>gogo-64122</t>
  </si>
  <si>
    <t>Nouvel pub. La tolérance avec le gamin qui laisse le robinet d eau ouvert .la tolérance tu connais pas ?. Ma maison s ecroule j ai rien fait  4 mois que j attends . mais elle est vieille ma maison....c bête....</t>
  </si>
  <si>
    <t>carine-61499</t>
  </si>
  <si>
    <t xml:space="preserve">Mes Parents ont été victimes d'un cambriolage en Décembre 2016.
Plainte effectuée au Commissariat, prise d'empreinte, expert mandaté Matmut qui effectue son constat. pour info, 2 autres maisons à proximité de mes parents ont été cambriolés ce soir là.
mon Papa (67 ans ) ma Maman (62 ans).
A ce jour, le 16 février 2018, malgré les factures transmises des biens volés et une porté cassée qui tient par une planche bois (valeur estimée à 4700 euros pour le préjudice ), le dossier est toujours en cours d'instruction ! donc aucune indemnités reçues.
malgré des recommandés, appels, vous êtes traités de manière honteuse, allant même à accuser mes parents de frauduleux, d'un coup monté !
Allant même à contacter les entreprises figurants sur vos factures !
Le service client est exécrable, vous raccrochant au nez, limite vous insulte.
l'Agence dans laquelle mes parents ont souscrits l'assurance, ne peut rien faire. tout se passe au Siège de la Matmut à Rouen, par courrier ou par téléphone, si vous avez la chance de ne pas jouer aux chaises musicales.
Pour une MATMUT qui assure ! revoyez votre slogan qui lui est purement frauduleux et mensonger ! </t>
  </si>
  <si>
    <t>16/02/2018</t>
  </si>
  <si>
    <t>guillaume74-59335</t>
  </si>
  <si>
    <t xml:space="preserve">Le prix est correct mais en cas de sinistre les surprises peuvent être de taille. Il y a quelque semaines, un agent de la plateforme a refusé de prendre en compte un sinistre sans même prendre le temps de m’écouter jusqu’au bout. C’est absolument scandaleux. J’ai demandé à parler à un autre agent et il m’a été répondu que c’était hors de question... Je viens de résilier mon contrat qui au final ne sert pas à grand chose le jour où vous avez un problème </t>
  </si>
  <si>
    <t>03/12/2017</t>
  </si>
  <si>
    <t>ji-58549</t>
  </si>
  <si>
    <t xml:space="preserve">J'ai souscris à cette assurance pour avoir une attestation spécifique. Avant le souscription, on me dit que c'est possible et dans les délais que je demande. Après souscription, ça devient compliqué et certainement pas dans les délais </t>
  </si>
  <si>
    <t>02/11/2017</t>
  </si>
  <si>
    <t>john13-57383</t>
  </si>
  <si>
    <t>Overall very happy with Matmut. Their service has been exceptional compared to what I've experienced in France</t>
  </si>
  <si>
    <t>16/09/2017</t>
  </si>
  <si>
    <t>marc922-57135</t>
  </si>
  <si>
    <t>Depuis 20 ans à la MATMUT pour l'ensemble de mes assurances, j'ai eut un gros pépin (35000 €) et là je me suis retrouvé seul avec un service en agence qui ne peut rien faire car tout est sur internet ou centralisé par téléphone.
Après un litige avec un locataire, la MATMUT ne me rembourse rien car je suis assuré pour les dégradations en tant que propriétaire non occupant seulement si ce n'est pas le locataire qui les causes ... chercher l'erreur !
Je fais donc jouer la protection juridique et il a fallut 6 mois pour 2 lettres recommandés et encore 3 mois pour me dire qu'il fallait aller devant le juge puisqu'il n'y avait pas de réponse. Vous n'avez besoin de personne pour faire ça !
Bilan : Si vous n'avez besoin de rien vous pouvez leur demander.</t>
  </si>
  <si>
    <t>07/09/2017</t>
  </si>
  <si>
    <t>jenny76480-56860</t>
  </si>
  <si>
    <t>voila nous sommes assurés à la matmut depuis longtemps pour nos véhicules et habitation. au mois de mai 2017, nous avons eu un sinistre dégat des eaux, une fuite d'eau d'un tuyau dans le placo dans le mur de la maison, fuite très difficile à situer. déclaration puis on nous envoie quelqu'un qui ne sait pas faire, il me dit revenir demain mais ne revient pas et on ne peut m'en envoyer un autre. au tél. on me dit si on ne trouve pas il faut casser!!! le carrelage de la cuisine est tout soulevé par l'eau. je fournis comme demandé un devis carrelage et un devis plombier, hier l'expert vient conteste les devis qui sont faits par des professionnels , pour 4900E et 1500E IL me dit que de toutes façons pour un dégat des eaux le total remboursé ne peut dépasser 2100 Euros, et que l'intervenant à déjà perçu 600e sur cette somme mais que si je fais réparer au noir , il retire encore 500 euros  Voilà au bout de trois mois avec pas d'eau dans la cuisine, bien sur je vais résilier toutes mes assurances chez eux</t>
  </si>
  <si>
    <t>24/08/2017</t>
  </si>
  <si>
    <t>ocean-56305</t>
  </si>
  <si>
    <t>TRES MECONTENT DE LA PROTECTION JURIDIQUE
SOUCI AVEC UN FOURNISSEUR DE SALLE DE BAIN ET UNE PROTECTION JURIDUQUE QUI N A ABSOLUMENT PAS AGI POUR DEFENDRE UNE SITUATION LAMENTABLE
SERVICE PROTECTION JURIDIQUE CATASTROPHIQUE
A FUIR!</t>
  </si>
  <si>
    <t>26/07/2017</t>
  </si>
  <si>
    <t>yoann-56138</t>
  </si>
  <si>
    <t>Dommage de ne pas pouvoir mettre zéro ! Toujours en litige depuis novembre 2016</t>
  </si>
  <si>
    <t>25/07/2017</t>
  </si>
  <si>
    <t>bimbo-53960</t>
  </si>
  <si>
    <t>L'employée de l'agence de l'Union me fait comprendre comment faire pour ne pas m'assurer chez cette assurance. Elle insiste lourdement car elle n'a pas envie de travailler. Au fil des ans les employés et la directrice sont devenus de plus en plus fainéants et acariâtres. Pourquoi...</t>
  </si>
  <si>
    <t>09/04/2017</t>
  </si>
  <si>
    <t>albator37360-53836</t>
  </si>
  <si>
    <t>J'ai un dégât des eaux depuis plus d'un an. Le dossier n'avance pas, il faut sans cesse les appeler pour avoir des nouvelles, il n'y a ni suivi, ni respect des engagements donnés. De plus les téléopérateur sont désagréable et s'en foute royalement de vos problèle</t>
  </si>
  <si>
    <t>04/04/2017</t>
  </si>
  <si>
    <t>jeaniel-53164</t>
  </si>
  <si>
    <t>de gros problèmes lors des prises en charge</t>
  </si>
  <si>
    <t>carole-52494</t>
  </si>
  <si>
    <t>degat des eaux depuis 2015
je suis obligée d aller voir de conciliateur aucune réponse a mes demandes 
cet assureur n assure pas</t>
  </si>
  <si>
    <t>16/02/2017</t>
  </si>
  <si>
    <t>lisepeca-49991</t>
  </si>
  <si>
    <t>et encore je suis obligé de donner 1 étoile parce qu'on ne peut pas l'enlever. une comédie entre expert, à votre domicile, et après un dossier avec des conclusions contraires. A fuir, surtout l'expert que nous avons eu. Venu quand même 2 fois, nous faire perdre notre temps. De plus la partie locative n'est toujours pas remis en état et inutilisable, dégât des eaux provoqué par une locataire qui n'a pas entretenu les siphons et le bouchon est arrivé à 5 cm dans la chape, n'enterrez plus les évacuations, car c'est pour votre pomme si vous louez. Et pourtant, cliente fidèle, sans sinistre, assurée habitation performance, et quelle performance?????</t>
  </si>
  <si>
    <t>enjoy-49934</t>
  </si>
  <si>
    <t>Rarement une telle mauvaise foi aura été atteinte. Rarement un relationnel aura été aussi pauvre tant avec l'agence locale qu'avec le service relation client. Ces gens ont quitté le seuil de l'utilité mutualiste et prouvés qu'ils sont des commerçants aux réflexes mercantiles exacerbés et à la morgue juridique, mal intentionnée. Face à l'évidence, ils continuent de feindre et tente de mordre. Sauf tendance masochiste à éviter!</t>
  </si>
  <si>
    <t>delvordre-49904</t>
  </si>
  <si>
    <t xml:space="preserve">A défaut d'être une valeur sûre, nous ne pouvons que constater que nous n'avons surement pas les mêmes valeurs.
en effet, cela fait maintenant 16 mois que tout à commencé, le jour ou la foudre c'est abattue sur notre maison, qui a été entièrement ravagée par les flammes, nous continuons à subir au quotidien cette tragédie qui ne cesse d'aggraver le traumatisme de toute notre famille.
Car malgré qu'on nous avait assuré que nous avions le meilleur niveau de contrat que l'on puisse souscrire en matière d'assurance habitation, nous nous retrouvons aujourd'hui non seulement dans l'incapacité de reconstruire notre maison, mais également dans le désarroi le plus total devant le remboursement qui représente à peine le tiers de notre capital assuré.
La MATMUT veut se positionner en tant que "complice de vie" envers ses sociétaires mais son objectif est avant tout d'optimiser sa compétitivité en dégageant un maximum de ressources sans se soucier des conséquences humaines et matérielles.
</t>
  </si>
  <si>
    <t>fabienne-122468</t>
  </si>
  <si>
    <t xml:space="preserve">très mécontente suite à un cambriolage, le remboursement minable, et en plus ils s'aperçoivent que je paye par mois ma maisons sur 9 pièces depuis 17 ans , alors qu'elle est sur 6 pièces, et lire leur réponse "je ne sais pas ce que la personne qui a souscrit le contrat avec vous a recensé" mais aucun remboursement de leur part. Ils ne prennent aucune responsabilité, je suis au crédit mutuel de frangy 74270, mais je préfère donner mon argent ailleurs, je vais changer dans les prochains jours. Je ne m'étais jamais servie de mon assurance...pour une fois.... chapeau bas... </t>
  </si>
  <si>
    <t>Crédit Mutuel</t>
  </si>
  <si>
    <t>thierry-119091</t>
  </si>
  <si>
    <t>Très satisfait de l'assurance habitation crédit Mutuel. De l'accueil téléphonique pour la déclaration jusqu'à l'indemnisation tout est parfait.
Banque comme assurance, beaucoup de professionnalisme et d'attention vis à vis du client.
Des contrats qui couvrent bien à un tarif raisonnable.</t>
  </si>
  <si>
    <t>severine-c--110915</t>
  </si>
  <si>
    <t>Si je pouvais, je mettrais zéro pour la satisfaction. Je suis assurée depuis 2015 aux ACM, et j'ai eu le malheur d'être inondée en janvier 2019 par mon voisin du dessus : cuisine, couloir et salle de bain dans un piteux état. Résultat, grâce au ACM, mes travaux n'ont toujours pas été effectués. J'ai deux bébés en bas âge qui resirent des poussières, super... 
J'étais victime, et ils appliquaient une franchise sur mon dossier ; Il y a eu plusieurs expertises qui se contredisaient, et pour une simple aggravation des dégats, car les murs n'étaient pas assez secs, ils sont allés déclarer que le tiers responsable n'était pas clairement identifié, alors que le tiers responsable lui-même a déclaré être responsable et a fait les travaux nécessaires pour réparer la fuite. De plus, ils ont fait assécher les murs, et après cela, plus de fuite. Nous ne comprenions pas pourquoi une franchise était appliquée, et nous ne pouvions pas faire effectuer les travaux. Personne ne nous éclairait malgré nos nombreuses relances, nous n'avions même pas eu les rapports d'expertise.
Nous avons fini par "menacer de tribunal" et les ACM nous ont tout transmis. Les belles surprises que nous avons découvert... Nous avons fini par demander que les travaux complets soient payés et que nous nous en chargions nous-mêmes. Les travaux devraient débuter très prochainement, enfin, mais pas grâce aux ACM.
Surtout fuyez, ne vous assurez pas chez eux !!!
Nous avons également eu des soucis suite à une tentative de cambriolage. Nous avons une porte sécurisée et ils nous ont envoyé plusieurs experts qui n'y connaissaient rien en porte blindée. 
Personnellement, j'ai toutes mes assurances chez eux et je vais tout résilier car leur gestion est catastrophique. C'est bien trop cher pour le service derrière.</t>
  </si>
  <si>
    <t>fred-107451</t>
  </si>
  <si>
    <t xml:space="preserve">Remboursement zéro (!!!!) suite à cambriolage avec infraction forcée dans les locaux du jardin et enlèvement de vélos et d'outils de travail d'un valeur de plus de 1000€. 
Ceci malgré plainte, constat de police scientifique venu sur place, et un contrat à hauteur de 30€ mensuels. 
Sans analyse de dossier, ceci à été rejeté vite fait, bien fait - car 'pas TOUTES les portes de l'immeuble sont sécurisés avec des serrures de sécurité certifiées'.  
Si vous êtes chez ACM constatel, ne vous attendez surtout pas à des remboursements suite à un vol. Au moins vous sauriez que ce n'est même pas la peine de porter plainte et de passer par les différentes étapes de validation du dossier. 
Merci pour rien à cette assurance fictive qui est surtout là pour vous prendre le prélèvement mensuel. </t>
  </si>
  <si>
    <t>rose-rocher-104694</t>
  </si>
  <si>
    <t>Satisfaite FFA n,est pas une mutuelle et se retranche derriere son statut, pour ne pas appliquer la loi Chatel, bien qiu'elle opere au meme titre qu'une mutuelle. Il est très difficile de résilier , j'en suis a la 2 e tentative et aujourd'hui on me réclame une photocopie de carte d'identité et surtout un courrier de résiliation manuscrit , l',adherent est une femme agée e 87 ans avec problème d'arthrose important.Cette adhérente paye ses cotisation depuis plus de 30 ans , autant vous dire que tous les moyens sont bons pour conserver un contrat environs 40Euros au dessus du prix du marché. NE PAS SIGNER AVEC FFA pour éviter les problèmes de résiliation</t>
  </si>
  <si>
    <t>matkra-104345</t>
  </si>
  <si>
    <t>Assureur à fuir ! J'ai été victime d'un vol de cave avec effraction. La porte des communs était fermée ainsi que la porte de ma cave (porte pleine fermée à double tour fracturée au pied de biche). Du vin, des skis, un vélo (attaché) et autres ont été volés. Refus d'indemnisation au motif que la serrure n'était pas assez sécurisée. Pourtant il fallait bien dégrader le mur et la porte pour ouvrir, sans doute avec une force importante. 
Finalement, je n'aurais pas été moins bien remboursé par un assureur low-cost et j'aurais économisé sur mes cotisations.</t>
  </si>
  <si>
    <t>mau-104200</t>
  </si>
  <si>
    <t xml:space="preserve">Bonjour ,
Je suis vraiment déçue de l’assurance habitation,
Dégâts des eaux début janvier.. et je viens de recevoir le retour que ce n’est pas pris en charge.. j’ai payé Une franchise pour qu’on me dise ça ?? 
Je compte bien aller voir ailleurs ! </t>
  </si>
  <si>
    <t>zinkhal-104113</t>
  </si>
  <si>
    <t xml:space="preserve">1 étoile car le 0 n’est pas prévu. Nous reprochons à constatel de mandater un partenaire incompétent, loin d’assister le client...
Une recherche de fuite destructive est nécessaire pour identifier l’origine d’une fuite d’eau, c’est relativement simple de missionner un artisan équipé pour cette intervention. 
Or depuis 15 jours, les différents interlocuteurs de l’entreprise partenaire Domus nous racontent tout et son contraire, soit l’ordre n’a pas été adressé, propos mensonger, un e-mail adressé par Constatel prouve le contraire, soit il faut un compte-rendu de la première recherche effectuée par notre voisin, qui subit les désagréments, nécessaire à l’artisan. Cela ne les empêche pas de nous adresser des sms nous invitant à prendre contact avec leurs artisans partenaires.
Nous avons demandé à constatel de changer d’entreprise partenaire suite à l’incapacité d’exécuter l’ordre de la mission par Domus, ils refusent.
Ce procédé mis en place par ACM qui délègue la gestion des sinistres à Constatel, qui mandate un partenaire travaux qui vous mettra en relation avec  un artisan est fait pour décourager les sinistrés ?
La sous-traitance, rien de mieux pour s’éloigner de ses clients.
Comptez sur nous, pour nous éloigner de vous ACM et n’oubliez pas de remercier Constatel et Domus, pour l’excellent travail de fidélisation de vos clients.
</t>
  </si>
  <si>
    <t>lama-103098</t>
  </si>
  <si>
    <t>ASSURANCE du cREDIT MUTUEL une HONTE de se prevaloir assureurs envoyes par ma banque CIC assure pour un pavillon ,victime cambriolage le 1 01 2019 en notre absence etant en province pour les fetes,retour en urgence le meme jour ,demarches faites police empreintes  etc remboursement fenetre  fracturee  ok,mais tous les bijoux,une tele neuve encore dans l emballage ,trotinette electrique rembourses 179 euros au bout de 2 ans motif les bijoux ne sont pas assures la trotinette engin a moteur non prise en compte tele neuve 120euros  de vetuste jamais deballee elle avait 1 mois factures  ,photos fournies rien n y a fait et maintenant on me resilie sans motifs valables ;2 maisons et 3 vehicules c est la premiere fois que çà  merci arrive a 70ans je pense m etre fait AVOIR en croyant etre assuré  c est helas la triste constatation de nombre de mes connaissances ayant eues cette meme mesaventure</t>
  </si>
  <si>
    <t>lilas59-102800</t>
  </si>
  <si>
    <t xml:space="preserve">Pourri. J ai été cambriolée en septembre. Porte fracturée et canapé volé (plus  d d'autres petites choses). L expert me réclame un document que je peux fournir et le constructeur mz propose de lui expliquer pourquoi. Mail envoyé à  l'expert qui me répond qu in ne peut contacter le constructeur et que je dois lui réclamer les documents manquants. </t>
  </si>
  <si>
    <t>julied-94369</t>
  </si>
  <si>
    <t>Suite à un dégât des eaux, une partie du plafond s'est écroulée détruisant ma cuisine. Cela a rendu mon appartement inhabitable pour plusieurs mois, et ma situation personnelle compliquée.
J'aurais espéré que le Crédit Mutuel, à qui ma famille est loyale depuis tant d'années, puisse s'occuper correctement de ma situation...mais il n'en est rien !
L'expert mandaté pour s'occuper du dossier a tout fait pour réduire "l'aide" à peau de chagrin et la proposition pour la cuisine est plus faible que la plus faible proposition de devis ! 
Depuis le début j'ai l'impression de devoir me battre contre mon assureur alors que celui-ci est sensé me défendre ! Cheffe d'entreprise, j'ai perdu un temps fou et précieux à défendre mon propre cas...</t>
  </si>
  <si>
    <t>lili78-92987</t>
  </si>
  <si>
    <t xml:space="preserve">Bonjour, je suis complètement écœurée de cette assurance.
J'ai loué ma maison à un locataire qui a dégradé mon logement et qui est en impayé loyer: au moment de l'état de sortie des lieux j'ai signalé la situation. J'ai également découvert une fissure sur mon mur de garage. Le dossier est en cours... le discours pour les impayés on va utiliser votre caution et pour les dégâts Ben écoutez vous avez des franchises systématiques par éléments déclarés de 120 euros lol et non sur l'ensemble des dégâts. De plus ma conseillère m'annonce qu'il refuse de m'assurer par la suite en multirisques contre le vandalisme en tant que résidence secondaire puisque je ne veux plus louer au vu de ma mésaventure car il y a des sinistres causés par le locataire qui d'ailleurs au final vont être pris sur la caution. Quant au loyer impayé je me demande l'excuse qui vont me sortir et je ne parle même pas de ma fissure... obligée de prendre une autre assurance pour couvrir le vandalisme incroyable mais vrai ! Je suis écœurée ! </t>
  </si>
  <si>
    <t>02/07/2020</t>
  </si>
  <si>
    <t>christy2512-91944</t>
  </si>
  <si>
    <t>Bonjour, ma maman de 90 ans a eu une fissure sur un mur de la salle à manger, j'ai fait venir l'agence immobilière qui nous a dit de faire une déclaration, l'expert a envoyé 2 fois le rapport car la premier fois il ne l'avait pas et en plus j'ai attendu 3 semaines, pour me dire qu'il ne me remboursait pas car cela faisait 5 ans qu'elle avait la fissure et que la garantie est de deux ans ?? Inadmissible font tout pour ne pas payer??</t>
  </si>
  <si>
    <t>sylvie-91379</t>
  </si>
  <si>
    <t>Concerne l'assurance extra scolaire dans notre assurance. Suite à agression avec vol filmé par les caméras de la ville et vu au commissariat, aucun remboursement car les faits n'ont pas eu lieu au domicile ! A quoi sert l'assurance extra-scolaire dans ce cas ! Je quitte les ACM (tout contrats condondus) !</t>
  </si>
  <si>
    <t>clo-85775</t>
  </si>
  <si>
    <t>Je suis sociétaire du Credit Mutuel depuis + de 50 ans, j'ai déposé un dossier de sinistre le 24/10/2018 pour des fissures sur mes façades qui nécessitent un renforcement de la fondation. Dossier toujours en cours de traitement et aucun délai donné.  Sans commentaire..</t>
  </si>
  <si>
    <t>loly-81751</t>
  </si>
  <si>
    <t>Aucune neutralitee si je pouvais mettre 0 etoile je le ferais malheuresement pour changer d assurance il faut attendre un an j attend la fin de mon dossier sinistre Cabinet ELEX devrait se mettre à jour par le biais d internet car ils ne savent meme pas pk ils viennent chez vous, ils vous rabaisse, mets la faute sur vous et minimise les prix des dégats en gros il ne prennent rien en compte par chance j ai un temoin je ne vous laisserais pas mes droits et ce dossier ira au tribunal. par contre il n y a aucun provleme l orsque vous nous preleves tous les mois et il y a interet qu il n y en ai pas pfff vraiment deçu vous m avez donné le credit immobilier que si je prennait votre assurance</t>
  </si>
  <si>
    <t>10/12/2019</t>
  </si>
  <si>
    <t>yvan59-80523</t>
  </si>
  <si>
    <t>Une attente interminable au téléphone. (Constatel)
Des interlocuteurs peu aimables
Temps de traitement du sinistre infini</t>
  </si>
  <si>
    <t>29/10/2019</t>
  </si>
  <si>
    <t>subito-13711</t>
  </si>
  <si>
    <t>Aux ACM IARD de Strasbourg, j'ai souscrit un contrat assurance habitation multirisques qui contient l'assurance catastrophes naturelles et catastrophes technologiques. En septembre 2018, j'ai déclaré à mon assureur et en mairie le sinistre, à savoir apparition de fissures sur ma maison suite à la sécheresse de 2018. L'expert est passé le 21 novembre 2018. Dans son rapport il préconise une étude du sol, ainsi en février 2019, toutes les conditions sont réunies pour faire réaliser cette étude. Le 1er juillet 2019, j'ai envoyé aux ACM, l'arrêté de reconnaisse de l'état catastrophes naturelles de ma communes. Le 25 juillet 2019, j'ai signalé (en vain) l'apparition de nouvelles fissures.
Les ACM ne respectent pas la loi, elles refusent de me transmettre le rapport d'expertise (leur courrier du 25 juillet 2019). Aujourd'hui 21 septembre 2019, alors que toutes les conditions sont réunies depuis février 2019, les ACM ne m'ont pas encore envoyé la prise en charge pour effectuer l'étude du sol. De plus, la loi prévoit que le rapport d'expertise doit contenir les mesures conservatoires pour éviter l'aggravation du sinistre, les ACM font fi de cette obligation, je n'ai connaissance d'aucune mesure à  prendre, pourtant le sinistre c'est aggravé. Assureur non sérieux, à éviter.</t>
  </si>
  <si>
    <t>vavie-78719</t>
  </si>
  <si>
    <t xml:space="preserve">Personne au téléphone, mise en attente indéfiniment . Obligé de faire sa déclaration en ligne : pour une vieille dame de 88 ans, très compliqué ! par contre réponse nébuleuse et négative au bout de 2 jours !! </t>
  </si>
  <si>
    <t>27/08/2019</t>
  </si>
  <si>
    <t>doudou77-70783</t>
  </si>
  <si>
    <t>J'ai eu un incendie en octobre 2017 et rien n'est réglé à ce jour. Après beaucoup de péripétie et quelques points dont nous étions d'accord avec l'expert de compagnie, son rapport ne tenait plus aucun compte des mes remarques, ni des remarques de l'expert d'assuré. Depuis, il ne veut plus rien entendre et l'assurance ce protège derrière lui. Tous les devis des artisans ont été revu drastiquement à la baisse. Sans compter des taux de vétusté énorme.
Je ne demande pas que l'on me refasse la maison, mais je pense qu'un peu de décence dans ces moments difficiles aurait été de bon gout. Cette année là, j'ai perdu ma mère et il y a eu un incendie. Aujourd'hui nous sommes au point-mort et je souhaite vivement que cela se réglé au lus vite. Les artisans ont travaillé et pour le moment je les ai payé avec mes fonds propres.
Pour finir je me permets de soulever un point qui me chagrine. Vous vous doutez bien que depuis l'assurance m'a viré, bien sur. 
Je me permets aussi de soulever un point. En relisant les mails que j'ai eu avec la conseillère du Crédit Mutuel assurances, et du contrat final que j'ai signé, je me suis aperçus qu'il y avait une énorme différence entre le devis et le contrat. Dans le devis il y avait d'inscrit "Reconstruction à neuf et montant illimité", puis dans le contrat cette phrase qui change tout a disparue. Vous me direz que je n'avais qu'a bien relire. Mais je faisais entièrement confiance envers la conseillère qui était celle de ma mère avant. Je pense qu'il pourrait y avoir une faute. Mais il faudrait au moins vingt pages pour expliquer presque deux ans.</t>
  </si>
  <si>
    <t>15/05/2019</t>
  </si>
  <si>
    <t>laboriens-63175</t>
  </si>
  <si>
    <t>je suis sous curatelle apres etre parti de chez allianz cause leur contabilité je suis allez chez credit mutuel car ces ma banque, ma curratrice ma aider a souscrire puis plus tard j'ai souscrit a une telesurveillance chez credit mutuel quand j'ai recu l'avenant j'ai vu ce que j'avais pas fait attentiona la souscription que j'avais souscrit en temps que propriétaire hors je suis que locataire donc j'ai envoyer un mail a la personne indiqué sur le document que j'ai eu au telephone tres simpatique il m'as envoyé un nouveau avenant avec la modifie que j'etais locataire donc merci je recommande</t>
  </si>
  <si>
    <t>09/05/2019</t>
  </si>
  <si>
    <t>patou130460-75632</t>
  </si>
  <si>
    <t>30 ans de cotisations sans sinistre or je viens d avoir une infiltration d eaux je suis proprietaire dans une co prop je me bats depuis deux mois avec ACM ,dedagréable, toujours des papiers en plus à faire j ai 75 ans et j en ai marre je ne suis pas une adepte internet et c ' est complique ils ne se mettent pas à notre portée trés décue en mécontente je vais finir par laisser mon plafond m tomber dessue c 'est abuse</t>
  </si>
  <si>
    <t>06/05/2019</t>
  </si>
  <si>
    <t>benito-71609</t>
  </si>
  <si>
    <t>De victime d'un cambriolage je deviens suspect par mon assureur, malgré l'arrestation des auteurs du cambriolage.Il cherche mille et une excuse pour ne pas régler.</t>
  </si>
  <si>
    <t>24/02/2019</t>
  </si>
  <si>
    <t>hoshi-68693</t>
  </si>
  <si>
    <t xml:space="preserve">Je regrette d'avoir souscrit un contrat d'assurance habitation. Aucun suivie, pas de communication possible. Il répète la même phrase à l'infini. Pour une résiliation suite à un décès avant échéance de l'assurance, ils ne veulent pas rembourser les mois restants.
</t>
  </si>
  <si>
    <t>17/11/2018</t>
  </si>
  <si>
    <t>gfu-66762</t>
  </si>
  <si>
    <t>2 mois à batailler pour 2 ordinateurs endommages suite tempête. Renvoi entre expert et assurance pour finalement avoir un message de la personne chez l'expert qui a mon dossier en charge qu'elle a quitté la societe. L'assurance me redemande les devis déjà envoyés. On m'annonce au départ une franchise de 60e sur un ordinateur de 4ans et maintenant on m'annonce une franchise de 120 et on me dit me faire un geste commercial en la baissant à 60. Montant des devis 137 euros et je m'épuise pour ça à coups de fil et de mails; zero satisfaction et aucun professionnalisme du suivi de mon dossier ni des indemnisations</t>
  </si>
  <si>
    <t>11/09/2018</t>
  </si>
  <si>
    <t>mcallies-66351</t>
  </si>
  <si>
    <t>Suite à un accident de vélo ou la responsabilité était à 100% adverse, mon assureur ( Crédit Mutuel) a fait preuve d'ingérance auprès de l'expert independant afin que celui ci enleve des éléments de son rapport... Je vous laisserai juger seul de cette assurance et des procédés douteux d'un compagnie qui prone des "solutions qui servent le seul interet client".</t>
  </si>
  <si>
    <t>23/08/2018</t>
  </si>
  <si>
    <t>pascaline-65297</t>
  </si>
  <si>
    <t xml:space="preserve">Je déconseille totalement l'assurance Protecteur Bailleur des ACM-constatel. Aucune transparence dans la relation avant tout téléphonique, temps anormalement long pour des réponses évasives. Une année écoulée à écrire des dossiers pour aucun dédommagement. </t>
  </si>
  <si>
    <t>06/07/2018</t>
  </si>
  <si>
    <t>trt85-64685</t>
  </si>
  <si>
    <t>une chose est sur, oui une compagnie à fuir, je me pose la question si je reconduit vraiment la totalité de mes contrats, auto, habitation, pj gav, assurance vie, bref la panoplie, la fidélité est non récompensé chez eux, passé votre chemin avec une autre compagnie d'assurance.
le sinistre :
4 mois pour un sinistre, le frigo est hs et mon sèche linge idem, le sèche linge me dérange pas pour l'instant, heureusement qu'on peux compter sur des personnes pour le prêt d'un frigo.</t>
  </si>
  <si>
    <t>assure-commentateur-29093</t>
  </si>
  <si>
    <t xml:space="preserve">SINISTRE DEGAT DES EAUX le 6/02 et j'attends encore l'aboutissement de la prestation au 10/04. Pas sérieux pour cette affaire
Aucun retour informatif depuis que l'expert assurance est intervenu </t>
  </si>
  <si>
    <t>10/04/2018</t>
  </si>
  <si>
    <t>anais-62144</t>
  </si>
  <si>
    <t xml:space="preserve">A FUIR !!!! Fidèle à l'entité Crédit Mutuel depuis plus de 30 ans, j'ai souscrit l'assurance habitation de mon appartement auprès des ACM en toute confiance ... ça, c'était avant ~~ Jusqu'au jour où la canalisation
d'un voisin casse au sein de la dalle de mon salon, c'était en janvier 2017 _x009b_ logement inhabitable. Après des semaines pour faire venir un jeune expert dont le professionnalisme reste bien discutable, des heures passées à leur écrire les moindres détails, accompagnés de plans, photos afin qu'il n'y ait pas de quiproquo et que les choses leur soient les plus claires possibles,  je suis encore à ce jour "à la rue". Des réponses aux lettres dans un délai allant de 4 semaines à 10 semaines (tout étant complètement bloqué pendant ce temps), un indemnisation versée à mon voisin pour des dégâts reconnus sur ma propriété privée et toujours non résolus à ce jour, erreur de gestion qu'il ne veulent pas admettre et enfin aucune indemnisation du fait que mon logement est inhabitable et que je paie un second loyer ceci malgré mes demandes jusqu'à la lettre recommandée AR. </t>
  </si>
  <si>
    <t>08/03/2018</t>
  </si>
  <si>
    <t>vivi67-61132</t>
  </si>
  <si>
    <t>victime de la tempête Eléanore, je reste au stade 0 dans le traitement de mon dossier.
j'ai transmis les factures que j'avais, car maison de 1993 achetée en 2015, des photos des dégâts, j'ai tél deux fois, quatre mails, aucune réponse de date pour l'expertise et un besoin obligatoire de devis sans jamais donné de forfait ou de détail de remboursement.
Alors que nous avons tout fait et essayer de réparer provisoirement comme on pouvait.
Je suis tellement déçue, j'ai pris cette assurance avec crédit immo alors que j'étais à la concurrence depuis des années, car employée d'une assurance concurrente et j'ai eu des sinistres remboursés sans aucun soucis..
une honte dans le suivi du dossier et dans les réponses apportées au tél. Quand je vois dans mon entreprise 3/4 des sinistrés ont déjà été remboursés...c'est rageant de voir cela...
franchement dès que c'est terminé je pars et je ferai une bonne pub...</t>
  </si>
  <si>
    <t>sissi44760-60994</t>
  </si>
  <si>
    <t>Assurée depuis 17 ans au crédit mutuel, sans aucun sinistre, j'ai eu un dommage électrique lié à un orage le 5 janvier. Mon congélateur a grillé et j'ai perdu tout son contenu. Après avoir essayé vainement de joindre par téléphone le service constatel (plus de 20 minutes de musique) j'ai fait ma déclaration de sinistre en ligne. J'ai su dans un premier temps que mon congélateur ne me serait pas remboursé car âgé de plus de 10 ans. On me demande de lister son contenu, ce que j'ai fait et joins en ligne le 19 janvier. Depuis cette date, silence radio et quand je vais sur la rubrique "suivre mes sinistres", ma liste a disparu. Je leur ai donc retransmise par mail. Il s'agit de mon premier sinistre en 17 ans et en tout état de cause, à défaut d'une réponse et d'un remboursement satisfaisant, je n'hésiterai pas à changer tous mes contrats d'assurance....</t>
  </si>
  <si>
    <t>31/01/2018</t>
  </si>
  <si>
    <t>bigotes-60361</t>
  </si>
  <si>
    <t>Bonjour, ma fille et moi même nous sommes de fidèles clients depuis de très nombreuses années.(voitures habitation santé) Je suis victime d'un D.D.E en 02/2016 dans l'appartement pour lequel je suis assuré P.N.O. Infiltration d'eau au plafond venant des combles perdus (copro).2 experts sont passés aucun n'a visité les combles. Ils ont déterminé que le sinistre provenait d'une condensation des gaine VMC. Aucune photo. Dans ces conditions je suis moi même un très bon expert. Même si c'était une condensation ACM aurait semble t il m'indemniser pour la remise en état des embellissements (_x009b_1600.00€) et se retourner vers l'assurance de la copro ou D.O dans le cadre de la convention CID -COP. Le dernier emel ACM IARD me dit que si  je ne suis pas satisfait je n'ai qu'à saisir le conciliateur des assurances. A ce jour le sinistre perdure et les désordres s'amplifient. J'ai une perte de revenus locatifs assez conséquentes. MERCI A.C.M ASSURANCE CONTRATS MYSTERIEUX. Tant que tu n'as pas de sinistre tu es le bienvenu mais dès le premier sinistre tu n'es plus qu'un N° de sinistre à ne pas couvrir.</t>
  </si>
  <si>
    <t>avo-56627</t>
  </si>
  <si>
    <t xml:space="preserve">bonjour , je viens d'avoir un sinistre electrique  edf au changement du compteur linky a mal serré les bornes du secondaire du differentiels de plus mal ligne a des baisses de tension le soir depuis qqes mois , mon frigo americain hs, le compresseur froid ne demarre plus depuis une baisse de tension le 7/11/2017 .. tous est decongelé le frigo est hs . et il y a qqes semaines, j'ai eu une baisse de tension j'ai eu egalement une panne sur du materiel informatique .. bien deviné quoi : a la declaration du sinistre la conseillere des acm me dit nous savons que vous n'allez pas rester des jours et des jours sans frigo .. bien heureusement que j'ai anticipé je viens recevoir une lettre de l'expert qui passe le 11 decembre ! qu'elle serieux ! a banir j'ai deja eu 4 experiences negative sur les acm  faut fuire de toutes urgences .. heureusement que j'ai anticipé l'achat du frigo !! je n'attends rien de cette compagnie , je vais retirer mes 2 voitures moto habitation et extra scolaire et meme essayer de voir pour faire racheter l'assurance de mon credit maison .. je vous conseil de fuire !! </t>
  </si>
  <si>
    <t>14/11/2017</t>
  </si>
  <si>
    <t>loca-ms-58735</t>
  </si>
  <si>
    <t xml:space="preserve">Assurés depuis des années, 1 degat des eaux en aout lié à une intervention exterieur sur un adoucisseur. Declaration d'assurance et demande d'expertise qui traine depuis 3 mois. On relance, on a enfin une expertise programmée, et on recoit un courrier d'avis de resiliation des ACM car on rompt la confiance ! De qui se moque t on ? defendez vous vos clients, ou vous contentez vous d'encaisser les primes ? 
Je resilie tous mes comptes chez vous. </t>
  </si>
  <si>
    <t>10/11/2017</t>
  </si>
  <si>
    <t>mie59-57664</t>
  </si>
  <si>
    <t xml:space="preserve">nous avons toutes nos assurances au credit mutuel depuis sa création et nous sommes très satisfaits </t>
  </si>
  <si>
    <t>28/09/2017</t>
  </si>
  <si>
    <t>caro-57571</t>
  </si>
  <si>
    <t xml:space="preserve">bonjour j ai signalé un degat des eaux le 04 09 2017 et a chaque fois on me dis jamais la meme chose j ai envoyé le constat le devis et le nombre d heures estimé .et depuis bin ont me ballade au téléphone que faire ?attention j ai tout envoyé par mail car c est soi disant plus rapide </t>
  </si>
  <si>
    <t>baloo-57059</t>
  </si>
  <si>
    <t>pas du tout compétitif...
Le pire est le CFCAL, filiale du crédit mutuel. Des rapaces à éviter absolument !!!</t>
  </si>
  <si>
    <t>02/09/2017</t>
  </si>
  <si>
    <t>yohann-55887</t>
  </si>
  <si>
    <t>Assuré par obligation suite à mon prêt immo chez CM.
Très déçu. Je viens d'être victime d'un cambriolage avec effraction dans ma cave. On refuse de m'indemniser.
La raison ? On croit rêver, voici un extrait de la lettre de réponse que j'ai reçu : "les faits décrits ne correspondant pas à la définition du vol selon les termes de votre contrat d'assurance habitation, sa garantie "vol" ne peut s'appliquer." 
Là faudrait m'expliquer en quoi un cambriolage ne constitue pas un vol.
"Selon les éléments transmis, il apparait que votre porte ne comporte aucune serrure, uniquement un cadenas et deux crochets. Nous vous rappelons qu'au titre de votre contrat, toutes les portes d'accès à vos locaux assurés doivent être munies d'une serrure de sûreté pour pouvoir bénéficier de la garantie "vol".
Là encore une fois, j'ai beau regardé mon contrat, ce détail n'apparait nul part. Et qui irait mettre une porte de sécurité dans sa cave ! Aucun des documents que j'ai signé ne stipule cette close.
Je ne vais pas en rester là, car au final on paye à s'assurer alors que dans tous les cas on ne peut pas être indemnisés !!!
Au final, c'est vous qui nous volez !!!!</t>
  </si>
  <si>
    <t>08/07/2017</t>
  </si>
  <si>
    <t>digrande-55111</t>
  </si>
  <si>
    <t>Nul. C'est un chantier ce groupe....banque assurance. ...une vrai catastrophe. J'ai dû céder le dossier à un avocat.
Mutuelle, banque,  protection juridique et assurances...je n'arrive pas à comprendre comment font ils pour travailler avec autant de louper</t>
  </si>
  <si>
    <t>03/06/2017</t>
  </si>
  <si>
    <t>severine59350-49735</t>
  </si>
  <si>
    <t xml:space="preserve">J'ai un dégât des eaux donc infiltration sur mes mur et plafond  j'ai envoyé devis ect comme convenu j'appel aujourdhui pour savoir si mes documents on bien été reçu et comment se passe la suite car en 8 ans assuré chez eu jamais eu de sinistre et la la personne me di que si tout est ok je peux commencé les travaux étonné je dois avancé les frais qui montent a 1300e  </t>
  </si>
  <si>
    <t>30/11/2016</t>
  </si>
  <si>
    <t>karlita-137102</t>
  </si>
  <si>
    <t>Ne souscrivez pas d'assurance habitation chez eux, les experts mettent plus de 15 jours pour vous contacter. Ils cherchent la moindre petite bête pour ne pas vous indemniser, les experts au lieu d'aller à l'essentiel visite toute votre maison et vous signal le moindre le défaut alors que ce n'est pas pour ça qu'ils sont venus. L'assurance vous dit par téléphone couvrir certains dégâts, il suffit que l'expert dit de ne pas indemniser, ils ne le font pas alors que ça n'a rien à voir. Cherchez des assurances bien quitte à en mettre le prix</t>
  </si>
  <si>
    <t>MACIF</t>
  </si>
  <si>
    <t>12/10/2021</t>
  </si>
  <si>
    <t>defossez--136375</t>
  </si>
  <si>
    <t xml:space="preserve">Je trouve que cette compagnie régresse, j'ai eu un sinistre le 12 /9, ce n'est pas couvert.
Toutefois, vous pouvez solliciter le fonds de solidarité.
Tous les intervenants étaient unanimes, je vous envoie le dossier de saisine.
Au bout de 35 ans Mme À....
S'est rendue compte qu'elle n'avait pas mon adresse mail.
Le dysfonctionnent du thermostat n'est pas une cause additionnelle.
Donc, pas de possibilité de saisir le fonds de solidarité.
Je vous déconseille cette compagnie.
Macif n'est pas fiable
</t>
  </si>
  <si>
    <t>07/10/2021</t>
  </si>
  <si>
    <t>papillon-130894</t>
  </si>
  <si>
    <t xml:space="preserve">Clients depuis 39 ans à la Macif et toujours satisfaits de leurs services jusqu'à juin 2021 où un orage a endommagé le moteur et la batterie de notre volet roulant fonctionnant à l'énergie solaire, l'expert mandaté par la Macif a refusé de nous dédommager sous prétexte que cet équipement n'était pas relié à l'électricité et ne pouvait en aucun cas avoir été endommagé par un orage. Nous avons contesté son expertise et le dossier a été réétudié et deuxième refus.
Nous venons de consulter le site officiel de cette compagnie où ils précisent que les équipements solaires sont couverts par l'assurance habitation, il y a de quoi rire s'il ne fallait pas que nous déboursions 700 € de notre poche pour régler la réparation.
Nous avons demandé un rendez-vous dans notre agence pour savoir si nous pouvions assurer nos volets solaires en payant une surprime; On nous a répondu que ce n'était pas possible. Vu ce qui est écrit sur le site officiel on est vraiment dans un vaudeville !!
</t>
  </si>
  <si>
    <t>olivier333-129523</t>
  </si>
  <si>
    <t xml:space="preserve">Pour ma part
Nous avons eu un déboire avec l'assurance GLI MACIF qui c'est désengagé des qu'on a eu besoin d'eux !
Si vous avez besoin de ne pas être couvert, allez chez eux !
voici notre situation :
1/ j'ai payé mes cotisations durant 6 années à la GLI Macif
2/ est survenu en juin 2021 un impayé de loyer et des dégradations
3/ je reçois un courrier de la MACIF justifiant qu'il ne couvrirait pas l'impayé ainsi que les dégâts
4/ j'ai du faire tous les travaux seul, dépenser en terme de travaux, et faire mon deuil du loyer impayé
5/ Enfin cerise sur le gâteau je demandé à la MACIF par courrier recommandé une demande de remboursement pour les 6 années ou j'ai payé une prestation qui ne m'assurait pas !
RÉSULTAT : COURRIER DE REFUS DE REMBOURSEMENT ! ces volleurs ne m'ont jamais assuré et en plus ils gardent les cotisations versées des 6 années sous prétexte qu'il manquait une signature du deuxième locataire sur une page du bail !
A présent nous sommes chez la GENERALI qui ''a priori'' valide à l'entrée les dossiers, je dis bien a priori car je ne fais pas confiance aux assureurs !
</t>
  </si>
  <si>
    <t>bidy--128283</t>
  </si>
  <si>
    <t>Ne reagi pas  lors d'un sinistre. Il faut sans cesse les relancer . Pas moyen de les avoir directement au téléphone.  L'urgence ils ne connaissent pas  ,ils deleguent la gestion à un tiers.</t>
  </si>
  <si>
    <t>17/08/2021</t>
  </si>
  <si>
    <t>patrick7785-121154</t>
  </si>
  <si>
    <t>Le pire service commercial auquel nous avons eu à faire.
Il n hésitent pas à vous raccrocher au nez et refusent de vous passer un responsable en cas de litige .</t>
  </si>
  <si>
    <t>ju-117468</t>
  </si>
  <si>
    <t>Très déçu ! j'ai pris une assurance habitation auprès de leur service le 10 mai 2021 auquel j'ai adjoint une option pour mon vélo. Mon vélo à été volé le 17 juin. En les appelant j'ai eu la désagréable surprise d'apprendre que mon vélo n’était pas encore couvert et qu'il serai pris en charge que le 26 juin suite à la lois Hamon. Donc aucun recours. Les informations lors de la souscription ne m'ont pas été correctement communiquées !</t>
  </si>
  <si>
    <t>benji88-81742</t>
  </si>
  <si>
    <t>Assuré à la Macif depuis toujours, je suis de plus en plus déçu de cette assurance qui n'assume pas son rôle. Dégâts des eaux causés à deux reprises suite à d'importantes pluies alors que des travaux étaient effectués en toiture de mon immeuble. Un an plus tard je suis encore en train de me battre pour me faire indemniser. Sans parler qu'ils ont en plus fait des erreurs dans les numéros de dossiers ouverts. Bref ils sont nuls et n'indemnisent pas. N'ayant plus l'énergie de me battre j'ai du faire appel à la société Lyanne qui s'occupe pour moi de faire valoir mes droits. Bref je songe sérieusement à changer d'assureur...</t>
  </si>
  <si>
    <t>11/06/2021</t>
  </si>
  <si>
    <t>gmou-116255</t>
  </si>
  <si>
    <t>La MACIF est :
De plus en plus inefficace 
De moins en moins respectueuse de la relation client
Fait appel aux experts low cosy en ligne ou non
Qui sont incompétents, non professionnels mais par contre jouent le jeu de l’assureur en indemnisant moins que le minimum et en lésant donc le client MACIF
Au bout de plus de 50 ans de cotisations mes parents sont écœurés et décidés à RÉSILIER TOUS LEURS CONTRATS...
Faites en de même...</t>
  </si>
  <si>
    <t>gmou-116240</t>
  </si>
  <si>
    <t>Pas competitif
Ne protège pas ses clients
Un interlocuteur à chaque coup de téléphone.
Reexplication du dossier entier à chaque fois
Téléoperateur incompétent et non responsable...</t>
  </si>
  <si>
    <t>alfrt-107736</t>
  </si>
  <si>
    <t>À fuir !!
Ça fait plus de deux ans que j’ai quitté mon appartement et qu’ils continuent à me facturer, Sous prétexte qu’il n’aurait jamais reçu de résiliation. Et évidemment que ton appel au bout de 11 minutes seulement pour réussir à avoir quelqu’un au service sinistre car en direct c’est impossible on m’envoie un lien pour envoyer un mail ou on me raccroche au nez, et quand j’arrive à avoir quelqu’un la personne m’annonce 15 minutes d’attente et lors de la mise en relation ça raccroche évidemment personne ne rappelle !une catastrophe !et en attendant le compte est toujours ponctionné  c’est vraiment honteux</t>
  </si>
  <si>
    <t>nj75-112448</t>
  </si>
  <si>
    <t>J'ai fait une déclaration de sinistre fin septembre 2020, le dossier n'est toujours pas réglé et ce malgré 2 lettres de réclamation auxquelles la MACIF n'a jamais pris la peine de répondre formellement. C'est scandaleux!
Aucun suivi client, il faut à chaque fois appeler le centre d'appels et réexpliqué le dossier, aucun suivi des partenaires (experts, société de recherche de fuites d'eau). Aucun respect de la relation client ( je suis cliente depuis 1985 et j'ai toutes mes assurances à la MACIF - + un compte d'épargne + une assurance prêt). Tout confondu je verse environ 500 € par mois à la MACIF et aucune considération. Je vais faire le nécessaire pour trouver un autre assureur ayant le souci et le respect de ses clients</t>
  </si>
  <si>
    <t>aline-yann-ferlin-111043</t>
  </si>
  <si>
    <t>Ça fait 20 ans que je paye cette assurance et lors de problème dégât des eaux, aucune prise en charge toutes les excuses sont bonnes pour se dédouaner, bonne pour payer c'est tout!</t>
  </si>
  <si>
    <t>elisa-110672</t>
  </si>
  <si>
    <t xml:space="preserve">Un festival d'affirmations erronées... 
La Macif veut récupérer les propriétaires de Mobil-homes en proposant une assurance soi disant pour Mobil-home à part qu'il s'agit en fait d'une banale assurance résidence secondaire, ce qui n'est pas du tout adaptée à une habitation entre caravane et résidence. 
La conseillère me dit que c'est du fixe, me demande si j'ai un poil à bois dans le Mobil home et me dit que je n'ai pas obligation d'assurance alors qu'un mobil home est dans un camping et qu'il est exigé une assurance. 
Finalement elle a fini par me raccrocher au nez... 
Je rappelle et une autre personne m'apprend que finalement ils n'assurent pas forcément les Mobil homes, qu'il faut en faire la demande au siège mais seulement si on est déjà chez eux.... 
Bref, finalement une annonce sur Internet qui ne correspond pas à la réalité... </t>
  </si>
  <si>
    <t>chichid-110235</t>
  </si>
  <si>
    <t>Une assurance qui cherche la rentabilité à tout prix. Sociétaire depuis une quinzaine d’années sans incident, ils n’ont pas hésité à me résilier mes contrats après avoir utilisé la protection juridique qu’ils m’ont eux-mêmes proposés. Un conseil Fuyez, ils n’ont aucune humanité c’est les chiffres d’abord.</t>
  </si>
  <si>
    <t>lexav69-107739</t>
  </si>
  <si>
    <t xml:space="preserve">Je suis extrêmement déçu de cette mutuelle qui refuse de prendre en charge un sinistre qu'elle avait pourtant accepté de couvrir. Je ne la recommande absolument pas.
Je suis sociétaire depuis presque 30 ans avec quasiment aucun sinistre à mon actif. Je suis donc ce que l'on appelle un TRES bon client fidèle…
Je ne suis pas un râleur compulsif ni un « haters » des réseaux sociaux. Notre histoire est relativement simple, en voici ci-après les grandes lignes.
Nous avons subi un dégât des eaux dû à une fissure dans le mur extérieur de notre maison. La #macif mandate un expert et accepte en 2016 de prendre en charge les dégâts occasionnés à condition que l'origine de la fuite soit réparée.
Le temps de trouver l'artisan idoine pour réparer le mur et l'enduit extérieur, que ce même artisan nous intègre à son planning, plusieurs mois se sont écoulés.
A ce moment-là, ma femme est enceinte de notre 3ème enfant. Etant sensibilisés aux risques liés aux perturbateurs endocriniens, nous décidons de ne faire subir, ni à mon épouse ni à notre nourrisson ni à nos 2 autres enfants non plus les odeurs de solvants inhérents aux travaux intérieurs.
C'est donc tout naturellement qu'en ce début d'année 2021, après un an d'hésitations liées à la COVID, nous revenons vers la #macif pour valider, la bonne prise en charge des travaux prévus.
Le conseiller fut très gêné de me dire que le dossier devait être validé par sa direction… 4 jours après je reçois un courrier du service « client sinistre » me disant qu'il refuse la prise en charge car le dossier est clos de leur côté. Je suis donc très mécontent, car de notre côté le dossier est loin d'être clos.
En conclusion, je tenais à témoigner afin que ceux qui hésitent à faire confiance à la #macif soient bien conscients de la manière dont les « bons » clients sont traités (je n'ose imaginer les malheureux qui sont dans l'obligation de signaler plusieurs sinistres sur une année…).
Je voulais aussi témoigner afin que ceux qui, comme moi, hésitaient à mettre en concurrence leurs assurances parce qu'ils pensent être mieux accompagnés lorsqu'ils en auront le besoin. Qu'ils se déculpabilisent bien tranquillement en se disant que la fidélité de la #macif n'est pas réciproque…
A bon entendeur,
</t>
  </si>
  <si>
    <t>pi-jon-15152</t>
  </si>
  <si>
    <t>je viens de faire les frais d'une entrée d'eau par la toiture ayant occasionnée des dégâts sur 3 plafonds, la laine de verre trempée dans les combles et une VMC HS qui ne fonctionne plus. La MACIF à mandaté le cabinet d'expertise SARETEC, qui se souciait d'avantage du nombre de pièces, de la surface du plancher, de la taille de ma pergolas, de la piscine. Il a refusé de monter voir les dégâts dans les combles pour des raisons de sécurité. Il a décidé de prendre en compte 2 plafonds sur 3, de ne pas rembourser la VMC, de changer 2 bandes de laine de verre sans être monter voir l'état des combles. Il n'a pas déterminé les causes de ces entrées d'eau, c'est soit disant pas son job, d'ailleurs l'assurance ne prendra pas en compte les causes mais qu'une partie des conséquences en se basant sur cette expertise bâclée, sans professionnalisme mais la MACIF trouve ce type d'expertise normale, l'expert n'avait pas besoin de constater les dégâts dans les combles. Dans mon contrat, je suis bien couvert par la recherche de l'origine des dégâts des eaux, la MACIF s'entête et répond toujours la même rengaine, on n'a pas a chercher les causes pour ce dégâts des eaux. Ca fait 30 ans que je suis sociétaire de la MACIF, il est clair qu'il ne me verrons plus quand ce sinistre sera clôturé et mes dégâts réparés. C'est moi qui fait avancer la MACIF en les relançant sans cesse pour connaitre leurs intentions. Rien à faire de la satisfaction de ses clients.</t>
  </si>
  <si>
    <t>alameda-68396</t>
  </si>
  <si>
    <t xml:space="preserve">Cela fait des années que je suis sociétaire à la MACIF. Je songe sérieusement à résilier tous les contrats chez eux (véhicules (2) habitations (il y en a 4 !) santé (2).
Il faut sans arrêt envoyer des RAR à la direction. Ils vous trouvent toujours un argument pour ne pas rembourser...
J'ai demandé 2 relevés d'informations. Sur l'un, "choc arrière" a été noté alors qu'il s'agit d'un "choc avant".
Mon frère assuré chez eux, a eu un accident piéton et la "défense recours" n'a pas été mise en avant. L'indemnité est plus que misérable. Ils ne veulent pas prendre en charge une expertise médicale contradictoire et donc c'est à nous de nous débrouiller.
Dans leur dernier livret d'informations, la Macif a mis en avant que les personnes handicapées avec leurs aidants familiaux étaient aidés. J'ai donc téléphoné. J'ai eu 3 interlocuteurs: la 1ère n'était pas au courant, "je vous rappelle cet après-midi", m'a t-elle dit,...j'attends toujours.
Le 2ème, très aimable, m'a transféré vers un travailleur social. Celle-ci m'a écoutée religieusement et finalement, je cite :"Lâchez du lest pendant 1 mois"!!!
</t>
  </si>
  <si>
    <t>meda-102706</t>
  </si>
  <si>
    <t>Bonjour à tous,
Je suis client MACIF depuis 20 ans, pour la 1ere fois j'ai du faire appel à eux suite à une effraction mon box... Celà fait 3 mois que mon box est ouvert à tous, que je suis transféré de service en service, redirigé vers un de leur partenaire qui n'en a rien à faire...
Je suis déçu, tout comme l'avis précédent, je paye depuis 20 ans l'ensemble de mes assurances chez eux pour une gestion deplorable.</t>
  </si>
  <si>
    <t>15/01/2021</t>
  </si>
  <si>
    <t>chris-102265</t>
  </si>
  <si>
    <t>Plus de 6 mois qu'ils me font payer mon assurance sans avoir résilié mon contrat auprès de l'ancienne compagnie. Et ce n'est toujours pas réglé malgré de nombreux appels et mails. A fuir!!</t>
  </si>
  <si>
    <t>pascal-101314</t>
  </si>
  <si>
    <t>Prix non compétitifs aussi bien en assurance auto qu'habitation.
Attention aligner leurs tarifs sur la concurrence cette compagnie n'hésite pas à enlever des "prestations" de façon insidieuse même au préjudice d'anciens clients.
Certains personnels en agence manque d'empathie et sont parfois plutôt arrogants.</t>
  </si>
  <si>
    <t>fleur-101241</t>
  </si>
  <si>
    <t>Ballottée d'un conseillé à l'autre depuis des mois pour un sinistre à mon domicile je croyais avoir enfin trouvé une écoute. Malheureusement il n'en est rien, l'assureur se retranche derrière l'expert aux abonnés absents pour cause de surcharge de dossier du au 1er confinement. Aucune communication ou communication parasité du fait de la diversité des conseillé (jamais le même). Un parcours du combattant pour les assurés. 
J'ai toujours apprécié la MACIF pour mon véhicule mais pour la maison c'est une autre affaire. J'envisage sérieusement de faire remonter le dossier vers un conciliateur de justice car je ne sais plus comment arriver à la conclusion de mon sinistre.</t>
  </si>
  <si>
    <t>10/12/2020</t>
  </si>
  <si>
    <t>isapat--100520</t>
  </si>
  <si>
    <t>Si vous avez besoin de rien la macif   est là !2 expertises  avant changement de hayon sur un Trafic car les agents de la macif se trompent pour envoyer leurs agents dans le bon secteur,2 expertises pour un optique cassé ,
Pour une catastrophe naturelle concernant des fissures sur maison ils font un constat en visioconférence !! Pour évaluer le sinistre à distance, c’est du bâclé !!!
Merci la MACIF</t>
  </si>
  <si>
    <t>julien-6994-100042</t>
  </si>
  <si>
    <t xml:space="preserve">Nous avons eu un degat des avec ma compagne.
Or, ceux ci après nous avoir mené en bateau pendant 5 jours n'ont meme pas envoyé un spécialiste de la recherche de fuite.
Prétextant que c'était à  l'assurance  du voisin  (car l'eau venait du plafond) ou au syndic d'intervenir.
Pour cela, il se retranche derrière la convention IRSI et ses modifications de juillet 2020...qui stipulent le contraire !!!
Donc en plus d'être des INCAPABLES ce sont des MENTEURS.
Ah oui j'oubliais aussi, IMPOLI, car ils peuvent aussi vous raccrocher au nez et vous passer la mauvaise ligne...sans faire exprès bien sûr....
SERVICE CLIENT BIDON ZERO
</t>
  </si>
  <si>
    <t>ptit--99966</t>
  </si>
  <si>
    <t xml:space="preserve">Je suis assuré depuis longtemps pour mon habitation, jamais pour le reste car ils sont beaucoup trop chère en voiture et moto. Je n’ai jamais eu besoin d’eux donc ma cotisation enfin plutôt mon prélèvement mensuel se passait bien. Par contre dès qu’il a fallu faire intervenir l’assurance MRH catastrophe, personnel incompétent, ne répondent jamais aux demandes, ne rappellent jamais, ils ne lisent pas non plus les mails et courriers. C’est détestable, la Macif nous prend vraiment pour des vaches à lait...je ne recommande même pas à mon pire ennemi </t>
  </si>
  <si>
    <t>pat-99835</t>
  </si>
  <si>
    <t>Très bonne relation clientèle avec une disponibilité rapide des conseillés par téléphone.
Tarif mal adapté et cher à la location meublée longue durée.
Contact téléphone facile.</t>
  </si>
  <si>
    <t>jm-99729</t>
  </si>
  <si>
    <t xml:space="preserve">Fuyez !! dégâts des eaux dans mon appartement en juin 2020 suite au bouchage de la colonne d'évacuation des toilettes de l'immeuble, depuis, plus de toilettes ni de douche dans mon appartement car leur expert n'est pas d'accord avec le devis de réparation de leur entreprise de réparation. la, nous sommes au mois de novembre, j'ai appelé des tas de fois, pour rien, on me balade de plate forme téléphonique en plate forme téléphonique. Après plus de 30 ans de macif je vais changer de crèmerie, et pour mes véhicules aussi. Un conseil ? FUYEZ !! (Si j'ai mis une étoile c'est qu'il n'y avait pas moins) </t>
  </si>
  <si>
    <t>joel-47-99246</t>
  </si>
  <si>
    <t>Bonjour 
Suite à un sinistre (cambriolage) je me suis rendu le 26 octobre à l'agence d' Agen pour porter une facture d'alarme à mettre au dossier. 
J'ai eu le malheur de demander à l'employé qui m'a reçu, où en était l'avancement du dossier,  sachant que le sinistre avait eu lieu le 19 oct et que l'expert à été mandaté seulement le 23 oct.
Comme réponse j'ai eu: "on n'est pas là pour traiter les sinistres, on est là pour faire du commercial". 
Même si c'est certainement vrai, je trouve ses propos particulièrement scandaleux et déplacés dans ma situation sachant que je suis sans fenêtre depuis une semaine. 
SOciétaire Macif depuis 1979 il me tarde vraiment la date échéance pour moi aussi faire du commerce....</t>
  </si>
  <si>
    <t>17113-99233</t>
  </si>
  <si>
    <t>Bonjour,
Je suis client MACIF depuis plus de 30 ans, nous avons été cambriolé il y a maintenant plus de 4 mois, nous attendons toujours le remboursement de celui-ci. Notre agence MACIF (Route de Vannes - ST HERBLAIN) et l'expert se renvoient la balle mutuellement, ils sont incapables de nous dire où en est notre dossier. Je les ai contacté 5 fois par téléphone et je suis déjà passé 4 fois à l'agence ... Inadmissible pour un grand groupe comme celui-ci.</t>
  </si>
  <si>
    <t>fati-98297</t>
  </si>
  <si>
    <t>j'ai déjà donné mon opinion mais voici la suite : après un conflit concernant une fuite d'eau, je suis revenu vers la MACIF pour régler ce problème resté en suspend. L'expert a donné sa version et moi la mienne mais les choses ne s'arrangent pas car ma parole n'a aucune valeur face à celle de l'expert, il a menti mais je comprends qu'on lui donne raison vu qu'il est payé par eux et qu'il défend leurs  intérêts, forcément personne n'est impartial et de mon côté. Même la personne que j'ai eu au téléphone a été odieuse et m'a menacée de couper court à la conversation si je me calme pas car j'étais très en colère, je ne revenais pas de cette injustice, je ne comprenais rien à leur façon d'agir, comment voulez-vous que lorsque je dis que l'expert a refusé la  recherche de fuite (il m'a demandé si je savais combien ça coûte à l'assurance) et que de ce fait je devais chercher moi-même d'où venait l'eau,  que tout est parti de là, comment voulez-vous que je fasse, je lui ai dit que je n'étais pas une professionnelle, il m'a répondu moi non plus, je lui ai demandé s'il savait combien je paie l'assurance pour justement être assurée en cas de sinistre,  je lui ai demandé qu'il devait missionner une entreprise spécialisée, il n'a pas voulu, je lui ai montré les cartons mouillés et endommagés, , il n'a même pas voulu regarder ce qu'il y avait à l'intérieur et décide qu'il n'y avait rien dans les cartons ???  De plus devant ma colère, il m'a menacé de partir,  comme je n'ai pas cédé, il est parti sans rien faire, sans remplir de constat de sinistre, rien. Très pro. Je n'ai jamais causé aucun problème depuis 37 ans, Cet expert est venu avec un air condescendant, irrespectueux.Si la MACIF ne  veut pas me dédommager, eh bien qu'elle le fasse. Mais c'est un mauvais calcul, car non respect du contrat (je me réserve le droit de porter plainte). A cause et grâce à cet expert de la société SOGEDEX à Boulogne-sur-Mer, la goutte d'eau qui a fait débordé le vase, j'ai résilié presque tous mes contrats. Après 37 ans de bons et loyaux paiements je pars, félicitez votre expert la MACIF, vous avez gagné à peu près 300 euros, valeur des objets, dans les cartons que j'ai estimé. Mais même en disant ça on veut me faire passer pour une menteuse et arnaqueuse, car l'expert qui a rien vu a dit... etc. etc. Laissez tombe c'est vraiment un non respect de contrat, j'ai fait confiance  à cette assurance et je le regrette, je pensais même vu ma régularité et les nombreux contrats que j'y avais, les 37 années de fidélité j'aurais un peu plus de considération. Beaucoup trop de choses se sont accumulées, il y a deux ans, on m'a proposé en ligne un contrat assurance-vie, j'ai dit OK pour 30 euros par an et je me suis retrouvé avec 198 euros, j'ai demandé de résilier ils n'ont pas voulu, ils m'ont dit qu'il faut attendre la date anniversaire au 1er avril, alors que j'ai su plus tard que la loi me donnait un délai de rétraction de 14 jours car le contrat a été proposé en ligne, mais ils ont passé outre et j'ai pas pu être remboursée, malgré mes mails, j'ai reçu une lettre de refus, j'ai même eu une conseillère pour lui expliquer le problème.  Lors des résiliations des contrats autos et habitation je me suis aperçue que j'avais un contrat accident de la vie que je n'ai pas demandé, ils l'ont mis d'office. Trop trop c'est trop et en plus on vous dédommage pas quand vous avez droit. Voilà de toute façon, à la fin du mois, tout est résilié (deux assurances auto, une habitation, une assurance accident de la vie (imposée), une résidence étudiant, et je vais retirer ensuite mes comptes bancaires, mon assurance-vie et ensuite bye bye.</t>
  </si>
  <si>
    <t>dom-98743</t>
  </si>
  <si>
    <t>Un mur défoncé par mon voisin, réparation expertisée 300 Euros par l'expert MACIF.
"appelez nos artisans agrées ils viendront ". Jamais répondu à mes appels, jamais venu....
Vous pensez avec 300 euros on ne répare pas un mur.
Je suis passé en agence, ils n'ont jamais contacter leurs artisans et se sont toujours retranché derrière leur "expert"
Si votre voyante vous certifie que vous n'aurez jamais de sinistres, pourquoi pas, sinon passez votre chemin...</t>
  </si>
  <si>
    <t>14/10/2020</t>
  </si>
  <si>
    <t>mlamer-98084</t>
  </si>
  <si>
    <t>Vous saviez vous qu'il y avait des franchises sur l'assurance habitation ? Un sinistre chez un voisin et hop vous payez la franchise. Aucun moyen de contester à priori, sauf que le devoir d'information, bof... J'ai découvert ça, mais vous, vous êtes au courant?</t>
  </si>
  <si>
    <t>30/09/2020</t>
  </si>
  <si>
    <t>doucevoyou-97495</t>
  </si>
  <si>
    <t>quelqu'un se balade régulièrement sur mon toit, par pure malveillance, et soulève le raccord d'étanchéité d'une fenêtre de toit velux et dernièrement a rajouté le déplacement de tuiles de faîtage, d'après ce que j'ai vu sur la photo (sachant que pour s'introduire dans mon jardin cette personne a détruit un piquet scellé dans un muret et supportant un grillage rigide, cassé la gouttière de l'abri de bois sur laquelle elle s'accrochait pour escalader...). J'appelle et informe la Macif de ce déplacement des tuiles sachant que je replace constamment ce raccord d'étanchéité. Leur réponse : mais vous ne croyez tout de même pas que vous êtes assuré pour un déplacement de tuiles ?! Donc il serait bon qu'ils informent les adhérents qu'ils ne sont pas assurés pour vandalisme ! J'ai fait venir couvreur pour devis et j'ai appris que pour déplacer ces tuiles de faîtage, qui sont cloutées, elles ont forcément été cassées ! Je suis fatiguée d'être envoyée promenée par leur agents téléphoniques et dois trouver un nouvel assureur mais il semble que beaucoup soient de cet acabit. De plus, lors de la réfection d'une peinture plafond suite à une fuite de toit, ils divisent le remboursement de près de la moitié, bien que le prix pratiqué par l'auto-entrepreneur soit celui du marché avec la tva en moins! La Macif ne veut même pas rembourser au prix du marché mais faire appel à leurs artisans est à fuir (ce que j'ai pourtant déjà fait) car leur travail n'est ni fait ni à faire. La Macif tirant trop sur les prix, ces artisans travaillant pour elle, vous en donnent pour le prix qu'elle les paie ! donc boulot catastrophique...</t>
  </si>
  <si>
    <t>16/09/2020</t>
  </si>
  <si>
    <t>ef-88026</t>
  </si>
  <si>
    <t xml:space="preserve">
J'ai déclaré un dégât des eaux (fuite) sur une piscine 
Bientôt un an que mon dossier est ouvert, on me devait une réponse suite à la réunion d'une commission en déc 2019. Je relance régulièrement et rien ....aucun retour
pas sérieux à éviter
</t>
  </si>
  <si>
    <t>leny-96790</t>
  </si>
  <si>
    <t>Très bon assureur quand on n'a pas de problème.
J'ai été cambriolé il y a plus de 6 mois et je n'ai pas encore été remboursé et la porte n'est toujours pas remplacée.
Ma porte a été fracturé et un réparateur est venu mettre une planche de fortune le soir même et j'ai toujours cette planche depuis 6 mois.
J'ai demandé à ce qu'on me rappelle depuis plusieurs semaines concernant l'avancée de mon dossier et personne ne se manifeste.
C'est scandaleux.</t>
  </si>
  <si>
    <t>28/08/2020</t>
  </si>
  <si>
    <t>francois45-96468</t>
  </si>
  <si>
    <t xml:space="preserve">42 minutes au téléphone, pour essayer de poser une question sur mon contrat d'assurance camping-car, j'ai quand même fini par raccrocher après avoir été mis en attente deux fois, je dois manquer de patience, certainement :(
</t>
  </si>
  <si>
    <t>aurore-95315</t>
  </si>
  <si>
    <t>Voilà des années que je suis cliente chez la MACIF sauf que cela va s'arrêter dès cette semaine !
Durant nos quelques jours de vacances le disjoncteur a disjoncté suite à un orage. Un congélateur entier rempli de viande + le congélateur du frigo (gros paquets de glace, cordons bleus, etc)a été perdu. Je ne préfère même pas indiquer le montant de la perte et le choc.
N'ayant pas pris l'option perte denrée alimentaire absolument aucun euro ne peut être remboursé !!! Honnêtement je suis sure que d'autres assurances l'incluent dans leur contrat. 
Au moins faire l'effort d'un minimum.
Quand il n'arrive rien il n'y a pas de soucis, par contre au moins problème là vous pouvez d'or et déjà vous dire qu'il ne seront pas là !
Vraiment très déçue de cette confiance...
J'ai fait venir mon conjoint chez eux, et bien nous allons très vite repartir.</t>
  </si>
  <si>
    <t>27/07/2020</t>
  </si>
  <si>
    <t>patrice02-93853</t>
  </si>
  <si>
    <t xml:space="preserve">Premier sinistre habitation au mois de février et dossier toujours pas pris en charge par la MACIF malgré mes nombreuses relances. Quand j'arrive à les joindre au téléphone, ils me disent que le dossier va être pris en charge... et puis plus rien ! La messagerie sur le site ne sert à rien puisqu'il n'y a jamais de réponse. Je ne sais plus quoi faire pour que mon dossier soit pris en charge et vous invite à fuir cette société </t>
  </si>
  <si>
    <t>12/07/2020</t>
  </si>
  <si>
    <t>navigo-90399</t>
  </si>
  <si>
    <t xml:space="preserve">Je suis très déçu par mon expérience récente à la Macif. Suite à la reconnaissance de catastrophe naturelle sur ma commune, j'ai signalé un sinistre et j'ai eu affaire à des interlocuteurs qui n'étaient pas à la hauteur. </t>
  </si>
  <si>
    <t>10/06/2020</t>
  </si>
  <si>
    <t>titro-89744</t>
  </si>
  <si>
    <t>A FUIR !!
Après plus de 30 ans d'assurance MACIF, je viens de jeter l'éponge. J'ai résilié tous mes contrats.</t>
  </si>
  <si>
    <t>19/05/2020</t>
  </si>
  <si>
    <t>francois26-59701</t>
  </si>
  <si>
    <t>En novembre 2019, jardin dévasté par tempête de neige.Travaux réalisés, facturés le 22/04 et réglement de la MACIF le 24/04. Bravo a la MACIF.
Suit en attente d'un deuxième sinistre (toit à changer suite grêle) et ne peut que louer l'implication et le professionnalisme de cette assurance.</t>
  </si>
  <si>
    <t>l-guizani-89020</t>
  </si>
  <si>
    <t>Bonjour, 
Je n'ai pas l'habitude de laisser de commentaires négatifs, je n'en ai même pas laissé quand la MACIF a refusé de me dédommager suite à un cambriolage où j'ai perdu des milliers d'euros. 
Je suis sociétaire depuis plus de 10 ans, toujours à jour sur mes paiements et aucun sinistre (sauf le cambriolage où ils ne m'ont été d'aucune aide). 
Mais voilà j'ai subi un dégât des eaux (WC du voisin du dessus, qui a inondé la totalité de mon appartement et qui a abîmé sérieusement le bois recouvert de simple dalle PVC sur la zone du salon et du couloir) le 4 décembre 2018. 
Un expert est passé plusieurs semaines après pour constater les dégâts et selon lui il n'y avait que le parquet PVC à remplacer (qui recouvrait le bois totalement abîmé par l'eau) malgré que nous lui avions montré le bois en dessous. Une entreprise a été missionnée pour intervenir chez moi le 19 décembre 2019 soit PLUS d'UN AN APRES, nous laissant vivre dans un état miteux affectant la principale pièce à vivre. Lorsque l'entreprise est intervenue, elle a retiré l'intégralité des dalles PVC initiales pour en appliquer de nouvelles.
Mais en voyant que le bois en dessous était totalement inutilisable et insalubre, l'entreprise sachante a rapidement abandonné après avoir commencé les travaux pour cause qu'ils n'étaient absolument pas possible au vu de l'état du bois en dessous. 
Elle nous a donc laissé un chantier en cours, soit 5 jours avant les fêtes de fin d'année avec un bois totalement moisi (sans la couche de lames de PVC initiale au dessus qui cachaient l'aspect dégradé du bois). Les dalles de bois se soulèvent sous nos pas, celles-ci sont instables. Sans parler de la dangerosité de cette situation, lorsque l'on chute à cause de ce sol en bois instable et des bosses dessus (dues au gonflements suite à l'imbibition d'eau). De plus nous devons constamment marcher en chaussure pour ne pas se blesser a cause des échardes du bois. 
Nous avons donc contacter la Macif  pour comprendre en décembre 2019, elle nous a demandé alors de contacter l'entreprise qui est intervenu chez nous pour avoir un nouveau devis (alors que c'est son travail). L'entreprise nous dit qu'elle a envoyé un nouveau devis avec un nouveau chiffrage à l'Expert mais sans aucun retour de sa part. 
Après pas loin d'une trentaine d'appels et de mails entre le cabinet d'expert, l'entreprise des travaux et l'assurance MACIF, nous avons eu un second rendez-vous de l'expert prévu le 16 mars 2020 soit 1 jour avant le confinement et 3 mois après l'intervention de la société.
A l'heure même du rendez-vous, l'expert nous appelle et nous dit qu'au vu de la situation il ne viendrait pas, et qu'ayant consulté les dizaines de photos et de mails détaillant l'état de notre parquet, ainsi que le nouveau devis le l'entreprise, il validait l'opération qui consistait à changer le bois détruit par le dégât des eaux. 
Bien sur, il ne le confirme pas par écrit, et sans retour de sa part après 3 semaines, nous appelons à nouveau l'assurance MACIF pour connaitre la suite des étapes, la conseillère n'en sait rien et le lendemain nous recevons un très court mail de 3 lignes qui nous dit :
" Compte tenu des dommages, il appartient à votre bailleur ou à l'assureur de l'immeuble, de prendre en charge la réfection du parquet. Veuillez vous rapprocher de votre bailleur concernant ces travaux." 
C'est inadmissible, voilà plus d'un an que le dégât des eaux à eu lieu et maintenant, 4 mois après l'intervention de l'entreprise, nous vivons dans un état insalubre (depuis qu'ils ont retiré les dalles de PVC qui masquaient l'odeur et la moisissure du bois abîmé), les dalles de bois en dessous se soulèvent, l'odeur infecte ...
Nous vivons une situation horrible avec une odeur insoutenable, imaginez-vous en période de confinement quand on ne peut pas sortir ! C'est intolérable et inhumain, sachant qu'ils continuent de nous prélever tous les mois sans aucune contrepartie, jamais. 
Je suis extrêmement déçue et fatiguée de leur courir après pendant des mois pour avoir une réponse donc ma question est qui doit-on attaquer en justice ? L'entreprise de travaux qui a laissé son chantier en plein milieu ou le donneur d'ordre la MACIF qui lui a dit d'abandonner son chantier en plein milieu sans même une solution temporaire qui couvrirait les risques de chutes dues au sol instable ???
Et pourquoi nous laissent-ils dans un état pire que celui avant lequel ils sont intervenus ?</t>
  </si>
  <si>
    <t>20/04/2020</t>
  </si>
  <si>
    <t>vonvon-88507</t>
  </si>
  <si>
    <t>Mon mobil home situé dans un camping à Saint Aygulf a subi les inondations du 23 novembre 2019..un expert est passé le 3 décembre.nous nous sommes rendus sur les lieux pour le rencontrer et réaliser ma déclaration de sinistre la plus juste possible.Ce monsieur a réalisé 90 expertises dans la journée (entre 8 h et 17 h)dont 5 en un quart d'heure dans mon secteur.Son compte rendu est arrivé à la Macif le 20 décembre.Le 9 janvier j'ai reçu une lettre recommandée m'annonçant que j'étais radié le 31 mars.malgré plusieurs interventions de mes conseillers Macif je ne suis toujours pas remboursé.on me menace mèmè de ne pas m,indemniser car il y aurait trop de discordances entre ma déclaration et celle de l'expert.Or nous n'arrivons pas ni moi ni les conseillers à savoir lesquelles .Le 13 février j,ai répondu à un courrier me demandant plus de précisions Néanmoins à ce jour je n,ai toujours aucunes nouvelles .je déplore vraiment ce jeu du chat et de la souris je déplore le fait qu'on me prenne pour quelqu'un de malhonete,je déplore le fait que j,ai du radié mon véhicule moi qui mettais en avant cette assurance.</t>
  </si>
  <si>
    <t>24/03/2020</t>
  </si>
  <si>
    <t>canijo-88227</t>
  </si>
  <si>
    <t>Grave dégradation du service clients depuis un an : service client au téléphone ne répond plus ou attentes intermnables, gestion de dossiers cahotique. délais d'indemnisation très long</t>
  </si>
  <si>
    <t>11/03/2020</t>
  </si>
  <si>
    <t>aid-88155</t>
  </si>
  <si>
    <t xml:space="preserve">Bonjour
Je decus par la macif et client de longue date ( je suus assuré pour tout chez eux aindi que ma famille) et pourtant  je suis en attente de leur reponse pour la réparation dune fenêtre depuis le 1 er septembre, ils font le "mot" malgres mes nombreuses relances! 
Leurs services ne repondent. </t>
  </si>
  <si>
    <t>ben-88057</t>
  </si>
  <si>
    <t>Assuré à la MACIF depuis plus de 45 ans Je suis furieux que la MACIF se soit appuyée, l'année dernière, sur une déclaration fausse d'un artisan qui a envoyé une fausse information sur la cause de panne d'une climatisation de ma résidence.</t>
  </si>
  <si>
    <t>06/03/2020</t>
  </si>
  <si>
    <t>viotoulon-87743</t>
  </si>
  <si>
    <t xml:space="preserve">Bonjour
Sociétaire depuis 33 ans, je me bats avec la Macif suite à mon cambriolage. Le temps d'attente téléphonique est exaspérant et je n'ai jamais le même interlocuteur. D'où chaque fois obligation de redonner le contexte. Les cambrioleurs nous ont volé nos clés notamment le deuxième jeu de la Twingo. Une fois les travaux effectués par mon garagiste habituel non agréé Macif j'apprends que le remboursement de la facture de 1.915 euros sera plafonné à 800 euros alors que l'expert a confirmé que les frais étaient justifiés. Je découvre cela maintenant alors que j'avais négocié qu'il n'y ait pas de franchise appliquée compte tenu de ma fidélité. Cela est d'une extrême violence dans ce contexte difficile de cambriolage. J'ai prévenu une première fois la Macif que leur procédé est inadmissible et que j'envisage de résilier mes nombreux contrats et même de saisir l'UFC Que Choisir. Rien n'y fait pour l'instant. D'où ce message sur la toie. OK la Macif quand tout va bien. Nul quand il s'agit de nous protéger. Et aucune transparence
</t>
  </si>
  <si>
    <t>koala38-87476</t>
  </si>
  <si>
    <t>Aucun suivi de sinistre, aucun interlocuteur privilégié, tout le monde s'y met et n'importe qui racontant n'importe quoi au passage pourvu qu'ils puissent raccrocher.  
Enfin bref, du grand n'importe quoi!!!
Je ne conseille plus la macif.</t>
  </si>
  <si>
    <t>21/02/2020</t>
  </si>
  <si>
    <t>zette-71387</t>
  </si>
  <si>
    <t>Très en colère de ne pas être tenu au courant d'un dossier en cours depuis 1 mois et demi !</t>
  </si>
  <si>
    <t>bldu75-25970</t>
  </si>
  <si>
    <t>depuis fin septembre 2019, j'attends toujours l'expert qui doit évaluer le dégât des eaux, celui doit théoriquement venir le 29 janvier 2020</t>
  </si>
  <si>
    <t>justiceassurances-85397</t>
  </si>
  <si>
    <t>Difficulté à souscrire
Espace client difficilement fonctionnel avec bugs sur les pages
Impossibilité de payer par chèque, on m'a réclamé mes coordonnées bancaires
Le prix est démesurément cher ; cela ne me dérange pas et c'est un choix assumé de payer cher pour avoir un service correct, mais là je paye cher pour un service déplorable
Le service client est très peu joignable (temps d'attente supérieur à 5 minutes, nos conseillers sont tous occupés...).
Aucune gestion du service sinistre : j'ai appelé pour un dégât des eaux dans ma cave. L'assureur m'a dit de voir avec le syndic pour la réparation, alors même que je disais que le syndic était nul et ne se bougeait pas et que j'avais besoin d'eux. Le syndic ayant enfin remplacé la canalisation qui fuyait dans ma cave, j'ai appelé l'assureur pour qu'il se déplace. L'expert est venu constater les dégâts, et m'a dit qu'il ferait un courrier au syndic en me mettant en copie. Le syndic n'ayant rien reçu, et moi même non plus, j'ai appelé la Macif pour savoir si le courrier était bien parti. "Oui", m'a dit la MACIF, sans être capable de me communiquer le contenu du courrier ou le numéro de recommandé du syndic. J'ai donc du appeler moi-même l'expert et je suis tombé sur quelqu'un qui m'a dit ne pas avoir accès à mon dossier et qu'il ne savait pas du tout si le courrier était envoyé! Merci la MACIF pour le contrôle de ses experts!
Je suis donc retourné auprès de la MACIF, mais pour l'instant rien ne bouge. On m'a juste indiqué au téléphone que l'expert avait conclu que la cave étant vieille elle avait besoin d'être refaite et donc je n'avais pas droit à des indemnités.
Merci la MACIF! A part m'avoir couté de l'argent et du temps à les appeler ils n'ont servi strictement à rien.
Et au bilan je vis dans un appartement encombré de caisses diverses que je ne peux pas descendre a cave à cause de l'état de celle-ci.</t>
  </si>
  <si>
    <t>04/01/2020</t>
  </si>
  <si>
    <t>rhapsodieanblue-85449</t>
  </si>
  <si>
    <t xml:space="preserve">suite à un dégât des eaux depuis plus d'un 1 an , je n'ai toujours pas ete ni indemnisé , et les travaux non realises par l entrepreneur qui travaille avec la macif.
j ai demenagé et le propriétaire retient ma caution car travaux non fait. je demande l indemnisation et des dommages et intérêts  pour le préjudice subi.
je vais mettre en place la procédure en cas de désaccords avec l assurance: courrier réclamation (15 jours pour repondre) et intervention médiateur </t>
  </si>
  <si>
    <t>sixfours83140-63251</t>
  </si>
  <si>
    <t>Cliente depuis plus de 30 ans et je vais tout résilier. Incompétence totale au niveau de la prise en charge d'un sinistre provoqué par la gouttière de ma voisine défaillante. Expertise effectuée après travaux (les infiltrations ne peuvent attendre 6 mois que la MACIF réagisse) bien que leur date ait été communiquée. Non prise en compte du fait que le sinistre relevait de la RC de ma voisine. Et des conclusions qui se rangent du côté de l'assurance adverse niant l'évidence : sous la gouttière de ma voisine infiltrations - en dehors de la gouttière de ma voisine pas d'infiltrations. Mais tout étant hors délai, l'assurance adverse était perplexe... Au revoir MACIF ! On va en entendre parler.</t>
  </si>
  <si>
    <t>mufralco-79469</t>
  </si>
  <si>
    <t>J'habite dans une maison de ville partagé  en 2 logements, j'habite à l'étage. Le 14 septembre, ma voisine du dessous me signale qu il ya une fuite deau dans son logement, après plusieurs recherche, je coupe mon arrive d eau,  la fuite s'arrête.  On fait chacun une déclaration ( on est assuré tout les 2 à la macif). Toutes les tuyauterie sont encastré on ne les voie pas ou se trouve la fuite, on vois juste ou leau coule. L expert refuse la recherche de fuite destructive..Après plusieurs appel à la macif, l'expert me rappelle  aujourd'hui (25 septembre) pour me dire qui refuse toujours la prise en charge de la recherche  de fuite, du fait qu'on sait ou se trouve la fuite ! ( car pour lui vu que l'eau coule a un endroit la fuite est forcément la !) Il a commencé a s'énerver me disant que je ne comprennait pas ce quil me disait !  SUPER la macif  ! Un chose est sur.....a la date d échéance,  je retire mes contacts de la macif et je vais voir ailleur.</t>
  </si>
  <si>
    <t>yo911-78228</t>
  </si>
  <si>
    <t>A fuir! Degat electrique jamais indemnisé! Je vais attaquer cet assureur ! Je ne vous conseille pas cet assurance du tout ! Si javais pu metre 0 , a fuir !!!!!...</t>
  </si>
  <si>
    <t>06/08/2019</t>
  </si>
  <si>
    <t>sandrine-66891</t>
  </si>
  <si>
    <t>Aucun respect de l'assuré. Ne respecte pas les termes de ses contrats. En cas de sinistre vous devrez vous battre pour obtenir réparation (jusqu'au tribunal).</t>
  </si>
  <si>
    <t>31/07/2019</t>
  </si>
  <si>
    <t>mic-78049</t>
  </si>
  <si>
    <t xml:space="preserve">J'habite dans la drome le 15 juin dernier ma maison as etais toucher par la grele, veranda et cheminee abîmée, l expert est passer nous avons eu le resultat de sont compte rendu, monsieur refuse les travaux de la cheminee sous pretexte qu il ne l as pas vu et ne peut donc pas dire si les degats viennent de la grele, je veux bien qu il ne monte pas sur le toit mais faut pas deconnait j ai une fenetre de toit qui donne sur la cheminee il n as meme pas fait l effort de regarder car pour lui mon contrat ne mrenais pas la cheminee en compte ce qui est faux et pour la veranda j ai 1000 euro a sortir de ma poche car monsieur n est pas d accird avec le tarif de pose en tous cas une fois mes travaux fait est payer je change vite d assurance. </t>
  </si>
  <si>
    <t>30/07/2019</t>
  </si>
  <si>
    <t>gp-77040</t>
  </si>
  <si>
    <t xml:space="preserve">Plus de 30 ans client de cet assureur. Un retard de paiement sur un contrat supplémentaire suite mail parti dans les spam sans doute (probable au vu du nombre de mails macif non sollicités reçus et que j'ai mis en indésirable) : sanction immédiate, menace de leur part par recommandé de résilier la totalité des contrats </t>
  </si>
  <si>
    <t>23/06/2019</t>
  </si>
  <si>
    <t>eos95-76899</t>
  </si>
  <si>
    <t xml:space="preserve">lettre envoyé hier 
Pour faire suite à votre retour , je vous informe qu'en tant que fidèle client et satisfait  depuis maintenant presque 23 ans je n'ai pas d'autre alternative que de souscrire une assurance auprès d'un assureur concurrent .
Au vu du rapport de Monsieur l'expert j'ai le sentiment que les garanties souscrites ne me servent pas à grand-chose.
A ce sujet je viens de contacter la Maif qui me propose de reprendre l'ensemble de mes contrats( devis en pj)
J'espère vivement que vous prendrez en considération ma contestation ce qui me permettrait de pouvoir rester client auprès de mon assureur historique.
Je vous remercie par avance pour votre compréhension
Bien cordialement
</t>
  </si>
  <si>
    <t>18/06/2019</t>
  </si>
  <si>
    <t>mubu-76422</t>
  </si>
  <si>
    <t>Apres 30 ans d'assurances habitation/voitures nous découvrons que notre police ne couvre pas un phenomene climatique ayant entrainé l'envol d'un abri bas motorisé ABRI SUD sans autres dégâts alentour :fuyez ABRI SUD pour cet abri inadapté et MACIF en temps qu'assureur (peut etre que l'ardoise de 14000 euros y est  pour quelque chose)</t>
  </si>
  <si>
    <t>03/06/2019</t>
  </si>
  <si>
    <t>graouh-76182</t>
  </si>
  <si>
    <t>J'ai appelé pour un devis assurance habitation, on m'a envoyé les papiers que je n'ai pas retourné car pas intéressé, et 2 mois après je reçois un avis de paiement pour un contrat que je n'ai pas souscrit.....</t>
  </si>
  <si>
    <t>23/05/2019</t>
  </si>
  <si>
    <t>themys-76151</t>
  </si>
  <si>
    <t>Option Piscine : un pur mensonge</t>
  </si>
  <si>
    <t>lolo-68335</t>
  </si>
  <si>
    <t>Cela fait deux ans que j'attends un chèque pour commencer des travaux à la suite de dégâts occasionnés par les voisins et je n'ai toujours rien reçu
La MACIF attend sagement que l'on soit découragé  de réclamer ce qu ils nous doivent pour éviter de payer. A un moment, il faut faire appel à un avocat c est que allons finir par faire
Je suis assurée à la MACIF mais c est une erreur et je recherche une assurance avec de bons avis. En attendant il faut éviter la MACIF</t>
  </si>
  <si>
    <t>degoutee-74840</t>
  </si>
  <si>
    <t xml:space="preserve">Fuyez la Macif depuis 4 mois j ai subis trois sinistres nocturnes avec inondations de mon logement par 3 fois 75 L d'eau et vapeurs surchauffée sur le visage et les yeux mon plan de travail pourri mes chaussures pourries des peurs et angoisses depuis ça  et sans eau chaude pendant deux mois en décembre 2018  Mes courriers à leur directeur général mr RABY , à leurs services sinistres ne servent à rien  leur expert  de CET lui ne bouge pas le petit doigt pour me donner la moindre indemnité or ils ont tous les documents photos comprises   comme un chien qui se mord la queue  leurs services se retournent le dossier à chaque fois que même un avocat les contacte </t>
  </si>
  <si>
    <t>07/04/2019</t>
  </si>
  <si>
    <t>orewa-74641</t>
  </si>
  <si>
    <t>Superbe assurance disponible rapide efficace. assuré auto et habitation, je n'ai que du positif. Des gens à l'écoute, compréhensifs et surtout compréhensibles!!</t>
  </si>
  <si>
    <t>kinate-72262</t>
  </si>
  <si>
    <t>Absence du service réclamations!!! On me demande d'envoyer un mail ce que je fais..pas de réponse. Ensuite on me dit qu on va me rappeler dans les 72 heurs... rien du tout je rappelle on me dit mainhtenant que je dois envoyer un mail en recommandé!!! c'est comme ça qu on traite un client de plus de 35 ans d'ancienneté avec la MACIF</t>
  </si>
  <si>
    <t>nanou-72171</t>
  </si>
  <si>
    <t>Je suis révolté par le manque de courtoisie et de respect de cette compagnie.  En janvier 2018 suite aux intempéries j'ai subi une avarie sur un bâtiment de ma résidence secondaire, a la suite du passage d'1 expert novice je n'ai pas été indemnisé mais le comble, j'ai été radié manu militari, alors que je suis client depuis 41 ans sans incident majeur, avec 2 contrats habitations, 4 autos et 1 moto. Mes 2 lettres recommandées au service client sont restées sans réponse. 
admissible. Mon objectif : les quitter au lus vite.</t>
  </si>
  <si>
    <t>kaipmek-72119</t>
  </si>
  <si>
    <t>Une catastrophe. A FUIR.</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</si>
</sst>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B2" s="2" t="s">
        <v>11</v>
      </c>
      <c r="C2" s="2" t="s">
        <v>12</v>
      </c>
      <c r="D2" s="2" t="s">
        <v>13</v>
      </c>
      <c r="E2" s="2" t="s">
        <v>14</v>
      </c>
      <c r="F2" s="2" t="s">
        <v>15</v>
      </c>
      <c r="G2" s="2" t="s">
        <v>16</v>
      </c>
      <c r="H2" s="2" t="s">
        <v>17</v>
      </c>
      <c r="I2" s="2" t="str">
        <f>IFERROR(__xludf.DUMMYFUNCTION("GOOGLETRANSLATE(C2,""fr"",""en"")"),"I left my former insurance contract at General for the year to join the Néoliane group and I can say mastering after a year that the only thing that changes ... It's the price! I am assured in the same way and yet I pay 30% less per month this UQI over a "&amp;"year saves me a fortune. So remained assured today in the same proves that the only thing we earn are contributions of contributions. Tired of paying.")</f>
        <v>I left my former insurance contract at General for the year to join the Néoliane group and I can say mastering after a year that the only thing that changes ... It's the price! I am assured in the same way and yet I pay 30% less per month this UQI over a year saves me a fortune. So remained assured today in the same proves that the only thing we earn are contributions of contributions. Tired of paying.</v>
      </c>
    </row>
    <row r="3">
      <c r="B3" s="2" t="s">
        <v>18</v>
      </c>
      <c r="C3" s="2" t="s">
        <v>19</v>
      </c>
      <c r="D3" s="2" t="s">
        <v>13</v>
      </c>
      <c r="E3" s="2" t="s">
        <v>14</v>
      </c>
      <c r="F3" s="2" t="s">
        <v>15</v>
      </c>
      <c r="G3" s="2" t="s">
        <v>20</v>
      </c>
      <c r="H3" s="2" t="s">
        <v>17</v>
      </c>
      <c r="I3" s="2" t="str">
        <f>IFERROR(__xludf.DUMMYFUNCTION("GOOGLETRANSLATE(C3,""fr"",""en"")"),"I subscribed to this mutual a year last year and I stayed for a year, I found the formula very advantageous because the price was very interesting for my lenses and glasses. I made the decision to change it because I need orthodonia and I did not have it "&amp;"in my previous formula.")</f>
        <v>I subscribed to this mutual a year last year and I stayed for a year, I found the formula very advantageous because the price was very interesting for my lenses and glasses. I made the decision to change it because I need orthodonia and I did not have it in my previous formula.</v>
      </c>
    </row>
    <row r="4">
      <c r="B4" s="2" t="s">
        <v>21</v>
      </c>
      <c r="C4" s="2" t="s">
        <v>22</v>
      </c>
      <c r="D4" s="2" t="s">
        <v>13</v>
      </c>
      <c r="E4" s="2" t="s">
        <v>14</v>
      </c>
      <c r="F4" s="2" t="s">
        <v>15</v>
      </c>
      <c r="G4" s="2" t="s">
        <v>23</v>
      </c>
      <c r="H4" s="2" t="s">
        <v>24</v>
      </c>
      <c r="I4" s="2" t="str">
        <f>IFERROR(__xludf.DUMMYFUNCTION("GOOGLETRANSLATE(C4,""fr"",""en"")"),"Impossible to have the right service, they hang up on the nose when they do not know what to answer they walk from service to service the papers we must send them several times and it is never the same address they are badly polished I advise you this mut"&amp;"ual")</f>
        <v>Impossible to have the right service, they hang up on the nose when they do not know what to answer they walk from service to service the papers we must send them several times and it is never the same address they are badly polished I advise you this mutual</v>
      </c>
    </row>
    <row r="5">
      <c r="B5" s="2" t="s">
        <v>25</v>
      </c>
      <c r="C5" s="2" t="s">
        <v>26</v>
      </c>
      <c r="D5" s="2" t="s">
        <v>27</v>
      </c>
      <c r="E5" s="2" t="s">
        <v>14</v>
      </c>
      <c r="F5" s="2" t="s">
        <v>15</v>
      </c>
      <c r="G5" s="2" t="s">
        <v>28</v>
      </c>
      <c r="H5" s="2" t="s">
        <v>29</v>
      </c>
      <c r="I5" s="2" t="str">
        <f>IFERROR(__xludf.DUMMYFUNCTION("GOOGLETRANSLATE(C5,""fr"",""en"")"),"Generation is a very expensive mutual for a retiree: more than 150 € per month! And despite this, it is impossible to have an online advisor! Apart from an electronic voice that always repeats the same thing. How is it that for a simple question asked on "&amp;"your site, we still have no answer 5 days after ???
For once I try to contact you by phone, I am very disappointed.
I dare not imagine the day when you have to contact you for urgent hospitalization ....!")</f>
        <v>Generation is a very expensive mutual for a retiree: more than 150 € per month! And despite this, it is impossible to have an online advisor! Apart from an electronic voice that always repeats the same thing. How is it that for a simple question asked on your site, we still have no answer 5 days after ???
For once I try to contact you by phone, I am very disappointed.
I dare not imagine the day when you have to contact you for urgent hospitalization ....!</v>
      </c>
    </row>
    <row r="6">
      <c r="B6" s="2" t="s">
        <v>30</v>
      </c>
      <c r="C6" s="2" t="s">
        <v>31</v>
      </c>
      <c r="D6" s="2" t="s">
        <v>27</v>
      </c>
      <c r="E6" s="2" t="s">
        <v>14</v>
      </c>
      <c r="F6" s="2" t="s">
        <v>15</v>
      </c>
      <c r="G6" s="2" t="s">
        <v>32</v>
      </c>
      <c r="H6" s="2" t="s">
        <v>29</v>
      </c>
      <c r="I6" s="2" t="str">
        <f>IFERROR(__xludf.DUMMYFUNCTION("GOOGLETRANSLATE(C6,""fr"",""en"")"),"I just learned that I am struck off ... I call, an adviser can not give me an answer sends me to a number ... hers, whom I have just done and to which I spent more than 5 minutes to wait more The 9 minutes when she tried to put me in touch with another pe"&amp;"rson (21.54 minutes in all). The other number that the adviser gave me hinders me after 4.26 minutes is less long!.
During my adhesion I had a problem I was already at home as an employee, I wanted to keep my contract as an individual: they do not know h"&amp;"ow to do a priori since he changed my center of CPAM from another department By telling me that it was question of a new contract I would have had to transmit my certificate of CPAM, I agree but why put myself in another social security center and in addi"&amp;"tion not the same department! To date, no response since 2019.
Today it advises her that I had told me that they kept my old RIB (from 2018) to get me up and my new RIB (given during my new contract) to reimburse me.
Evasive answers of the adviser (fort"&amp;"unately they record ...), does not know, does not see, agree with me, can do nothing for me, understands me.
Really not serious, lamentable, incompetent, to flee !!
")</f>
        <v>I just learned that I am struck off ... I call, an adviser can not give me an answer sends me to a number ... hers, whom I have just done and to which I spent more than 5 minutes to wait more The 9 minutes when she tried to put me in touch with another person (21.54 minutes in all). The other number that the adviser gave me hinders me after 4.26 minutes is less long!.
During my adhesion I had a problem I was already at home as an employee, I wanted to keep my contract as an individual: they do not know how to do a priori since he changed my center of CPAM from another department By telling me that it was question of a new contract I would have had to transmit my certificate of CPAM, I agree but why put myself in another social security center and in addition not the same department! To date, no response since 2019.
Today it advises her that I had told me that they kept my old RIB (from 2018) to get me up and my new RIB (given during my new contract) to reimburse me.
Evasive answers of the adviser (fortunately they record ...), does not know, does not see, agree with me, can do nothing for me, understands me.
Really not serious, lamentable, incompetent, to flee !!
</v>
      </c>
    </row>
    <row r="7">
      <c r="B7" s="2" t="s">
        <v>33</v>
      </c>
      <c r="C7" s="2" t="s">
        <v>34</v>
      </c>
      <c r="D7" s="2" t="s">
        <v>27</v>
      </c>
      <c r="E7" s="2" t="s">
        <v>14</v>
      </c>
      <c r="F7" s="2" t="s">
        <v>15</v>
      </c>
      <c r="G7" s="2" t="s">
        <v>35</v>
      </c>
      <c r="H7" s="2" t="s">
        <v>29</v>
      </c>
      <c r="I7" s="2" t="str">
        <f>IFERROR(__xludf.DUMMYFUNCTION("GOOGLETRANSLATE(C7,""fr"",""en"")"),"Customer service very accessible, waiting time of less than a minute for each call, information gives perfectly compared to the request.
Niquel")</f>
        <v>Customer service very accessible, waiting time of less than a minute for each call, information gives perfectly compared to the request.
Niquel</v>
      </c>
    </row>
    <row r="8">
      <c r="B8" s="2" t="s">
        <v>36</v>
      </c>
      <c r="C8" s="2" t="s">
        <v>37</v>
      </c>
      <c r="D8" s="2" t="s">
        <v>27</v>
      </c>
      <c r="E8" s="2" t="s">
        <v>14</v>
      </c>
      <c r="F8" s="2" t="s">
        <v>15</v>
      </c>
      <c r="G8" s="2" t="s">
        <v>38</v>
      </c>
      <c r="H8" s="2" t="s">
        <v>39</v>
      </c>
      <c r="I8" s="2" t="str">
        <f>IFERROR(__xludf.DUMMYFUNCTION("GOOGLETRANSLATE(C8,""fr"",""en"")"),"Responsiveness of listening professionals
I find it unfortunate, however, that within the framework of this compulsory mutual, we cannot abound our mutual of certain services in correlation with our individual needs")</f>
        <v>Responsiveness of listening professionals
I find it unfortunate, however, that within the framework of this compulsory mutual, we cannot abound our mutual of certain services in correlation with our individual needs</v>
      </c>
    </row>
    <row r="9">
      <c r="B9" s="2" t="s">
        <v>40</v>
      </c>
      <c r="C9" s="2" t="s">
        <v>41</v>
      </c>
      <c r="D9" s="2" t="s">
        <v>27</v>
      </c>
      <c r="E9" s="2" t="s">
        <v>14</v>
      </c>
      <c r="F9" s="2" t="s">
        <v>15</v>
      </c>
      <c r="G9" s="2" t="s">
        <v>42</v>
      </c>
      <c r="H9" s="2" t="s">
        <v>43</v>
      </c>
      <c r="I9" s="2" t="str">
        <f>IFERROR(__xludf.DUMMYFUNCTION("GOOGLETRANSLATE(C9,""fr"",""en"")"),"Catastrophic in customer relations. For months I have been fighting with them and they don't even take the time to respond specifically. They send a boat response that absolutely does not solve my problem.
Really catastrophic !!!")</f>
        <v>Catastrophic in customer relations. For months I have been fighting with them and they don't even take the time to respond specifically. They send a boat response that absolutely does not solve my problem.
Really catastrophic !!!</v>
      </c>
    </row>
    <row r="10">
      <c r="B10" s="2" t="s">
        <v>44</v>
      </c>
      <c r="C10" s="2" t="s">
        <v>45</v>
      </c>
      <c r="D10" s="2" t="s">
        <v>27</v>
      </c>
      <c r="E10" s="2" t="s">
        <v>14</v>
      </c>
      <c r="F10" s="2" t="s">
        <v>15</v>
      </c>
      <c r="G10" s="2" t="s">
        <v>46</v>
      </c>
      <c r="H10" s="2" t="s">
        <v>43</v>
      </c>
      <c r="I10" s="2" t="str">
        <f>IFERROR(__xludf.DUMMYFUNCTION("GOOGLETRANSLATE(C10,""fr"",""en"")"),"I took contact with your service day for my sick leave accident
I had any very good information
Your staff listen to the customer
You with a great team because I have always had my requests
Best regards
")</f>
        <v>I took contact with your service day for my sick leave accident
I had any very good information
Your staff listen to the customer
You with a great team because I have always had my requests
Best regards
</v>
      </c>
    </row>
    <row r="11">
      <c r="B11" s="2" t="s">
        <v>47</v>
      </c>
      <c r="C11" s="2" t="s">
        <v>48</v>
      </c>
      <c r="D11" s="2" t="s">
        <v>27</v>
      </c>
      <c r="E11" s="2" t="s">
        <v>14</v>
      </c>
      <c r="F11" s="2" t="s">
        <v>15</v>
      </c>
      <c r="G11" s="2" t="s">
        <v>49</v>
      </c>
      <c r="H11" s="2" t="s">
        <v>43</v>
      </c>
      <c r="I11" s="2" t="str">
        <f>IFERROR(__xludf.DUMMYFUNCTION("GOOGLETRANSLATE(C11,""fr"",""en"")"),"I am still awaiting the reimbursement of my spa treatment ??? ... very disappointed the prices increase but the less you reimburse my request receipt of exceeding fees of 150 euros and not189.45")</f>
        <v>I am still awaiting the reimbursement of my spa treatment ??? ... very disappointed the prices increase but the less you reimburse my request receipt of exceeding fees of 150 euros and not189.45</v>
      </c>
    </row>
    <row r="12">
      <c r="B12" s="2" t="s">
        <v>50</v>
      </c>
      <c r="C12" s="2" t="s">
        <v>51</v>
      </c>
      <c r="D12" s="2" t="s">
        <v>27</v>
      </c>
      <c r="E12" s="2" t="s">
        <v>14</v>
      </c>
      <c r="F12" s="2" t="s">
        <v>15</v>
      </c>
      <c r="G12" s="2" t="s">
        <v>52</v>
      </c>
      <c r="H12" s="2" t="s">
        <v>43</v>
      </c>
      <c r="I12" s="2" t="str">
        <f>IFERROR(__xludf.DUMMYFUNCTION("GOOGLETRANSLATE(C12,""fr"",""en"")"),"Welcomed by my name and first name when I arrived online. Very kind exchange. Response provided without a great expectation. Horrible and long server.")</f>
        <v>Welcomed by my name and first name when I arrived online. Very kind exchange. Response provided without a great expectation. Horrible and long server.</v>
      </c>
    </row>
    <row r="13">
      <c r="B13" s="2" t="s">
        <v>53</v>
      </c>
      <c r="C13" s="2" t="s">
        <v>54</v>
      </c>
      <c r="D13" s="2" t="s">
        <v>27</v>
      </c>
      <c r="E13" s="2" t="s">
        <v>14</v>
      </c>
      <c r="F13" s="2" t="s">
        <v>15</v>
      </c>
      <c r="G13" s="2" t="s">
        <v>55</v>
      </c>
      <c r="H13" s="2" t="s">
        <v>56</v>
      </c>
      <c r="I13" s="2" t="str">
        <f>IFERROR(__xludf.DUMMYFUNCTION("GOOGLETRANSLATE(C13,""fr"",""en"")"),"Very satisfied with my mutual insurance, very easy to use application, fast reimbursement times, fast and efficient calls and communication
I recommend")</f>
        <v>Very satisfied with my mutual insurance, very easy to use application, fast reimbursement times, fast and efficient calls and communication
I recommend</v>
      </c>
    </row>
    <row r="14">
      <c r="B14" s="2" t="s">
        <v>57</v>
      </c>
      <c r="C14" s="2" t="s">
        <v>58</v>
      </c>
      <c r="D14" s="2" t="s">
        <v>27</v>
      </c>
      <c r="E14" s="2" t="s">
        <v>14</v>
      </c>
      <c r="F14" s="2" t="s">
        <v>15</v>
      </c>
      <c r="G14" s="2" t="s">
        <v>59</v>
      </c>
      <c r="H14" s="2" t="s">
        <v>56</v>
      </c>
      <c r="I14" s="2" t="str">
        <f>IFERROR(__xludf.DUMMYFUNCTION("GOOGLETRANSLATE(C14,""fr"",""en"")"),"I am very happy with my mutual, agents who take care of me when I need.
My only bane is the site that does not work so to speak, when I want to send refund invoices! And take the lead with that when we suffer, that we are tired ?? It's we using. It would"&amp;" be good to remedy the problem because it has been a long time that it does not work !!! Otherwise, everything else is ok ??")</f>
        <v>I am very happy with my mutual, agents who take care of me when I need.
My only bane is the site that does not work so to speak, when I want to send refund invoices! And take the lead with that when we suffer, that we are tired ?? It's we using. It would be good to remedy the problem because it has been a long time that it does not work !!! Otherwise, everything else is ok ??</v>
      </c>
    </row>
    <row r="15">
      <c r="B15" s="2" t="s">
        <v>60</v>
      </c>
      <c r="C15" s="2" t="s">
        <v>61</v>
      </c>
      <c r="D15" s="2" t="s">
        <v>27</v>
      </c>
      <c r="E15" s="2" t="s">
        <v>14</v>
      </c>
      <c r="F15" s="2" t="s">
        <v>15</v>
      </c>
      <c r="G15" s="2" t="s">
        <v>62</v>
      </c>
      <c r="H15" s="2" t="s">
        <v>56</v>
      </c>
      <c r="I15" s="2" t="str">
        <f>IFERROR(__xludf.DUMMYFUNCTION("GOOGLETRANSLATE(C15,""fr"",""en"")"),"For this day's call, Joao was very patient and effective. He knew how to answer me and advise me according to my situation. I sent the documents necessary for the right processing of my file. Thank you.")</f>
        <v>For this day's call, Joao was very patient and effective. He knew how to answer me and advise me according to my situation. I sent the documents necessary for the right processing of my file. Thank you.</v>
      </c>
    </row>
    <row r="16">
      <c r="B16" s="2" t="s">
        <v>63</v>
      </c>
      <c r="C16" s="2" t="s">
        <v>64</v>
      </c>
      <c r="D16" s="2" t="s">
        <v>27</v>
      </c>
      <c r="E16" s="2" t="s">
        <v>14</v>
      </c>
      <c r="F16" s="2" t="s">
        <v>15</v>
      </c>
      <c r="G16" s="2" t="s">
        <v>65</v>
      </c>
      <c r="H16" s="2" t="s">
        <v>56</v>
      </c>
      <c r="I16" s="2" t="str">
        <f>IFERROR(__xludf.DUMMYFUNCTION("GOOGLETRANSLATE(C16,""fr"",""en"")"),"Excellent mutual health insurance, reactive customer service and good advice. We generally manage to join them quickly, on a non -surcharged number, which is appreciable.")</f>
        <v>Excellent mutual health insurance, reactive customer service and good advice. We generally manage to join them quickly, on a non -surcharged number, which is appreciable.</v>
      </c>
    </row>
    <row r="17">
      <c r="B17" s="2" t="s">
        <v>66</v>
      </c>
      <c r="C17" s="2" t="s">
        <v>67</v>
      </c>
      <c r="D17" s="2" t="s">
        <v>27</v>
      </c>
      <c r="E17" s="2" t="s">
        <v>14</v>
      </c>
      <c r="F17" s="2" t="s">
        <v>15</v>
      </c>
      <c r="G17" s="2" t="s">
        <v>68</v>
      </c>
      <c r="H17" s="2" t="s">
        <v>69</v>
      </c>
      <c r="I17" s="2" t="str">
        <f>IFERROR(__xludf.DUMMYFUNCTION("GOOGLETRANSLATE(C17,""fr"",""en"")"),"Always a little lost in the care of social security and the mutual generation as well as the different processes as part of my pregnancy, each time I call customer service generation there is always on the phone a helpful person, patient and pedagogue. I "&amp;"always hang up serene despite the upstream stress.
Thank you for simplifying my life !!")</f>
        <v>Always a little lost in the care of social security and the mutual generation as well as the different processes as part of my pregnancy, each time I call customer service generation there is always on the phone a helpful person, patient and pedagogue. I always hang up serene despite the upstream stress.
Thank you for simplifying my life !!</v>
      </c>
    </row>
    <row r="18">
      <c r="B18" s="2" t="s">
        <v>70</v>
      </c>
      <c r="C18" s="2" t="s">
        <v>71</v>
      </c>
      <c r="D18" s="2" t="s">
        <v>27</v>
      </c>
      <c r="E18" s="2" t="s">
        <v>14</v>
      </c>
      <c r="F18" s="2" t="s">
        <v>15</v>
      </c>
      <c r="G18" s="2" t="s">
        <v>72</v>
      </c>
      <c r="H18" s="2" t="s">
        <v>69</v>
      </c>
      <c r="I18" s="2" t="str">
        <f>IFERROR(__xludf.DUMMYFUNCTION("GOOGLETRANSLATE(C18,""fr"",""en"")"),"This is the mutual of my former employer, I am in portability until the end of the year or until I find a new job so concerning the prices I do not know too much, I did not No comparison elements. By cons on the service they are top. Reactive, attentive, "&amp;"quotes arrive quickly, the reimbursements too and I find that the reimbursements are completely suitable. thanks to them")</f>
        <v>This is the mutual of my former employer, I am in portability until the end of the year or until I find a new job so concerning the prices I do not know too much, I did not No comparison elements. By cons on the service they are top. Reactive, attentive, quotes arrive quickly, the reimbursements too and I find that the reimbursements are completely suitable. thanks to them</v>
      </c>
    </row>
    <row r="19">
      <c r="B19" s="2" t="s">
        <v>73</v>
      </c>
      <c r="C19" s="2" t="s">
        <v>74</v>
      </c>
      <c r="D19" s="2" t="s">
        <v>27</v>
      </c>
      <c r="E19" s="2" t="s">
        <v>14</v>
      </c>
      <c r="F19" s="2" t="s">
        <v>15</v>
      </c>
      <c r="G19" s="2" t="s">
        <v>75</v>
      </c>
      <c r="H19" s="2" t="s">
        <v>69</v>
      </c>
      <c r="I19" s="2" t="str">
        <f>IFERROR(__xludf.DUMMYFUNCTION("GOOGLETRANSLATE(C19,""fr"",""en"")"),"Fast and efficient when I needed to adjust a dispute, following a mistake. Easy to contact, attentive and pleasant. My file was charged during the day. No complaints.")</f>
        <v>Fast and efficient when I needed to adjust a dispute, following a mistake. Easy to contact, attentive and pleasant. My file was charged during the day. No complaints.</v>
      </c>
    </row>
    <row r="20">
      <c r="B20" s="2" t="s">
        <v>76</v>
      </c>
      <c r="C20" s="2" t="s">
        <v>77</v>
      </c>
      <c r="D20" s="2" t="s">
        <v>27</v>
      </c>
      <c r="E20" s="2" t="s">
        <v>14</v>
      </c>
      <c r="F20" s="2" t="s">
        <v>15</v>
      </c>
      <c r="G20" s="2" t="s">
        <v>78</v>
      </c>
      <c r="H20" s="2" t="s">
        <v>79</v>
      </c>
      <c r="I20" s="2" t="str">
        <f>IFERROR(__xludf.DUMMYFUNCTION("GOOGLETRANSLATE(C20,""fr"",""en"")"),"Bjr I admit to being pleasantly surprised by the responsiveness of your served and the kindness of your speakers.
I would like to know if I could continue with this mutual insurance")</f>
        <v>Bjr I admit to being pleasantly surprised by the responsiveness of your served and the kindness of your speakers.
I would like to know if I could continue with this mutual insurance</v>
      </c>
    </row>
    <row r="21" ht="15.75" customHeight="1">
      <c r="B21" s="2" t="s">
        <v>80</v>
      </c>
      <c r="C21" s="2" t="s">
        <v>81</v>
      </c>
      <c r="D21" s="2" t="s">
        <v>27</v>
      </c>
      <c r="E21" s="2" t="s">
        <v>14</v>
      </c>
      <c r="F21" s="2" t="s">
        <v>15</v>
      </c>
      <c r="G21" s="2" t="s">
        <v>82</v>
      </c>
      <c r="H21" s="2" t="s">
        <v>79</v>
      </c>
      <c r="I21" s="2" t="str">
        <f>IFERROR(__xludf.DUMMYFUNCTION("GOOGLETRANSLATE(C21,""fr"",""en"")"),"Hello. In my opinion, several criteria condition satisfaction with its complementary health:
1 The subscription: insofar as the employer participates, this remains correct.
2 Associated guarantees and reimbursements: there is always means of improving t"&amp;"he guarantees, but this has a cost. The amount of reimbursements is generally reasonable.
3 Reimbursement times: very fast, nothing to say.
4 The means to reach generation: customer area, tel ... perfect, nothing to add
5 The quality of the reception a"&amp;"nd the explanations of the tele-adviser: I had the opportunity to call several times, and I have always had competent interlocutors, which is far from being the case everywhere! Bravo to your teams.
This opinion only engages me. However, being a staff re"&amp;"presentative within my company, I would like to carry out a survey with all employees, this could be interesting ... I also asked my latest television (Anaëlle I believe) To transmit my request if you had a satisfaction quality/questionnaire, you never kn"&amp;"ow.
I wish you a good end of the day,
France Patiez / Sté les Maisons du Voyage
")</f>
        <v>Hello. In my opinion, several criteria condition satisfaction with its complementary health:
1 The subscription: insofar as the employer participates, this remains correct.
2 Associated guarantees and reimbursements: there is always means of improving the guarantees, but this has a cost. The amount of reimbursements is generally reasonable.
3 Reimbursement times: very fast, nothing to say.
4 The means to reach generation: customer area, tel ... perfect, nothing to add
5 The quality of the reception and the explanations of the tele-adviser: I had the opportunity to call several times, and I have always had competent interlocutors, which is far from being the case everywhere! Bravo to your teams.
This opinion only engages me. However, being a staff representative within my company, I would like to carry out a survey with all employees, this could be interesting ... I also asked my latest television (Anaëlle I believe) To transmit my request if you had a satisfaction quality/questionnaire, you never know.
I wish you a good end of the day,
France Patiez / Sté les Maisons du Voyage
</v>
      </c>
    </row>
    <row r="22" ht="15.75" customHeight="1">
      <c r="B22" s="2" t="s">
        <v>83</v>
      </c>
      <c r="C22" s="2" t="s">
        <v>84</v>
      </c>
      <c r="D22" s="2" t="s">
        <v>27</v>
      </c>
      <c r="E22" s="2" t="s">
        <v>14</v>
      </c>
      <c r="F22" s="2" t="s">
        <v>15</v>
      </c>
      <c r="G22" s="2" t="s">
        <v>85</v>
      </c>
      <c r="H22" s="2" t="s">
        <v>79</v>
      </c>
      <c r="I22" s="2" t="str">
        <f>IFERROR(__xludf.DUMMYFUNCTION("GOOGLETRANSLATE(C22,""fr"",""en"")"),"Super telephone reception with very pleasant personal information
Listening and advice on the site in order to be able to send documents")</f>
        <v>Super telephone reception with very pleasant personal information
Listening and advice on the site in order to be able to send documents</v>
      </c>
    </row>
    <row r="23" ht="15.75" customHeight="1">
      <c r="B23" s="2" t="s">
        <v>86</v>
      </c>
      <c r="C23" s="2" t="s">
        <v>87</v>
      </c>
      <c r="D23" s="2" t="s">
        <v>27</v>
      </c>
      <c r="E23" s="2" t="s">
        <v>14</v>
      </c>
      <c r="F23" s="2" t="s">
        <v>15</v>
      </c>
      <c r="G23" s="2" t="s">
        <v>88</v>
      </c>
      <c r="H23" s="2" t="s">
        <v>79</v>
      </c>
      <c r="I23" s="2" t="str">
        <f>IFERROR(__xludf.DUMMYFUNCTION("GOOGLETRANSLATE(C23,""fr"",""en"")"),"My son, having to be hospitalized in an emergency, my interlocutor was attentive, of real efficiency, simplifying the steps while I encountered administrative difficulties with the CPAM and the hospital concerning the taking in charge.
Thank you")</f>
        <v>My son, having to be hospitalized in an emergency, my interlocutor was attentive, of real efficiency, simplifying the steps while I encountered administrative difficulties with the CPAM and the hospital concerning the taking in charge.
Thank you</v>
      </c>
    </row>
    <row r="24" ht="15.75" customHeight="1">
      <c r="B24" s="2" t="s">
        <v>89</v>
      </c>
      <c r="C24" s="2" t="s">
        <v>90</v>
      </c>
      <c r="D24" s="2" t="s">
        <v>27</v>
      </c>
      <c r="E24" s="2" t="s">
        <v>14</v>
      </c>
      <c r="F24" s="2" t="s">
        <v>15</v>
      </c>
      <c r="G24" s="2" t="s">
        <v>91</v>
      </c>
      <c r="H24" s="2" t="s">
        <v>92</v>
      </c>
      <c r="I24" s="2" t="str">
        <f>IFERROR(__xludf.DUMMYFUNCTION("GOOGLETRANSLATE(C24,""fr"",""en"")"),"I thank my interlocutor for his excellent welcome, for the time taken to answer me, and for his efforts deployed to best answer my questions.")</f>
        <v>I thank my interlocutor for his excellent welcome, for the time taken to answer me, and for his efforts deployed to best answer my questions.</v>
      </c>
    </row>
    <row r="25" ht="15.75" customHeight="1">
      <c r="B25" s="2" t="s">
        <v>93</v>
      </c>
      <c r="C25" s="2" t="s">
        <v>94</v>
      </c>
      <c r="D25" s="2" t="s">
        <v>27</v>
      </c>
      <c r="E25" s="2" t="s">
        <v>14</v>
      </c>
      <c r="F25" s="2" t="s">
        <v>15</v>
      </c>
      <c r="G25" s="2" t="s">
        <v>95</v>
      </c>
      <c r="H25" s="2" t="s">
        <v>92</v>
      </c>
      <c r="I25" s="2" t="str">
        <f>IFERROR(__xludf.DUMMYFUNCTION("GOOGLETRANSLATE(C25,""fr"",""en"")"),"Mutual chosen by my employer, I did not choose it. On the other hand we (family) were very satisfied with all current reimbursements and well reimbursed also for optics and dental. Like any mutual I think it depends on the chosen package.
On the other ha"&amp;"nd, I would like to highlight the great efficiency of generation customer service here. Following an error on my part I could not have been reimbursed. After a very kind call and a advisor I wrote a request email at the address indicated and 3 days later "&amp;"I was informed that the concern was settled. Cheer!")</f>
        <v>Mutual chosen by my employer, I did not choose it. On the other hand we (family) were very satisfied with all current reimbursements and well reimbursed also for optics and dental. Like any mutual I think it depends on the chosen package.
On the other hand, I would like to highlight the great efficiency of generation customer service here. Following an error on my part I could not have been reimbursed. After a very kind call and a advisor I wrote a request email at the address indicated and 3 days later I was informed that the concern was settled. Cheer!</v>
      </c>
    </row>
    <row r="26" ht="15.75" customHeight="1">
      <c r="B26" s="2" t="s">
        <v>96</v>
      </c>
      <c r="C26" s="2" t="s">
        <v>97</v>
      </c>
      <c r="D26" s="2" t="s">
        <v>27</v>
      </c>
      <c r="E26" s="2" t="s">
        <v>14</v>
      </c>
      <c r="F26" s="2" t="s">
        <v>15</v>
      </c>
      <c r="G26" s="2" t="s">
        <v>95</v>
      </c>
      <c r="H26" s="2" t="s">
        <v>92</v>
      </c>
      <c r="I26" s="2" t="str">
        <f>IFERROR(__xludf.DUMMYFUNCTION("GOOGLETRANSLATE(C26,""fr"",""en"")"),"Very disappointed because no consistency between managers, the arrival of letters and changes in situations, nobody answers your questions so I find it abuse to force us to take this mutual with our company for a CDD and when it stops more Person at the e"&amp;"nd of the line really no follow -up I transmitted the file to a consumer association and a legal service C is abusing
")</f>
        <v>Very disappointed because no consistency between managers, the arrival of letters and changes in situations, nobody answers your questions so I find it abuse to force us to take this mutual with our company for a CDD and when it stops more Person at the end of the line really no follow -up I transmitted the file to a consumer association and a legal service C is abusing
</v>
      </c>
    </row>
    <row r="27" ht="15.75" customHeight="1">
      <c r="B27" s="2" t="s">
        <v>98</v>
      </c>
      <c r="C27" s="2" t="s">
        <v>99</v>
      </c>
      <c r="D27" s="2" t="s">
        <v>27</v>
      </c>
      <c r="E27" s="2" t="s">
        <v>14</v>
      </c>
      <c r="F27" s="2" t="s">
        <v>15</v>
      </c>
      <c r="G27" s="2" t="s">
        <v>100</v>
      </c>
      <c r="H27" s="2" t="s">
        <v>101</v>
      </c>
      <c r="I27" s="2" t="str">
        <f>IFERROR(__xludf.DUMMYFUNCTION("GOOGLETRANSLATE(C27,""fr"",""en"")"),"We are two without change of contract 2020 for 2: 200.71 euros
                                                                        Tariff 2021 for 2: 277.75 euros
Increase of 38.38%
Watch out for this mutual
After contacting them he find the nor"&amp;"mal increase
Find the error he lives in another world")</f>
        <v>We are two without change of contract 2020 for 2: 200.71 euros
                                                                        Tariff 2021 for 2: 277.75 euros
Increase of 38.38%
Watch out for this mutual
After contacting them he find the normal increase
Find the error he lives in another world</v>
      </c>
    </row>
    <row r="28" ht="15.75" customHeight="1">
      <c r="B28" s="2" t="s">
        <v>102</v>
      </c>
      <c r="C28" s="2" t="s">
        <v>103</v>
      </c>
      <c r="D28" s="2" t="s">
        <v>27</v>
      </c>
      <c r="E28" s="2" t="s">
        <v>14</v>
      </c>
      <c r="F28" s="2" t="s">
        <v>15</v>
      </c>
      <c r="G28" s="2" t="s">
        <v>104</v>
      </c>
      <c r="H28" s="2" t="s">
        <v>101</v>
      </c>
      <c r="I28" s="2" t="str">
        <f>IFERROR(__xludf.DUMMYFUNCTION("GOOGLETRANSLATE(C28,""fr"",""en"")"),"A disaster !
For 2021, I received, in the space of 20 days, 3 deadlines from different amounts, this without any explanation.
The 2 samples taken to date on my account for 2021 do not correspond to any of them!
The requests for explanation on the site "&amp;"remain unanswered.
On the phone, my interlocutor tells me not to understand what is going on and therefore cannot inform me.
Total lack of professionalism.
Simply lamentable ...")</f>
        <v>A disaster !
For 2021, I received, in the space of 20 days, 3 deadlines from different amounts, this without any explanation.
The 2 samples taken to date on my account for 2021 do not correspond to any of them!
The requests for explanation on the site remain unanswered.
On the phone, my interlocutor tells me not to understand what is going on and therefore cannot inform me.
Total lack of professionalism.
Simply lamentable ...</v>
      </c>
    </row>
    <row r="29" ht="15.75" customHeight="1">
      <c r="B29" s="2" t="s">
        <v>105</v>
      </c>
      <c r="C29" s="2" t="s">
        <v>106</v>
      </c>
      <c r="D29" s="2" t="s">
        <v>27</v>
      </c>
      <c r="E29" s="2" t="s">
        <v>14</v>
      </c>
      <c r="F29" s="2" t="s">
        <v>15</v>
      </c>
      <c r="G29" s="2" t="s">
        <v>107</v>
      </c>
      <c r="H29" s="2" t="s">
        <v>101</v>
      </c>
      <c r="I29" s="2" t="str">
        <f>IFERROR(__xludf.DUMMYFUNCTION("GOOGLETRANSLATE(C29,""fr"",""en"")"),"
Very good advice, patient and pedagogue. He guided me step by step, it was for the first time that it happens to me that the advisor gives so much time.
Bravo for professionalism")</f>
        <v>
Very good advice, patient and pedagogue. He guided me step by step, it was for the first time that it happens to me that the advisor gives so much time.
Bravo for professionalism</v>
      </c>
    </row>
    <row r="30" ht="15.75" customHeight="1">
      <c r="B30" s="2" t="s">
        <v>108</v>
      </c>
      <c r="C30" s="2" t="s">
        <v>109</v>
      </c>
      <c r="D30" s="2" t="s">
        <v>27</v>
      </c>
      <c r="E30" s="2" t="s">
        <v>14</v>
      </c>
      <c r="F30" s="2" t="s">
        <v>15</v>
      </c>
      <c r="G30" s="2" t="s">
        <v>110</v>
      </c>
      <c r="H30" s="2" t="s">
        <v>101</v>
      </c>
      <c r="I30" s="2" t="str">
        <f>IFERROR(__xludf.DUMMYFUNCTION("GOOGLETRANSLATE(C30,""fr"",""en"")"),"With each call I am satisfied, the interlocutors are very professional, they are attentive and always find the solution to my questions. I recommend generation.")</f>
        <v>With each call I am satisfied, the interlocutors are very professional, they are attentive and always find the solution to my questions. I recommend generation.</v>
      </c>
    </row>
    <row r="31" ht="15.75" customHeight="1">
      <c r="B31" s="2" t="s">
        <v>111</v>
      </c>
      <c r="C31" s="2" t="s">
        <v>112</v>
      </c>
      <c r="D31" s="2" t="s">
        <v>27</v>
      </c>
      <c r="E31" s="2" t="s">
        <v>14</v>
      </c>
      <c r="F31" s="2" t="s">
        <v>15</v>
      </c>
      <c r="G31" s="2" t="s">
        <v>113</v>
      </c>
      <c r="H31" s="2" t="s">
        <v>114</v>
      </c>
      <c r="I31" s="2" t="str">
        <f>IFERROR(__xludf.DUMMYFUNCTION("GOOGLETRANSLATE(C31,""fr"",""en"")"),"Of less things are taken into account and when there is a problem it is complicated. I provided all the supporting documents, however, but nothing is taken into account no providents take over in the event of loss of salary.
The teletransmission is not d"&amp;"one .....")</f>
        <v>Of less things are taken into account and when there is a problem it is complicated. I provided all the supporting documents, however, but nothing is taken into account no providents take over in the event of loss of salary.
The teletransmission is not done .....</v>
      </c>
    </row>
    <row r="32" ht="15.75" customHeight="1">
      <c r="B32" s="2" t="s">
        <v>115</v>
      </c>
      <c r="C32" s="2" t="s">
        <v>116</v>
      </c>
      <c r="D32" s="2" t="s">
        <v>27</v>
      </c>
      <c r="E32" s="2" t="s">
        <v>14</v>
      </c>
      <c r="F32" s="2" t="s">
        <v>15</v>
      </c>
      <c r="G32" s="2" t="s">
        <v>117</v>
      </c>
      <c r="H32" s="2" t="s">
        <v>114</v>
      </c>
      <c r="I32" s="2" t="str">
        <f>IFERROR(__xludf.DUMMYFUNCTION("GOOGLETRANSLATE(C32,""fr"",""en"")"),"Person who gives specific information.
However, need a quote to know the reimbursement despite the fact that I knew the price of future care, too bad.
1 min waiting frankly it was very fast to reach the person.")</f>
        <v>Person who gives specific information.
However, need a quote to know the reimbursement despite the fact that I knew the price of future care, too bad.
1 min waiting frankly it was very fast to reach the person.</v>
      </c>
    </row>
    <row r="33" ht="15.75" customHeight="1">
      <c r="B33" s="2" t="s">
        <v>118</v>
      </c>
      <c r="C33" s="2" t="s">
        <v>119</v>
      </c>
      <c r="D33" s="2" t="s">
        <v>27</v>
      </c>
      <c r="E33" s="2" t="s">
        <v>14</v>
      </c>
      <c r="F33" s="2" t="s">
        <v>15</v>
      </c>
      <c r="G33" s="2" t="s">
        <v>117</v>
      </c>
      <c r="H33" s="2" t="s">
        <v>114</v>
      </c>
      <c r="I33" s="2" t="str">
        <f>IFERROR(__xludf.DUMMYFUNCTION("GOOGLETRANSLATE(C33,""fr"",""en"")"),"Honestly, I have never met such an incompetent mutual in the management of files. It is fascinating of non-professionalism. It is a business mutual, we are just taken hostage. It's incredible.")</f>
        <v>Honestly, I have never met such an incompetent mutual in the management of files. It is fascinating of non-professionalism. It is a business mutual, we are just taken hostage. It's incredible.</v>
      </c>
    </row>
    <row r="34" ht="15.75" customHeight="1">
      <c r="B34" s="2" t="s">
        <v>120</v>
      </c>
      <c r="C34" s="2" t="s">
        <v>121</v>
      </c>
      <c r="D34" s="2" t="s">
        <v>27</v>
      </c>
      <c r="E34" s="2" t="s">
        <v>14</v>
      </c>
      <c r="F34" s="2" t="s">
        <v>15</v>
      </c>
      <c r="G34" s="2" t="s">
        <v>122</v>
      </c>
      <c r="H34" s="2" t="s">
        <v>114</v>
      </c>
      <c r="I34" s="2" t="str">
        <f>IFERROR(__xludf.DUMMYFUNCTION("GOOGLETRANSLATE(C34,""fr"",""en"")"),"Mutual generation of worse in worse to avoid concerns of configuration of my account impossible to have my reimbursements no longer even respond to emails?
are unable to tell me when it will be resolved? Total blur hello hassle")</f>
        <v>Mutual generation of worse in worse to avoid concerns of configuration of my account impossible to have my reimbursements no longer even respond to emails?
are unable to tell me when it will be resolved? Total blur hello hassle</v>
      </c>
    </row>
    <row r="35" ht="15.75" customHeight="1">
      <c r="B35" s="2" t="s">
        <v>123</v>
      </c>
      <c r="C35" s="2" t="s">
        <v>124</v>
      </c>
      <c r="D35" s="2" t="s">
        <v>27</v>
      </c>
      <c r="E35" s="2" t="s">
        <v>14</v>
      </c>
      <c r="F35" s="2" t="s">
        <v>15</v>
      </c>
      <c r="G35" s="2" t="s">
        <v>125</v>
      </c>
      <c r="H35" s="2" t="s">
        <v>126</v>
      </c>
      <c r="I35" s="2" t="str">
        <f>IFERROR(__xludf.DUMMYFUNCTION("GOOGLETRANSLATE(C35,""fr"",""en"")"),"Nothing to say for reimbursements, fast and serious, but the 39% increase I am amazed, while the Ratio Contribution and Reimbursement is in their favor. So I am satisfied but not for such significant increases.")</f>
        <v>Nothing to say for reimbursements, fast and serious, but the 39% increase I am amazed, while the Ratio Contribution and Reimbursement is in their favor. So I am satisfied but not for such significant increases.</v>
      </c>
    </row>
    <row r="36" ht="15.75" customHeight="1">
      <c r="B36" s="2" t="s">
        <v>127</v>
      </c>
      <c r="C36" s="2" t="s">
        <v>128</v>
      </c>
      <c r="D36" s="2" t="s">
        <v>27</v>
      </c>
      <c r="E36" s="2" t="s">
        <v>14</v>
      </c>
      <c r="F36" s="2" t="s">
        <v>15</v>
      </c>
      <c r="G36" s="2" t="s">
        <v>125</v>
      </c>
      <c r="H36" s="2" t="s">
        <v>126</v>
      </c>
      <c r="I36" s="2" t="str">
        <f>IFERROR(__xludf.DUMMYFUNCTION("GOOGLETRANSLATE(C36,""fr"",""en"")"),"My family and I are very satisfied with our mutual because the advantages that we draw from it are not negligible. In addition, customer service is always attentive and willing to help as effectively as possible!")</f>
        <v>My family and I are very satisfied with our mutual because the advantages that we draw from it are not negligible. In addition, customer service is always attentive and willing to help as effectively as possible!</v>
      </c>
    </row>
    <row r="37" ht="15.75" customHeight="1">
      <c r="B37" s="2" t="s">
        <v>129</v>
      </c>
      <c r="C37" s="2" t="s">
        <v>130</v>
      </c>
      <c r="D37" s="2" t="s">
        <v>27</v>
      </c>
      <c r="E37" s="2" t="s">
        <v>14</v>
      </c>
      <c r="F37" s="2" t="s">
        <v>15</v>
      </c>
      <c r="G37" s="2" t="s">
        <v>131</v>
      </c>
      <c r="H37" s="2" t="s">
        <v>126</v>
      </c>
      <c r="I37" s="2" t="str">
        <f>IFERROR(__xludf.DUMMYFUNCTION("GOOGLETRANSLATE(C37,""fr"",""en"")"),"Hello, am I the only one that does not happen to connect to the site? I would like to be contacted to be able to connect to be reimbursing on my next consultation thank you.")</f>
        <v>Hello, am I the only one that does not happen to connect to the site? I would like to be contacted to be able to connect to be reimbursing on my next consultation thank you.</v>
      </c>
    </row>
    <row r="38" ht="15.75" customHeight="1">
      <c r="B38" s="2" t="s">
        <v>132</v>
      </c>
      <c r="C38" s="2" t="s">
        <v>133</v>
      </c>
      <c r="D38" s="2" t="s">
        <v>27</v>
      </c>
      <c r="E38" s="2" t="s">
        <v>14</v>
      </c>
      <c r="F38" s="2" t="s">
        <v>15</v>
      </c>
      <c r="G38" s="2" t="s">
        <v>134</v>
      </c>
      <c r="H38" s="2" t="s">
        <v>126</v>
      </c>
      <c r="I38" s="2" t="str">
        <f>IFERROR(__xludf.DUMMYFUNCTION("GOOGLETRANSLATE(C38,""fr"",""en"")"),"My company pays very dear Mutual Generation My participation is also dear reimbursement We very long deadlines is when there are reimbursement errors you have to send papers and more papers and you wait again and again .... while Nowadays everything is do"&amp;"ne by internet it should be fast but with them not. And they reimburse for my part with the SECCU share 70%.")</f>
        <v>My company pays very dear Mutual Generation My participation is also dear reimbursement We very long deadlines is when there are reimbursement errors you have to send papers and more papers and you wait again and again .... while Nowadays everything is done by internet it should be fast but with them not. And they reimburse for my part with the SECCU share 70%.</v>
      </c>
    </row>
    <row r="39" ht="15.75" customHeight="1">
      <c r="B39" s="2" t="s">
        <v>135</v>
      </c>
      <c r="C39" s="2" t="s">
        <v>136</v>
      </c>
      <c r="D39" s="2" t="s">
        <v>27</v>
      </c>
      <c r="E39" s="2" t="s">
        <v>14</v>
      </c>
      <c r="F39" s="2" t="s">
        <v>15</v>
      </c>
      <c r="G39" s="2" t="s">
        <v>137</v>
      </c>
      <c r="H39" s="2" t="s">
        <v>126</v>
      </c>
      <c r="I39" s="2" t="str">
        <f>IFERROR(__xludf.DUMMYFUNCTION("GOOGLETRANSLATE(C39,""fr"",""en"")"),"Mutual to avoid at all costs !!
Unless you are a robot, of course! Let me explain, when you will need information on the phone, you come across a vocal robot, which will only understand your question if it is very basic, and in the best of cases will ans"&amp;"wer you by yes or no, you will go Brush if you wish a little more information!
Do not plan to send them an email either, since on the site, you can only join documents. No questions!
If I could put less - 100, in service, that's what this mutual is wort"&amp;"h!")</f>
        <v>Mutual to avoid at all costs !!
Unless you are a robot, of course! Let me explain, when you will need information on the phone, you come across a vocal robot, which will only understand your question if it is very basic, and in the best of cases will answer you by yes or no, you will go Brush if you wish a little more information!
Do not plan to send them an email either, since on the site, you can only join documents. No questions!
If I could put less - 100, in service, that's what this mutual is worth!</v>
      </c>
    </row>
    <row r="40" ht="15.75" customHeight="1">
      <c r="B40" s="2" t="s">
        <v>138</v>
      </c>
      <c r="C40" s="2" t="s">
        <v>139</v>
      </c>
      <c r="D40" s="2" t="s">
        <v>27</v>
      </c>
      <c r="E40" s="2" t="s">
        <v>14</v>
      </c>
      <c r="F40" s="2" t="s">
        <v>15</v>
      </c>
      <c r="G40" s="2" t="s">
        <v>140</v>
      </c>
      <c r="H40" s="2" t="s">
        <v>141</v>
      </c>
      <c r="I40" s="2" t="str">
        <f>IFERROR(__xludf.DUMMYFUNCTION("GOOGLETRANSLATE(C40,""fr"",""en"")"),"Very fast refund, good service and online reception and telephone. Problem just to send files, for example the learning employment contract document of my son.")</f>
        <v>Very fast refund, good service and online reception and telephone. Problem just to send files, for example the learning employment contract document of my son.</v>
      </c>
    </row>
    <row r="41" ht="15.75" customHeight="1">
      <c r="B41" s="2" t="s">
        <v>142</v>
      </c>
      <c r="C41" s="2" t="s">
        <v>143</v>
      </c>
      <c r="D41" s="2" t="s">
        <v>27</v>
      </c>
      <c r="E41" s="2" t="s">
        <v>14</v>
      </c>
      <c r="F41" s="2" t="s">
        <v>15</v>
      </c>
      <c r="G41" s="2" t="s">
        <v>144</v>
      </c>
      <c r="H41" s="2" t="s">
        <v>141</v>
      </c>
      <c r="I41" s="2" t="str">
        <f>IFERROR(__xludf.DUMMYFUNCTION("GOOGLETRANSLATE(C41,""fr"",""en"")"),"Very kind advisor to listening and professional who takes the time to explain everything in detail. Very satisfied with their services. I am also very well reimbursed ??")</f>
        <v>Very kind advisor to listening and professional who takes the time to explain everything in detail. Very satisfied with their services. I am also very well reimbursed ??</v>
      </c>
    </row>
    <row r="42" ht="15.75" customHeight="1">
      <c r="B42" s="2" t="s">
        <v>145</v>
      </c>
      <c r="C42" s="2" t="s">
        <v>146</v>
      </c>
      <c r="D42" s="2" t="s">
        <v>27</v>
      </c>
      <c r="E42" s="2" t="s">
        <v>14</v>
      </c>
      <c r="F42" s="2" t="s">
        <v>15</v>
      </c>
      <c r="G42" s="2" t="s">
        <v>147</v>
      </c>
      <c r="H42" s="2" t="s">
        <v>141</v>
      </c>
      <c r="I42" s="2" t="str">
        <f>IFERROR(__xludf.DUMMYFUNCTION("GOOGLETRANSLATE(C42,""fr"",""en"")"),"As I retire next year, I contacted Generation in order to obtain a complementary health proposal. Although having repeated several times to my interlocutor during the telephone interview, which I only wanted a quote, she sent me documents to sign by Inter"&amp;"net, telling me that I had 30 days for terminate. Once the documents are signed, we can no longer access the quote at all. To date I have always received no documents and I am afraid that I was forced hand and that the documents are sent in length, so tha"&amp;"t I no longer have any possibility withdrawal. I asked for quotes from other insurances and none made me sign documents.
Would anyone else experience the same thing?")</f>
        <v>As I retire next year, I contacted Generation in order to obtain a complementary health proposal. Although having repeated several times to my interlocutor during the telephone interview, which I only wanted a quote, she sent me documents to sign by Internet, telling me that I had 30 days for terminate. Once the documents are signed, we can no longer access the quote at all. To date I have always received no documents and I am afraid that I was forced hand and that the documents are sent in length, so that I no longer have any possibility withdrawal. I asked for quotes from other insurances and none made me sign documents.
Would anyone else experience the same thing?</v>
      </c>
    </row>
    <row r="43" ht="15.75" customHeight="1">
      <c r="B43" s="2" t="s">
        <v>148</v>
      </c>
      <c r="C43" s="2" t="s">
        <v>149</v>
      </c>
      <c r="D43" s="2" t="s">
        <v>27</v>
      </c>
      <c r="E43" s="2" t="s">
        <v>14</v>
      </c>
      <c r="F43" s="2" t="s">
        <v>15</v>
      </c>
      <c r="G43" s="2" t="s">
        <v>147</v>
      </c>
      <c r="H43" s="2" t="s">
        <v>141</v>
      </c>
      <c r="I43" s="2" t="str">
        <f>IFERROR(__xludf.DUMMYFUNCTION("GOOGLETRANSLATE(C43,""fr"",""en"")"),"Following a question around the portability of my rights, I am very satisfied by the clear and educational response of the advisor on the phone.")</f>
        <v>Following a question around the portability of my rights, I am very satisfied by the clear and educational response of the advisor on the phone.</v>
      </c>
    </row>
    <row r="44" ht="15.75" customHeight="1">
      <c r="B44" s="2" t="s">
        <v>150</v>
      </c>
      <c r="C44" s="2" t="s">
        <v>151</v>
      </c>
      <c r="D44" s="2" t="s">
        <v>27</v>
      </c>
      <c r="E44" s="2" t="s">
        <v>14</v>
      </c>
      <c r="F44" s="2" t="s">
        <v>15</v>
      </c>
      <c r="G44" s="2" t="s">
        <v>147</v>
      </c>
      <c r="H44" s="2" t="s">
        <v>141</v>
      </c>
      <c r="I44" s="2" t="str">
        <f>IFERROR(__xludf.DUMMYFUNCTION("GOOGLETRANSLATE(C44,""fr"",""en"")"),"In the top ! No expectations and ultra competent service! Today I had two generation collaborators who answered my questions in a very professional way, I was a little lost on certain steps I did not know how to do it and I had the chance to come across t"&amp;"wo very competent people
Thank you generation")</f>
        <v>In the top ! No expectations and ultra competent service! Today I had two generation collaborators who answered my questions in a very professional way, I was a little lost on certain steps I did not know how to do it and I had the chance to come across two very competent people
Thank you generation</v>
      </c>
    </row>
    <row r="45" ht="15.75" customHeight="1">
      <c r="B45" s="2" t="s">
        <v>152</v>
      </c>
      <c r="C45" s="2" t="s">
        <v>153</v>
      </c>
      <c r="D45" s="2" t="s">
        <v>27</v>
      </c>
      <c r="E45" s="2" t="s">
        <v>14</v>
      </c>
      <c r="F45" s="2" t="s">
        <v>15</v>
      </c>
      <c r="G45" s="2" t="s">
        <v>154</v>
      </c>
      <c r="H45" s="2" t="s">
        <v>141</v>
      </c>
      <c r="I45" s="2" t="str">
        <f>IFERROR(__xludf.DUMMYFUNCTION("GOOGLETRANSLATE(C45,""fr"",""en"")"),"Mutual with enormous latency. To avoid. Sometimes aggressive standardist and inconsistent speech. After a passage in a bank I lost the portability of the contract and I had to reimburse the costs with 2 months late. Mutual to avoid")</f>
        <v>Mutual with enormous latency. To avoid. Sometimes aggressive standardist and inconsistent speech. After a passage in a bank I lost the portability of the contract and I had to reimburse the costs with 2 months late. Mutual to avoid</v>
      </c>
    </row>
    <row r="46" ht="15.75" customHeight="1">
      <c r="B46" s="2" t="s">
        <v>155</v>
      </c>
      <c r="C46" s="2" t="s">
        <v>156</v>
      </c>
      <c r="D46" s="2" t="s">
        <v>27</v>
      </c>
      <c r="E46" s="2" t="s">
        <v>14</v>
      </c>
      <c r="F46" s="2" t="s">
        <v>15</v>
      </c>
      <c r="G46" s="2" t="s">
        <v>157</v>
      </c>
      <c r="H46" s="2" t="s">
        <v>141</v>
      </c>
      <c r="I46" s="2" t="str">
        <f>IFERROR(__xludf.DUMMYFUNCTION("GOOGLETRANSLATE(C46,""fr"",""en"")"),"Well done customer area. speed in reimbursements. However, lack of knowledge on the legislative and regulatory provisions more particularly on the Evin law, however capital in this area.
This lack of professionalism did not allow me to benefit from the p"&amp;"ostponement of guarantees at an equivalent rate. The duty of advice beyond the quality of reception should be one of the criteria for recruiting managers/advisers for these professionals ...")</f>
        <v>Well done customer area. speed in reimbursements. However, lack of knowledge on the legislative and regulatory provisions more particularly on the Evin law, however capital in this area.
This lack of professionalism did not allow me to benefit from the postponement of guarantees at an equivalent rate. The duty of advice beyond the quality of reception should be one of the criteria for recruiting managers/advisers for these professionals ...</v>
      </c>
    </row>
    <row r="47" ht="15.75" customHeight="1">
      <c r="B47" s="2" t="s">
        <v>158</v>
      </c>
      <c r="C47" s="2" t="s">
        <v>159</v>
      </c>
      <c r="D47" s="2" t="s">
        <v>27</v>
      </c>
      <c r="E47" s="2" t="s">
        <v>14</v>
      </c>
      <c r="F47" s="2" t="s">
        <v>15</v>
      </c>
      <c r="G47" s="2" t="s">
        <v>160</v>
      </c>
      <c r="H47" s="2" t="s">
        <v>141</v>
      </c>
      <c r="I47" s="2" t="str">
        <f>IFERROR(__xludf.DUMMYFUNCTION("GOOGLETRANSLATE(C47,""fr"",""en"")"),"You have to hang on to have them by phone.
Response fairly quickly by email via the application, except for termination.
As soon as we speak of termination they become completely unpleasant refuses the termination even for contracts of more than a year."&amp;" Do you have to wait for the end of the contract? I have never seen that.
To flee if you look for a human mutual.
Since the termination request
The reimbursement of care is dragged and categorical refusal of the termination while I am in uncompromising"&amp;" unemployment.
")</f>
        <v>You have to hang on to have them by phone.
Response fairly quickly by email via the application, except for termination.
As soon as we speak of termination they become completely unpleasant refuses the termination even for contracts of more than a year. Do you have to wait for the end of the contract? I have never seen that.
To flee if you look for a human mutual.
Since the termination request
The reimbursement of care is dragged and categorical refusal of the termination while I am in uncompromising unemployment.
</v>
      </c>
    </row>
    <row r="48" ht="15.75" customHeight="1">
      <c r="B48" s="2" t="s">
        <v>161</v>
      </c>
      <c r="C48" s="2" t="s">
        <v>162</v>
      </c>
      <c r="D48" s="2" t="s">
        <v>27</v>
      </c>
      <c r="E48" s="2" t="s">
        <v>14</v>
      </c>
      <c r="F48" s="2" t="s">
        <v>15</v>
      </c>
      <c r="G48" s="2" t="s">
        <v>163</v>
      </c>
      <c r="H48" s="2" t="s">
        <v>141</v>
      </c>
      <c r="I48" s="2" t="str">
        <f>IFERROR(__xludf.DUMMYFUNCTION("GOOGLETRANSLATE(C48,""fr"",""en"")"),"Very satisfied so far from the management of this mutual.
Only downside these latest TMSP the phone number no longer works and we are not answered for our request for a quote for our son. 3rd recovery, go to the installation of the dental apparatus on Fr"&amp;"iday it becomes complicated there ...")</f>
        <v>Very satisfied so far from the management of this mutual.
Only downside these latest TMSP the phone number no longer works and we are not answered for our request for a quote for our son. 3rd recovery, go to the installation of the dental apparatus on Friday it becomes complicated there ...</v>
      </c>
    </row>
    <row r="49" ht="15.75" customHeight="1">
      <c r="B49" s="2" t="s">
        <v>164</v>
      </c>
      <c r="C49" s="2" t="s">
        <v>165</v>
      </c>
      <c r="D49" s="2" t="s">
        <v>27</v>
      </c>
      <c r="E49" s="2" t="s">
        <v>14</v>
      </c>
      <c r="F49" s="2" t="s">
        <v>15</v>
      </c>
      <c r="G49" s="2" t="s">
        <v>166</v>
      </c>
      <c r="H49" s="2" t="s">
        <v>167</v>
      </c>
      <c r="I49" s="2" t="str">
        <f>IFERROR(__xludf.DUMMYFUNCTION("GOOGLETRANSLATE(C49,""fr"",""en"")"),"I gave this note because I find that the prices are correct compared to the disease covers.
I joined this mutual through my company because I found the prices very attractive.
I hope to be able to continue my membership following my next retirement, so "&amp;"departure from my business.")</f>
        <v>I gave this note because I find that the prices are correct compared to the disease covers.
I joined this mutual through my company because I found the prices very attractive.
I hope to be able to continue my membership following my next retirement, so departure from my business.</v>
      </c>
    </row>
    <row r="50" ht="15.75" customHeight="1">
      <c r="B50" s="2" t="s">
        <v>168</v>
      </c>
      <c r="C50" s="2" t="s">
        <v>169</v>
      </c>
      <c r="D50" s="2" t="s">
        <v>27</v>
      </c>
      <c r="E50" s="2" t="s">
        <v>14</v>
      </c>
      <c r="F50" s="2" t="s">
        <v>15</v>
      </c>
      <c r="G50" s="2" t="s">
        <v>170</v>
      </c>
      <c r="H50" s="2" t="s">
        <v>167</v>
      </c>
      <c r="I50" s="2" t="str">
        <f>IFERROR(__xludf.DUMMYFUNCTION("GOOGLETRANSLATE(C50,""fr"",""en"")"),"I have always had the answer to my requests with satisfaction. I have never encountered any particular problem which has not found a solution.
I recommend this service")</f>
        <v>I have always had the answer to my requests with satisfaction. I have never encountered any particular problem which has not found a solution.
I recommend this service</v>
      </c>
    </row>
    <row r="51" ht="15.75" customHeight="1">
      <c r="B51" s="2" t="s">
        <v>171</v>
      </c>
      <c r="C51" s="2" t="s">
        <v>172</v>
      </c>
      <c r="D51" s="2" t="s">
        <v>27</v>
      </c>
      <c r="E51" s="2" t="s">
        <v>14</v>
      </c>
      <c r="F51" s="2" t="s">
        <v>15</v>
      </c>
      <c r="G51" s="2" t="s">
        <v>173</v>
      </c>
      <c r="H51" s="2" t="s">
        <v>174</v>
      </c>
      <c r="I51" s="2" t="str">
        <f>IFERROR(__xludf.DUMMYFUNCTION("GOOGLETRANSLATE(C51,""fr"",""en"")"),"Customer service is available and attentive. The wait was not very long on the phone. The after -sales service is really taken care of by people who speak French well. Very effective in answering questions. The service will seek the answers so as not to l"&amp;"eave the customer without information. I was very pleasantly surprised and welcomed.")</f>
        <v>Customer service is available and attentive. The wait was not very long on the phone. The after -sales service is really taken care of by people who speak French well. Very effective in answering questions. The service will seek the answers so as not to leave the customer without information. I was very pleasantly surprised and welcomed.</v>
      </c>
    </row>
    <row r="52" ht="15.75" customHeight="1">
      <c r="B52" s="2" t="s">
        <v>175</v>
      </c>
      <c r="C52" s="2" t="s">
        <v>176</v>
      </c>
      <c r="D52" s="2" t="s">
        <v>27</v>
      </c>
      <c r="E52" s="2" t="s">
        <v>14</v>
      </c>
      <c r="F52" s="2" t="s">
        <v>15</v>
      </c>
      <c r="G52" s="2" t="s">
        <v>177</v>
      </c>
      <c r="H52" s="2" t="s">
        <v>174</v>
      </c>
      <c r="I52" s="2" t="str">
        <f>IFERROR(__xludf.DUMMYFUNCTION("GOOGLETRANSLATE(C52,""fr"",""en"")"),"I don't really have an opinion, my mutual is the compulsory work, I am satisfied so far. For the price, I have not looked elsewhere.")</f>
        <v>I don't really have an opinion, my mutual is the compulsory work, I am satisfied so far. For the price, I have not looked elsewhere.</v>
      </c>
    </row>
    <row r="53" ht="15.75" customHeight="1">
      <c r="B53" s="2" t="s">
        <v>178</v>
      </c>
      <c r="C53" s="2" t="s">
        <v>179</v>
      </c>
      <c r="D53" s="2" t="s">
        <v>27</v>
      </c>
      <c r="E53" s="2" t="s">
        <v>14</v>
      </c>
      <c r="F53" s="2" t="s">
        <v>15</v>
      </c>
      <c r="G53" s="2" t="s">
        <v>180</v>
      </c>
      <c r="H53" s="2" t="s">
        <v>174</v>
      </c>
      <c r="I53" s="2" t="str">
        <f>IFERROR(__xludf.DUMMYFUNCTION("GOOGLETRANSLATE(C53,""fr"",""en"")"),"Satisfied with the availability of online advisers.
Health insurance taken through my employer who satisfies me at the moment in relation to my expenses")</f>
        <v>Satisfied with the availability of online advisers.
Health insurance taken through my employer who satisfies me at the moment in relation to my expenses</v>
      </c>
    </row>
    <row r="54" ht="15.75" customHeight="1">
      <c r="B54" s="2" t="s">
        <v>181</v>
      </c>
      <c r="C54" s="2" t="s">
        <v>182</v>
      </c>
      <c r="D54" s="2" t="s">
        <v>27</v>
      </c>
      <c r="E54" s="2" t="s">
        <v>14</v>
      </c>
      <c r="F54" s="2" t="s">
        <v>15</v>
      </c>
      <c r="G54" s="2" t="s">
        <v>183</v>
      </c>
      <c r="H54" s="2" t="s">
        <v>174</v>
      </c>
      <c r="I54" s="2" t="str">
        <f>IFERROR(__xludf.DUMMYFUNCTION("GOOGLETRANSLATE(C54,""fr"",""en"")"),"Each call is fast and very precise, the advisers are attentive and clearly answer all the questions asked, the follow -up is perfect. Refunds are fast.
I am very satisfied !")</f>
        <v>Each call is fast and very precise, the advisers are attentive and clearly answer all the questions asked, the follow -up is perfect. Refunds are fast.
I am very satisfied !</v>
      </c>
    </row>
    <row r="55" ht="15.75" customHeight="1">
      <c r="B55" s="2" t="s">
        <v>184</v>
      </c>
      <c r="C55" s="2" t="s">
        <v>185</v>
      </c>
      <c r="D55" s="2" t="s">
        <v>27</v>
      </c>
      <c r="E55" s="2" t="s">
        <v>14</v>
      </c>
      <c r="F55" s="2" t="s">
        <v>15</v>
      </c>
      <c r="G55" s="2" t="s">
        <v>186</v>
      </c>
      <c r="H55" s="2" t="s">
        <v>174</v>
      </c>
      <c r="I55" s="2" t="str">
        <f>IFERROR(__xludf.DUMMYFUNCTION("GOOGLETRANSLATE(C55,""fr"",""en"")"),"Good mutual, reimbursements are made quickly, pleasant telephone reception.
Contacts by email are fluid and the answers within 24 to 48 hours. Thank you")</f>
        <v>Good mutual, reimbursements are made quickly, pleasant telephone reception.
Contacts by email are fluid and the answers within 24 to 48 hours. Thank you</v>
      </c>
    </row>
    <row r="56" ht="15.75" customHeight="1">
      <c r="B56" s="2" t="s">
        <v>187</v>
      </c>
      <c r="C56" s="2" t="s">
        <v>188</v>
      </c>
      <c r="D56" s="2" t="s">
        <v>27</v>
      </c>
      <c r="E56" s="2" t="s">
        <v>14</v>
      </c>
      <c r="F56" s="2" t="s">
        <v>15</v>
      </c>
      <c r="G56" s="2" t="s">
        <v>189</v>
      </c>
      <c r="H56" s="2" t="s">
        <v>174</v>
      </c>
      <c r="I56" s="2" t="str">
        <f>IFERROR(__xludf.DUMMYFUNCTION("GOOGLETRANSLATE(C56,""fr"",""en"")"),"Good care overall whether it is dental, optics ...
The quotes are treated quickly and the staff online and very pleasant.
I recommend generation")</f>
        <v>Good care overall whether it is dental, optics ...
The quotes are treated quickly and the staff online and very pleasant.
I recommend generation</v>
      </c>
    </row>
    <row r="57" ht="15.75" customHeight="1">
      <c r="B57" s="2" t="s">
        <v>190</v>
      </c>
      <c r="C57" s="2" t="s">
        <v>191</v>
      </c>
      <c r="D57" s="2" t="s">
        <v>27</v>
      </c>
      <c r="E57" s="2" t="s">
        <v>14</v>
      </c>
      <c r="F57" s="2" t="s">
        <v>15</v>
      </c>
      <c r="G57" s="2" t="s">
        <v>192</v>
      </c>
      <c r="H57" s="2" t="s">
        <v>174</v>
      </c>
      <c r="I57" s="2" t="str">
        <f>IFERROR(__xludf.DUMMYFUNCTION("GOOGLETRANSLATE(C57,""fr"",""en"")"),"I am happy with of Anaelle who am who recognizes me on the phone I had concerns with the sending of but invoice but Anaëlle takes care of me so I wait a little is it to settle thank you to you")</f>
        <v>I am happy with of Anaelle who am who recognizes me on the phone I had concerns with the sending of but invoice but Anaëlle takes care of me so I wait a little is it to settle thank you to you</v>
      </c>
    </row>
    <row r="58" ht="15.75" customHeight="1">
      <c r="B58" s="2" t="s">
        <v>193</v>
      </c>
      <c r="C58" s="2" t="s">
        <v>194</v>
      </c>
      <c r="D58" s="2" t="s">
        <v>27</v>
      </c>
      <c r="E58" s="2" t="s">
        <v>14</v>
      </c>
      <c r="F58" s="2" t="s">
        <v>15</v>
      </c>
      <c r="G58" s="2" t="s">
        <v>195</v>
      </c>
      <c r="H58" s="2" t="s">
        <v>196</v>
      </c>
      <c r="I58" s="2" t="str">
        <f>IFERROR(__xludf.DUMMYFUNCTION("GOOGLETRANSLATE(C58,""fr"",""en"")"),"Insured before at MGEN, we are very satisfied with the services and prices performed at Génération.
Completely satisfied, I could easily advise a member of my family to join you")</f>
        <v>Insured before at MGEN, we are very satisfied with the services and prices performed at Génération.
Completely satisfied, I could easily advise a member of my family to join you</v>
      </c>
    </row>
    <row r="59" ht="15.75" customHeight="1">
      <c r="B59" s="2" t="s">
        <v>197</v>
      </c>
      <c r="C59" s="2" t="s">
        <v>198</v>
      </c>
      <c r="D59" s="2" t="s">
        <v>27</v>
      </c>
      <c r="E59" s="2" t="s">
        <v>14</v>
      </c>
      <c r="F59" s="2" t="s">
        <v>15</v>
      </c>
      <c r="G59" s="2" t="s">
        <v>199</v>
      </c>
      <c r="H59" s="2" t="s">
        <v>196</v>
      </c>
      <c r="I59" s="2" t="str">
        <f>IFERROR(__xludf.DUMMYFUNCTION("GOOGLETRANSLATE(C59,""fr"",""en"")"),"Very professional, very little waiting period, very kind advisor, each time I had to reach by phone never disappointed the services")</f>
        <v>Very professional, very little waiting period, very kind advisor, each time I had to reach by phone never disappointed the services</v>
      </c>
    </row>
    <row r="60" ht="15.75" customHeight="1">
      <c r="B60" s="2" t="s">
        <v>200</v>
      </c>
      <c r="C60" s="2" t="s">
        <v>201</v>
      </c>
      <c r="D60" s="2" t="s">
        <v>27</v>
      </c>
      <c r="E60" s="2" t="s">
        <v>14</v>
      </c>
      <c r="F60" s="2" t="s">
        <v>15</v>
      </c>
      <c r="G60" s="2" t="s">
        <v>202</v>
      </c>
      <c r="H60" s="2" t="s">
        <v>203</v>
      </c>
      <c r="I60" s="2" t="str">
        <f>IFERROR(__xludf.DUMMYFUNCTION("GOOGLETRANSLATE(C60,""fr"",""en"")"),"
I await the reimbursement of contributions unduly paid !!! I sent registered letter with AR, no answer! I have called several times, nobody is able to give me an answer ... always the same: the colleague of the service concerned will call you ... never "&amp;"back !!!!
")</f>
        <v>
I await the reimbursement of contributions unduly paid !!! I sent registered letter with AR, no answer! I have called several times, nobody is able to give me an answer ... always the same: the colleague of the service concerned will call you ... never back !!!!
</v>
      </c>
    </row>
    <row r="61" ht="15.75" customHeight="1">
      <c r="B61" s="2" t="s">
        <v>204</v>
      </c>
      <c r="C61" s="2" t="s">
        <v>205</v>
      </c>
      <c r="D61" s="2" t="s">
        <v>27</v>
      </c>
      <c r="E61" s="2" t="s">
        <v>14</v>
      </c>
      <c r="F61" s="2" t="s">
        <v>15</v>
      </c>
      <c r="G61" s="2" t="s">
        <v>206</v>
      </c>
      <c r="H61" s="2" t="s">
        <v>203</v>
      </c>
      <c r="I61" s="2" t="str">
        <f>IFERROR(__xludf.DUMMYFUNCTION("GOOGLETRANSLATE(C61,""fr"",""en"")"),"Customer service &amp; Ethics really limits, after having subscribed to this mutual by my former employer, and finding myself unemployed compensated by Pôle Emploi, I had called customer service to ask them what the procedures were for continuity of subscript"&amp;"ion to the mutual during my unemployment period. The television had indicated to me where to join my pole employment certificate and my request via the site, following which they levied to me 216 euros 54, considering that I had to charge the employer par"&amp;"t + the share employed without ever asking me My agreement (I think they hadn't even taken into account made me compensated by Pôle Emploi, when I had transmitted the exact certificate that the telecontrol had indicated to me) then it was the Cross and th"&amp;"e banner and a period of more than 3 months to be reimbursed for 216 euros, all because they asked me to reimburse 14 euros which had been reimbursed to me, via check by post (they did not offer me Not even the transfer so that it is faster during the COV"&amp;"ID 19, or to reimburse me only 202 euros out of the 216 they owed me).")</f>
        <v>Customer service &amp; Ethics really limits, after having subscribed to this mutual by my former employer, and finding myself unemployed compensated by Pôle Emploi, I had called customer service to ask them what the procedures were for continuity of subscription to the mutual during my unemployment period. The television had indicated to me where to join my pole employment certificate and my request via the site, following which they levied to me 216 euros 54, considering that I had to charge the employer part + the share employed without ever asking me My agreement (I think they hadn't even taken into account made me compensated by Pôle Emploi, when I had transmitted the exact certificate that the telecontrol had indicated to me) then it was the Cross and the banner and a period of more than 3 months to be reimbursed for 216 euros, all because they asked me to reimburse 14 euros which had been reimbursed to me, via check by post (they did not offer me Not even the transfer so that it is faster during the COVID 19, or to reimburse me only 202 euros out of the 216 they owed me).</v>
      </c>
    </row>
    <row r="62" ht="15.75" customHeight="1">
      <c r="B62" s="2" t="s">
        <v>207</v>
      </c>
      <c r="C62" s="2" t="s">
        <v>208</v>
      </c>
      <c r="D62" s="2" t="s">
        <v>27</v>
      </c>
      <c r="E62" s="2" t="s">
        <v>14</v>
      </c>
      <c r="F62" s="2" t="s">
        <v>15</v>
      </c>
      <c r="G62" s="2" t="s">
        <v>209</v>
      </c>
      <c r="H62" s="2" t="s">
        <v>210</v>
      </c>
      <c r="I62" s="2" t="str">
        <f>IFERROR(__xludf.DUMMYFUNCTION("GOOGLETRANSLATE(C62,""fr"",""en"")"),"Great difficulty in terminating the contract. We are asked for various supporting documents. We provide them. New requests are made from them. Their continuing sample ... to flee.")</f>
        <v>Great difficulty in terminating the contract. We are asked for various supporting documents. We provide them. New requests are made from them. Their continuing sample ... to flee.</v>
      </c>
    </row>
    <row r="63" ht="15.75" customHeight="1">
      <c r="B63" s="2" t="s">
        <v>211</v>
      </c>
      <c r="C63" s="2" t="s">
        <v>212</v>
      </c>
      <c r="D63" s="2" t="s">
        <v>27</v>
      </c>
      <c r="E63" s="2" t="s">
        <v>14</v>
      </c>
      <c r="F63" s="2" t="s">
        <v>15</v>
      </c>
      <c r="G63" s="2" t="s">
        <v>213</v>
      </c>
      <c r="H63" s="2" t="s">
        <v>214</v>
      </c>
      <c r="I63" s="2" t="str">
        <f>IFERROR(__xludf.DUMMYFUNCTION("GOOGLETRANSLATE(C63,""fr"",""en"")"),"Very disapointed")</f>
        <v>Very disapointed</v>
      </c>
    </row>
    <row r="64" ht="15.75" customHeight="1">
      <c r="B64" s="2" t="s">
        <v>215</v>
      </c>
      <c r="C64" s="2" t="s">
        <v>216</v>
      </c>
      <c r="D64" s="2" t="s">
        <v>27</v>
      </c>
      <c r="E64" s="2" t="s">
        <v>14</v>
      </c>
      <c r="F64" s="2" t="s">
        <v>15</v>
      </c>
      <c r="G64" s="2" t="s">
        <v>217</v>
      </c>
      <c r="H64" s="2" t="s">
        <v>218</v>
      </c>
      <c r="I64" s="2" t="str">
        <f>IFERROR(__xludf.DUMMYFUNCTION("GOOGLETRANSLATE(C64,""fr"",""en"")"),"I do not recommend subscribing to this mutual. I pay a fortune (about $ 50 per month) so that they don't even reimburse me half the care I take. Even after I left this mutual, generation sends me letters saying that I owe them $ 10, then $ 20 and after $ "&amp;"39 etc ... because of a so -called mistake of their shares. I find it disgusting (excuse me for using this term but it is the only word I can say) to take us for fools in order to earn money in the back. To take advantage of people with 3 charges. I find "&amp;"it all scandalous on your part. I now understand why it is so badly noted.")</f>
        <v>I do not recommend subscribing to this mutual. I pay a fortune (about $ 50 per month) so that they don't even reimburse me half the care I take. Even after I left this mutual, generation sends me letters saying that I owe them $ 10, then $ 20 and after $ 39 etc ... because of a so -called mistake of their shares. I find it disgusting (excuse me for using this term but it is the only word I can say) to take us for fools in order to earn money in the back. To take advantage of people with 3 charges. I find it all scandalous on your part. I now understand why it is so badly noted.</v>
      </c>
    </row>
    <row r="65" ht="15.75" customHeight="1">
      <c r="B65" s="2" t="s">
        <v>219</v>
      </c>
      <c r="C65" s="2" t="s">
        <v>220</v>
      </c>
      <c r="D65" s="2" t="s">
        <v>27</v>
      </c>
      <c r="E65" s="2" t="s">
        <v>14</v>
      </c>
      <c r="F65" s="2" t="s">
        <v>15</v>
      </c>
      <c r="G65" s="2" t="s">
        <v>221</v>
      </c>
      <c r="H65" s="2" t="s">
        <v>222</v>
      </c>
      <c r="I65" s="2" t="str">
        <f>IFERROR(__xludf.DUMMYFUNCTION("GOOGLETRANSLATE(C65,""fr"",""en"")"),"Well reimbursed as my optician confirmed to me unlike other mutuals")</f>
        <v>Well reimbursed as my optician confirmed to me unlike other mutuals</v>
      </c>
    </row>
    <row r="66" ht="15.75" customHeight="1">
      <c r="B66" s="2" t="s">
        <v>223</v>
      </c>
      <c r="C66" s="2" t="s">
        <v>224</v>
      </c>
      <c r="D66" s="2" t="s">
        <v>27</v>
      </c>
      <c r="E66" s="2" t="s">
        <v>14</v>
      </c>
      <c r="F66" s="2" t="s">
        <v>15</v>
      </c>
      <c r="G66" s="2" t="s">
        <v>225</v>
      </c>
      <c r="H66" s="2" t="s">
        <v>222</v>
      </c>
      <c r="I66" s="2" t="str">
        <f>IFERROR(__xludf.DUMMYFUNCTION("GOOGLETRANSLATE(C66,""fr"",""en"")"),"Flee are completely incompetent, non -existent customer service !!! unable to send the care rates for more than a month, supposedly the new reform !!!!! It should be anticipated for several months .....")</f>
        <v>Flee are completely incompetent, non -existent customer service !!! unable to send the care rates for more than a month, supposedly the new reform !!!!! It should be anticipated for several months .....</v>
      </c>
    </row>
    <row r="67" ht="15.75" customHeight="1">
      <c r="B67" s="2" t="s">
        <v>226</v>
      </c>
      <c r="C67" s="2" t="s">
        <v>227</v>
      </c>
      <c r="D67" s="2" t="s">
        <v>27</v>
      </c>
      <c r="E67" s="2" t="s">
        <v>14</v>
      </c>
      <c r="F67" s="2" t="s">
        <v>15</v>
      </c>
      <c r="G67" s="2" t="s">
        <v>228</v>
      </c>
      <c r="H67" s="2" t="s">
        <v>222</v>
      </c>
      <c r="I67" s="2" t="str">
        <f>IFERROR(__xludf.DUMMYFUNCTION("GOOGLETRANSLATE(C67,""fr"",""en"")"),"Mutual to flee because they are zero and do not react quickly to problems on the other hand they always create them")</f>
        <v>Mutual to flee because they are zero and do not react quickly to problems on the other hand they always create them</v>
      </c>
    </row>
    <row r="68" ht="15.75" customHeight="1">
      <c r="B68" s="2" t="s">
        <v>229</v>
      </c>
      <c r="C68" s="2" t="s">
        <v>230</v>
      </c>
      <c r="D68" s="2" t="s">
        <v>27</v>
      </c>
      <c r="E68" s="2" t="s">
        <v>14</v>
      </c>
      <c r="F68" s="2" t="s">
        <v>15</v>
      </c>
      <c r="G68" s="2" t="s">
        <v>231</v>
      </c>
      <c r="H68" s="2" t="s">
        <v>232</v>
      </c>
      <c r="I68" s="2" t="str">
        <f>IFERROR(__xludf.DUMMYFUNCTION("GOOGLETRANSLATE(C68,""fr"",""en"")"),"Super experience, Generation helped me a lot and they are very responsive on the phone when I try to reach them. I highly recommend their service and the quality of the interlocutors is very appreciated.")</f>
        <v>Super experience, Generation helped me a lot and they are very responsive on the phone when I try to reach them. I highly recommend their service and the quality of the interlocutors is very appreciated.</v>
      </c>
    </row>
    <row r="69" ht="15.75" customHeight="1">
      <c r="B69" s="2" t="s">
        <v>233</v>
      </c>
      <c r="C69" s="2" t="s">
        <v>234</v>
      </c>
      <c r="D69" s="2" t="s">
        <v>27</v>
      </c>
      <c r="E69" s="2" t="s">
        <v>14</v>
      </c>
      <c r="F69" s="2" t="s">
        <v>15</v>
      </c>
      <c r="G69" s="2" t="s">
        <v>235</v>
      </c>
      <c r="H69" s="2" t="s">
        <v>236</v>
      </c>
      <c r="I69" s="2" t="str">
        <f>IFERROR(__xludf.DUMMYFUNCTION("GOOGLETRANSLATE(C69,""fr"",""en"")"),"Hello,
I had taken the mutual insurance company on 04/12/2017, since 04/24/2019 I resigned from the company.
I sent many mails by explaining my case and putting supporting documents by telling them that I am no longer part of Leclerc Rambouillet's wor"&amp;"kforce
This morning, I had a very nice gentleman who explained to me that they had received my letters well by explaining that I terminate my contract with them. He tells me that without a work certificate provided they cannot terminate.
Since April"&amp;" 24, 2019, I have been fighting with this company to have all my documents
I find his very disappointing not to be able to do anything.
A mutual that I strongly advise against
")</f>
        <v>Hello,
I had taken the mutual insurance company on 04/12/2017, since 04/24/2019 I resigned from the company.
I sent many mails by explaining my case and putting supporting documents by telling them that I am no longer part of Leclerc Rambouillet's workforce
This morning, I had a very nice gentleman who explained to me that they had received my letters well by explaining that I terminate my contract with them. He tells me that without a work certificate provided they cannot terminate.
Since April 24, 2019, I have been fighting with this company to have all my documents
I find his very disappointing not to be able to do anything.
A mutual that I strongly advise against
</v>
      </c>
    </row>
    <row r="70" ht="15.75" customHeight="1">
      <c r="B70" s="2" t="s">
        <v>237</v>
      </c>
      <c r="C70" s="2" t="s">
        <v>238</v>
      </c>
      <c r="D70" s="2" t="s">
        <v>27</v>
      </c>
      <c r="E70" s="2" t="s">
        <v>14</v>
      </c>
      <c r="F70" s="2" t="s">
        <v>15</v>
      </c>
      <c r="G70" s="2" t="s">
        <v>235</v>
      </c>
      <c r="H70" s="2" t="s">
        <v>236</v>
      </c>
      <c r="I70" s="2" t="str">
        <f>IFERROR(__xludf.DUMMYFUNCTION("GOOGLETRANSLATE(C70,""fr"",""en"")"),"Several requests for reimbursement in suffering, nothing has been advancing for several weeks.
I opened several requests to climb my problems by checking the ""dissatisfied"" box, which is useless, just to make believe for a moment that it will allow the"&amp;" problem to be solved.
Generation, a mutual like so many others, reimburses ultra slowly, a source of dissatisfaction
As ""not terrible"" as the others, but with a website and a mobile app to make you hope. Fatigue")</f>
        <v>Several requests for reimbursement in suffering, nothing has been advancing for several weeks.
I opened several requests to climb my problems by checking the "dissatisfied" box, which is useless, just to make believe for a moment that it will allow the problem to be solved.
Generation, a mutual like so many others, reimburses ultra slowly, a source of dissatisfaction
As "not terrible" as the others, but with a website and a mobile app to make you hope. Fatigue</v>
      </c>
    </row>
    <row r="71" ht="15.75" customHeight="1">
      <c r="B71" s="2" t="s">
        <v>239</v>
      </c>
      <c r="C71" s="2" t="s">
        <v>240</v>
      </c>
      <c r="D71" s="2" t="s">
        <v>27</v>
      </c>
      <c r="E71" s="2" t="s">
        <v>14</v>
      </c>
      <c r="F71" s="2" t="s">
        <v>15</v>
      </c>
      <c r="G71" s="2" t="s">
        <v>236</v>
      </c>
      <c r="H71" s="2" t="s">
        <v>236</v>
      </c>
      <c r="I71" s="2" t="str">
        <f>IFERROR(__xludf.DUMMYFUNCTION("GOOGLETRANSLATE(C71,""fr"",""en"")"),"We have been contacting to be reimbursed, for two months no refund, the teletransmission not done either. Really a disaster. Person finds a solution. Not possible, it's always the same we call and always a different person that nothing does not answer to "&amp;"do. It is shameful!!!!")</f>
        <v>We have been contacting to be reimbursed, for two months no refund, the teletransmission not done either. Really a disaster. Person finds a solution. Not possible, it's always the same we call and always a different person that nothing does not answer to do. It is shameful!!!!</v>
      </c>
    </row>
    <row r="72" ht="15.75" customHeight="1">
      <c r="B72" s="2" t="s">
        <v>241</v>
      </c>
      <c r="C72" s="2" t="s">
        <v>242</v>
      </c>
      <c r="D72" s="2" t="s">
        <v>27</v>
      </c>
      <c r="E72" s="2" t="s">
        <v>14</v>
      </c>
      <c r="F72" s="2" t="s">
        <v>15</v>
      </c>
      <c r="G72" s="2" t="s">
        <v>243</v>
      </c>
      <c r="H72" s="2" t="s">
        <v>244</v>
      </c>
      <c r="I72" s="2" t="str">
        <f>IFERROR(__xludf.DUMMYFUNCTION("GOOGLETRANSLATE(C72,""fr"",""en"")"),"A disaster, more than 4 months that no refund was made to me, I have sent the social security and invoice statement, there is always a problem, more than 2 weeks to receive an answer to the email. Strongly the end of the year I terminate this mutual!")</f>
        <v>A disaster, more than 4 months that no refund was made to me, I have sent the social security and invoice statement, there is always a problem, more than 2 weeks to receive an answer to the email. Strongly the end of the year I terminate this mutual!</v>
      </c>
    </row>
    <row r="73" ht="15.75" customHeight="1">
      <c r="B73" s="2" t="s">
        <v>245</v>
      </c>
      <c r="C73" s="2" t="s">
        <v>246</v>
      </c>
      <c r="D73" s="2" t="s">
        <v>27</v>
      </c>
      <c r="E73" s="2" t="s">
        <v>14</v>
      </c>
      <c r="F73" s="2" t="s">
        <v>15</v>
      </c>
      <c r="G73" s="2" t="s">
        <v>247</v>
      </c>
      <c r="H73" s="2" t="s">
        <v>248</v>
      </c>
      <c r="I73" s="2" t="str">
        <f>IFERROR(__xludf.DUMMYFUNCTION("GOOGLETRANSLATE(C73,""fr"",""en"")"),"Irresponsible time for the establishment of a Group Evin Law Group Exit contract, since I am walking from service to service by telling me that the necessary will be done but it will be 2 weeks and I still have not had a return on their part, even though "&amp;"it is a legal obligation for people in disability, like me")</f>
        <v>Irresponsible time for the establishment of a Group Evin Law Group Exit contract, since I am walking from service to service by telling me that the necessary will be done but it will be 2 weeks and I still have not had a return on their part, even though it is a legal obligation for people in disability, like me</v>
      </c>
    </row>
    <row r="74" ht="15.75" customHeight="1">
      <c r="B74" s="2" t="s">
        <v>249</v>
      </c>
      <c r="C74" s="2" t="s">
        <v>250</v>
      </c>
      <c r="D74" s="2" t="s">
        <v>27</v>
      </c>
      <c r="E74" s="2" t="s">
        <v>14</v>
      </c>
      <c r="F74" s="2" t="s">
        <v>15</v>
      </c>
      <c r="G74" s="2" t="s">
        <v>251</v>
      </c>
      <c r="H74" s="2" t="s">
        <v>252</v>
      </c>
      <c r="I74" s="2" t="str">
        <f>IFERROR(__xludf.DUMMYFUNCTION("GOOGLETRANSLATE(C74,""fr"",""en"")"),"I am not at all satisfied with the service, I had sent more mail via their platform, to claim a refund, always unanswered.
By phone it's even worse")</f>
        <v>I am not at all satisfied with the service, I had sent more mail via their platform, to claim a refund, always unanswered.
By phone it's even worse</v>
      </c>
    </row>
    <row r="75" ht="15.75" customHeight="1">
      <c r="B75" s="2" t="s">
        <v>253</v>
      </c>
      <c r="C75" s="2" t="s">
        <v>254</v>
      </c>
      <c r="D75" s="2" t="s">
        <v>27</v>
      </c>
      <c r="E75" s="2" t="s">
        <v>14</v>
      </c>
      <c r="F75" s="2" t="s">
        <v>15</v>
      </c>
      <c r="G75" s="2" t="s">
        <v>255</v>
      </c>
      <c r="H75" s="2" t="s">
        <v>256</v>
      </c>
      <c r="I75" s="2" t="str">
        <f>IFERROR(__xludf.DUMMYFUNCTION("GOOGLETRANSLATE(C75,""fr"",""en"")"),"This mutual insurance company was imposed on me with the new law. Contributions with the maximum option are correct. I have an invoice of 1920 euros for the installation of two dental prostheses and there are 950 euros at my social security charge include"&amp;"d. If you are offered several mutuals, forget that one.")</f>
        <v>This mutual insurance company was imposed on me with the new law. Contributions with the maximum option are correct. I have an invoice of 1920 euros for the installation of two dental prostheses and there are 950 euros at my social security charge included. If you are offered several mutuals, forget that one.</v>
      </c>
    </row>
    <row r="76" ht="15.75" customHeight="1">
      <c r="B76" s="2" t="s">
        <v>257</v>
      </c>
      <c r="C76" s="2" t="s">
        <v>258</v>
      </c>
      <c r="D76" s="2" t="s">
        <v>27</v>
      </c>
      <c r="E76" s="2" t="s">
        <v>14</v>
      </c>
      <c r="F76" s="2" t="s">
        <v>15</v>
      </c>
      <c r="G76" s="2" t="s">
        <v>259</v>
      </c>
      <c r="H76" s="2" t="s">
        <v>260</v>
      </c>
      <c r="I76" s="2" t="str">
        <f>IFERROR(__xludf.DUMMYFUNCTION("GOOGLETRANSLATE(C76,""fr"",""en"")"),"To be fleeing absolutely !!!!! if you are told that a contract of less than a year is possible, it is not true. I find myself paying 2 mutuals. In addition when you want to terminate the information is not found on the site. And in the event of terminatio"&amp;"n to join a mandatory mutual, do it within 3 months of the start of the contract.")</f>
        <v>To be fleeing absolutely !!!!! if you are told that a contract of less than a year is possible, it is not true. I find myself paying 2 mutuals. In addition when you want to terminate the information is not found on the site. And in the event of termination to join a mandatory mutual, do it within 3 months of the start of the contract.</v>
      </c>
    </row>
    <row r="77" ht="15.75" customHeight="1">
      <c r="B77" s="2" t="s">
        <v>261</v>
      </c>
      <c r="C77" s="2" t="s">
        <v>262</v>
      </c>
      <c r="D77" s="2" t="s">
        <v>27</v>
      </c>
      <c r="E77" s="2" t="s">
        <v>14</v>
      </c>
      <c r="F77" s="2" t="s">
        <v>15</v>
      </c>
      <c r="G77" s="2" t="s">
        <v>263</v>
      </c>
      <c r="H77" s="2" t="s">
        <v>264</v>
      </c>
      <c r="I77" s="2" t="str">
        <f>IFERROR(__xludf.DUMMYFUNCTION("GOOGLETRANSLATE(C77,""fr"",""en"")"),"At the start of the year, they are overwhelmed, compared to ski accidents etc ... So the reimbursement times are very long. I sent proof mid February, I just called them, I will not be reimbursed before early April (minimum).")</f>
        <v>At the start of the year, they are overwhelmed, compared to ski accidents etc ... So the reimbursement times are very long. I sent proof mid February, I just called them, I will not be reimbursed before early April (minimum).</v>
      </c>
    </row>
    <row r="78" ht="15.75" customHeight="1">
      <c r="B78" s="2" t="s">
        <v>265</v>
      </c>
      <c r="C78" s="2" t="s">
        <v>266</v>
      </c>
      <c r="D78" s="2" t="s">
        <v>27</v>
      </c>
      <c r="E78" s="2" t="s">
        <v>14</v>
      </c>
      <c r="F78" s="2" t="s">
        <v>15</v>
      </c>
      <c r="G78" s="2" t="s">
        <v>267</v>
      </c>
      <c r="H78" s="2" t="s">
        <v>264</v>
      </c>
      <c r="I78" s="2" t="str">
        <f>IFERROR(__xludf.DUMMYFUNCTION("GOOGLETRANSLATE(C78,""fr"",""en"")"),"Very bad mutual, advisers without skills, monthly payments dear for the services it offers, reimbursements becoming ridiculous, to flee !!!!")</f>
        <v>Very bad mutual, advisers without skills, monthly payments dear for the services it offers, reimbursements becoming ridiculous, to flee !!!!</v>
      </c>
    </row>
    <row r="79" ht="15.75" customHeight="1">
      <c r="B79" s="2" t="s">
        <v>268</v>
      </c>
      <c r="C79" s="2" t="s">
        <v>269</v>
      </c>
      <c r="D79" s="2" t="s">
        <v>27</v>
      </c>
      <c r="E79" s="2" t="s">
        <v>14</v>
      </c>
      <c r="F79" s="2" t="s">
        <v>15</v>
      </c>
      <c r="G79" s="2" t="s">
        <v>270</v>
      </c>
      <c r="H79" s="2" t="s">
        <v>264</v>
      </c>
      <c r="I79" s="2" t="str">
        <f>IFERROR(__xludf.DUMMYFUNCTION("GOOGLETRANSLATE(C79,""fr"",""en"")"),"A real disaster. Not a refund since 01/01/2018, date of the adhesion of my employer. The mutual is still not known to the general regime despite my efforts. Not a refund to date on my care. In short, not an answer to my requests, not a euro received.")</f>
        <v>A real disaster. Not a refund since 01/01/2018, date of the adhesion of my employer. The mutual is still not known to the general regime despite my efforts. Not a refund to date on my care. In short, not an answer to my requests, not a euro received.</v>
      </c>
    </row>
    <row r="80" ht="15.75" customHeight="1">
      <c r="B80" s="2" t="s">
        <v>271</v>
      </c>
      <c r="C80" s="2" t="s">
        <v>272</v>
      </c>
      <c r="D80" s="2" t="s">
        <v>27</v>
      </c>
      <c r="E80" s="2" t="s">
        <v>14</v>
      </c>
      <c r="F80" s="2" t="s">
        <v>15</v>
      </c>
      <c r="G80" s="2" t="s">
        <v>273</v>
      </c>
      <c r="H80" s="2" t="s">
        <v>264</v>
      </c>
      <c r="I80" s="2" t="str">
        <f>IFERROR(__xludf.DUMMYFUNCTION("GOOGLETRANSLATE(C80,""fr"",""en"")"),"This is the mutual of my partner to which I am attached. As far as I am concerned, the level of guarantees is very good (for example, reimbursement, with limits, osteopathy or adult orthodontics). Contrary to what I have read, we come relatively easily to"&amp;" reach someone (number not surcharged). The processing time for requests or reimbursements is entirely acceptable (between 3 and 5 days for an answer or be reimbursed from the sending of the proof). The interface of the site deserves a facelift but it is,"&amp;" for the moment, the only thing that I have to blame this mutual.")</f>
        <v>This is the mutual of my partner to which I am attached. As far as I am concerned, the level of guarantees is very good (for example, reimbursement, with limits, osteopathy or adult orthodontics). Contrary to what I have read, we come relatively easily to reach someone (number not surcharged). The processing time for requests or reimbursements is entirely acceptable (between 3 and 5 days for an answer or be reimbursed from the sending of the proof). The interface of the site deserves a facelift but it is, for the moment, the only thing that I have to blame this mutual.</v>
      </c>
    </row>
    <row r="81" ht="15.75" customHeight="1">
      <c r="B81" s="2" t="s">
        <v>274</v>
      </c>
      <c r="C81" s="2" t="s">
        <v>275</v>
      </c>
      <c r="D81" s="2" t="s">
        <v>27</v>
      </c>
      <c r="E81" s="2" t="s">
        <v>14</v>
      </c>
      <c r="F81" s="2" t="s">
        <v>15</v>
      </c>
      <c r="G81" s="2" t="s">
        <v>276</v>
      </c>
      <c r="H81" s="2" t="s">
        <v>277</v>
      </c>
      <c r="I81" s="2" t="str">
        <f>IFERROR(__xludf.DUMMYFUNCTION("GOOGLETRANSLATE(C81,""fr"",""en"")"),"More than 3 weeks that I expect to reimburse my optical costs (lentils)! By phone, we are late, given the price of this mutual, it's unacceptable! Fed up. They rarely respond to messages!")</f>
        <v>More than 3 weeks that I expect to reimburse my optical costs (lentils)! By phone, we are late, given the price of this mutual, it's unacceptable! Fed up. They rarely respond to messages!</v>
      </c>
    </row>
    <row r="82" ht="15.75" customHeight="1">
      <c r="B82" s="2" t="s">
        <v>278</v>
      </c>
      <c r="C82" s="2" t="s">
        <v>279</v>
      </c>
      <c r="D82" s="2" t="s">
        <v>27</v>
      </c>
      <c r="E82" s="2" t="s">
        <v>14</v>
      </c>
      <c r="F82" s="2" t="s">
        <v>15</v>
      </c>
      <c r="G82" s="2" t="s">
        <v>280</v>
      </c>
      <c r="H82" s="2" t="s">
        <v>277</v>
      </c>
      <c r="I82" s="2" t="str">
        <f>IFERROR(__xludf.DUMMYFUNCTION("GOOGLETRANSLATE(C82,""fr"",""en"")"),"To flee.")</f>
        <v>To flee.</v>
      </c>
    </row>
    <row r="83" ht="15.75" customHeight="1">
      <c r="B83" s="2" t="s">
        <v>281</v>
      </c>
      <c r="C83" s="2" t="s">
        <v>282</v>
      </c>
      <c r="D83" s="2" t="s">
        <v>27</v>
      </c>
      <c r="E83" s="2" t="s">
        <v>14</v>
      </c>
      <c r="F83" s="2" t="s">
        <v>15</v>
      </c>
      <c r="G83" s="2" t="s">
        <v>283</v>
      </c>
      <c r="H83" s="2" t="s">
        <v>284</v>
      </c>
      <c r="I83" s="2" t="str">
        <f>IFERROR(__xludf.DUMMYFUNCTION("GOOGLETRANSLATE(C83,""fr"",""en"")"),"No, even scandalous. To date, I still haven't received my certificate, or even my member number and even less my internet identifiers. This very bad choice imposed by our society puts us in difficulty. Does this mutual insurance company really exist or ha"&amp;"s already went bankrupt? This mutual ghost is unreachable. I repeat: Simply scandalous, I really think of organizing a collective action and fileing a complaint.")</f>
        <v>No, even scandalous. To date, I still haven't received my certificate, or even my member number and even less my internet identifiers. This very bad choice imposed by our society puts us in difficulty. Does this mutual insurance company really exist or has already went bankrupt? This mutual ghost is unreachable. I repeat: Simply scandalous, I really think of organizing a collective action and fileing a complaint.</v>
      </c>
    </row>
    <row r="84" ht="15.75" customHeight="1">
      <c r="B84" s="2" t="s">
        <v>285</v>
      </c>
      <c r="C84" s="2" t="s">
        <v>286</v>
      </c>
      <c r="D84" s="2" t="s">
        <v>27</v>
      </c>
      <c r="E84" s="2" t="s">
        <v>14</v>
      </c>
      <c r="F84" s="2" t="s">
        <v>15</v>
      </c>
      <c r="G84" s="2" t="s">
        <v>287</v>
      </c>
      <c r="H84" s="2" t="s">
        <v>288</v>
      </c>
      <c r="I84" s="2" t="str">
        <f>IFERROR(__xludf.DUMMYFUNCTION("GOOGLETRANSLATE(C84,""fr"",""en"")"),"Mutual imposed by my employer with a contract without any relation to his side! To avoid, basic insurers ready to make cash on the back of the insured.")</f>
        <v>Mutual imposed by my employer with a contract without any relation to his side! To avoid, basic insurers ready to make cash on the back of the insured.</v>
      </c>
    </row>
    <row r="85" ht="15.75" customHeight="1">
      <c r="B85" s="2" t="s">
        <v>289</v>
      </c>
      <c r="C85" s="2" t="s">
        <v>290</v>
      </c>
      <c r="D85" s="2" t="s">
        <v>291</v>
      </c>
      <c r="E85" s="2" t="s">
        <v>14</v>
      </c>
      <c r="F85" s="2" t="s">
        <v>15</v>
      </c>
      <c r="G85" s="2" t="s">
        <v>292</v>
      </c>
      <c r="H85" s="2" t="s">
        <v>39</v>
      </c>
      <c r="I85" s="2" t="str">
        <f>IFERROR(__xludf.DUMMYFUNCTION("GOOGLETRANSLATE(C85,""fr"",""en"")"),"To flee, poor insurance and incompetent staff!
Insurance has struck me down without warning me in September, after a call to know how to proceed to be insured again the person announces a period of 8 weeks and that all the costs during this period will b"&amp;"e reimbursed.
Today we are 10 weeks from sending the elements requested to learn that I could not be insured, despite the many reminders in recent weeks people has not been able to tell me that I could not be insured
I had to go to another insurance wit"&amp;"h many medical costs which will never be reimbursed for me (generalist consultation, specialist consultation, pharmacy, analyzes ...)
")</f>
        <v>To flee, poor insurance and incompetent staff!
Insurance has struck me down without warning me in September, after a call to know how to proceed to be insured again the person announces a period of 8 weeks and that all the costs during this period will be reimbursed.
Today we are 10 weeks from sending the elements requested to learn that I could not be insured, despite the many reminders in recent weeks people has not been able to tell me that I could not be insured
I had to go to another insurance with many medical costs which will never be reimbursed for me (generalist consultation, specialist consultation, pharmacy, analyzes ...)
</v>
      </c>
    </row>
    <row r="86" ht="15.75" customHeight="1">
      <c r="B86" s="2" t="s">
        <v>293</v>
      </c>
      <c r="C86" s="2" t="s">
        <v>294</v>
      </c>
      <c r="D86" s="2" t="s">
        <v>291</v>
      </c>
      <c r="E86" s="2" t="s">
        <v>14</v>
      </c>
      <c r="F86" s="2" t="s">
        <v>15</v>
      </c>
      <c r="G86" s="2" t="s">
        <v>28</v>
      </c>
      <c r="H86" s="2" t="s">
        <v>29</v>
      </c>
      <c r="I86" s="2" t="str">
        <f>IFERROR(__xludf.DUMMYFUNCTION("GOOGLETRANSLATE(C86,""fr"",""en"")"),"RUN AWAY !!!
I have just learned that my daughter and I have been struck off for 2 months without having asked for it ...! It was through the security that I discovered this.
Not a letter, not an ag2r email !!! Yet I continue to be debited from my month"&amp;"ly payments.
At each interlocutor a version. (Following conversation with their services, yesterday I am told that my daughter was covered, not me. Today I am told that neither she nor I are covered ...) nobody knows who has makes this request. In any ca"&amp;"se, it's not me!
An afternoon past and no one knows.
We are therefore no longer covered by our healthy mutuals.
They must call me tomorrow because they don't understand ...
To be continued for this crazy story.")</f>
        <v>RUN AWAY !!!
I have just learned that my daughter and I have been struck off for 2 months without having asked for it ...! It was through the security that I discovered this.
Not a letter, not an ag2r email !!! Yet I continue to be debited from my monthly payments.
At each interlocutor a version. (Following conversation with their services, yesterday I am told that my daughter was covered, not me. Today I am told that neither she nor I are covered ...) nobody knows who has makes this request. In any case, it's not me!
An afternoon past and no one knows.
We are therefore no longer covered by our healthy mutuals.
They must call me tomorrow because they don't understand ...
To be continued for this crazy story.</v>
      </c>
    </row>
    <row r="87" ht="15.75" customHeight="1">
      <c r="B87" s="2" t="s">
        <v>295</v>
      </c>
      <c r="C87" s="2" t="s">
        <v>296</v>
      </c>
      <c r="D87" s="2" t="s">
        <v>291</v>
      </c>
      <c r="E87" s="2" t="s">
        <v>14</v>
      </c>
      <c r="F87" s="2" t="s">
        <v>15</v>
      </c>
      <c r="G87" s="2" t="s">
        <v>297</v>
      </c>
      <c r="H87" s="2" t="s">
        <v>43</v>
      </c>
      <c r="I87" s="2" t="str">
        <f>IFERROR(__xludf.DUMMYFUNCTION("GOOGLETRANSLATE(C87,""fr"",""en"")"),"This mutual is just shameful !!!
Two months that I expect to reimburse my optical costs! They have the reimbursement statement, the acquitted invoice, the medical prescription and the view card but that is not yet enough for them to reimburse! A real sha"&amp;"me to run the insured in this way! A real nightmare !! And when you ask by phone if all the papers are good I am answered that yes!
I will enter the mediator and be supported by an association which fights against this type of shameful practice!")</f>
        <v>This mutual is just shameful !!!
Two months that I expect to reimburse my optical costs! They have the reimbursement statement, the acquitted invoice, the medical prescription and the view card but that is not yet enough for them to reimburse! A real shame to run the insured in this way! A real nightmare !! And when you ask by phone if all the papers are good I am answered that yes!
I will enter the mediator and be supported by an association which fights against this type of shameful practice!</v>
      </c>
    </row>
    <row r="88" ht="15.75" customHeight="1">
      <c r="B88" s="2" t="s">
        <v>298</v>
      </c>
      <c r="C88" s="2" t="s">
        <v>299</v>
      </c>
      <c r="D88" s="2" t="s">
        <v>291</v>
      </c>
      <c r="E88" s="2" t="s">
        <v>14</v>
      </c>
      <c r="F88" s="2" t="s">
        <v>15</v>
      </c>
      <c r="G88" s="2" t="s">
        <v>300</v>
      </c>
      <c r="H88" s="2" t="s">
        <v>301</v>
      </c>
      <c r="I88" s="2" t="str">
        <f>IFERROR(__xludf.DUMMYFUNCTION("GOOGLETRANSLATE(C88,""fr"",""en"")"),"No shameful impossible to be reimbursed with shipping with invoices of treating doctor non -reimbursed assistance service such as nullissime y there less")</f>
        <v>No shameful impossible to be reimbursed with shipping with invoices of treating doctor non -reimbursed assistance service such as nullissime y there less</v>
      </c>
    </row>
    <row r="89" ht="15.75" customHeight="1">
      <c r="B89" s="2" t="s">
        <v>302</v>
      </c>
      <c r="C89" s="2" t="s">
        <v>303</v>
      </c>
      <c r="D89" s="2" t="s">
        <v>291</v>
      </c>
      <c r="E89" s="2" t="s">
        <v>14</v>
      </c>
      <c r="F89" s="2" t="s">
        <v>15</v>
      </c>
      <c r="G89" s="2" t="s">
        <v>304</v>
      </c>
      <c r="H89" s="2" t="s">
        <v>301</v>
      </c>
      <c r="I89" s="2" t="str">
        <f>IFERROR(__xludf.DUMMYFUNCTION("GOOGLETRANSLATE(C89,""fr"",""en"")"),"For my case I had a dental quote that I sent through the site and I always made by the site the sending of my rib my transfer is made and I have never had any problems. I have already had the opportunity to make a change of mutual by phone and my interloc"&amp;"utor was very helpful and I waited 1 week until my cpam valid my mutual
 It is a work mutual and I am happy.
")</f>
        <v>For my case I had a dental quote that I sent through the site and I always made by the site the sending of my rib my transfer is made and I have never had any problems. I have already had the opportunity to make a change of mutual by phone and my interlocutor was very helpful and I waited 1 week until my cpam valid my mutual
 It is a work mutual and I am happy.
</v>
      </c>
    </row>
    <row r="90" ht="15.75" customHeight="1">
      <c r="B90" s="2" t="s">
        <v>305</v>
      </c>
      <c r="C90" s="2" t="s">
        <v>306</v>
      </c>
      <c r="D90" s="2" t="s">
        <v>291</v>
      </c>
      <c r="E90" s="2" t="s">
        <v>14</v>
      </c>
      <c r="F90" s="2" t="s">
        <v>15</v>
      </c>
      <c r="G90" s="2" t="s">
        <v>307</v>
      </c>
      <c r="H90" s="2" t="s">
        <v>43</v>
      </c>
      <c r="I90" s="2" t="str">
        <f>IFERROR(__xludf.DUMMYFUNCTION("GOOGLETRANSLATE(C90,""fr"",""en"")"),"Insured for 7 years at home. Never had problems because never sick or big medical care.
Now that I incorporate dental costs, that I have a quote at zero euros remaining validated by them, I am told that I am not entitled to reimbursement because the stat"&amp;"ements are transmitted to my old mutual that I 'I left almost 16 years ago !!!!! I contacted the old mutual (HD Effective and reactive assurances) which transmitted me the day the radiation certificate.
So as long as the costs remained reasonable, no pro"&amp;"blem for management. But there that I have for almost 1000 €, I am told that I am not entitled to reimbursement which was however granted on quote ......
You call them we never tell you the same thing, you have to re -explain everything every time, and i"&amp;"ts always finished in processing, you will have it next week !!
I seize the mediator to date and UFC what to choose. Fed up these big idiots
")</f>
        <v>Insured for 7 years at home. Never had problems because never sick or big medical care.
Now that I incorporate dental costs, that I have a quote at zero euros remaining validated by them, I am told that I am not entitled to reimbursement because the statements are transmitted to my old mutual that I 'I left almost 16 years ago !!!!! I contacted the old mutual (HD Effective and reactive assurances) which transmitted me the day the radiation certificate.
So as long as the costs remained reasonable, no problem for management. But there that I have for almost 1000 €, I am told that I am not entitled to reimbursement which was however granted on quote ......
You call them we never tell you the same thing, you have to re -explain everything every time, and its always finished in processing, you will have it next week !!
I seize the mediator to date and UFC what to choose. Fed up these big idiots
</v>
      </c>
    </row>
    <row r="91" ht="15.75" customHeight="1">
      <c r="B91" s="2" t="s">
        <v>308</v>
      </c>
      <c r="C91" s="2" t="s">
        <v>309</v>
      </c>
      <c r="D91" s="2" t="s">
        <v>291</v>
      </c>
      <c r="E91" s="2" t="s">
        <v>14</v>
      </c>
      <c r="F91" s="2" t="s">
        <v>15</v>
      </c>
      <c r="G91" s="2" t="s">
        <v>310</v>
      </c>
      <c r="H91" s="2" t="s">
        <v>43</v>
      </c>
      <c r="I91" s="2" t="str">
        <f>IFERROR(__xludf.DUMMYFUNCTION("GOOGLETRANSLATE(C91,""fr"",""en"")"),"Tuesday- afternoon on July 13, 2021 multiple calls to AG2R: HS telephone line: person at the end of the line after the choice of option, rings in the void.
Thursday, July 15, on the space insured online, impossible to send them an email, the message appe"&amp;"ars in red: technical problem.
Arpège does not respond to emails sent anyway, except for new affiliations of course ..
Not serious, they do not know how to manage the technical unforeseen events where they do so on purpose so it is ridiculous, it is to "&amp;"wonder….
")</f>
        <v>Tuesday- afternoon on July 13, 2021 multiple calls to AG2R: HS telephone line: person at the end of the line after the choice of option, rings in the void.
Thursday, July 15, on the space insured online, impossible to send them an email, the message appears in red: technical problem.
Arpège does not respond to emails sent anyway, except for new affiliations of course ..
Not serious, they do not know how to manage the technical unforeseen events where they do so on purpose so it is ridiculous, it is to wonder….
</v>
      </c>
    </row>
    <row r="92" ht="15.75" customHeight="1">
      <c r="B92" s="2" t="s">
        <v>311</v>
      </c>
      <c r="C92" s="2" t="s">
        <v>312</v>
      </c>
      <c r="D92" s="2" t="s">
        <v>291</v>
      </c>
      <c r="E92" s="2" t="s">
        <v>14</v>
      </c>
      <c r="F92" s="2" t="s">
        <v>15</v>
      </c>
      <c r="G92" s="2" t="s">
        <v>313</v>
      </c>
      <c r="H92" s="2" t="s">
        <v>56</v>
      </c>
      <c r="I92" s="2" t="str">
        <f>IFERROR(__xludf.DUMMYFUNCTION("GOOGLETRANSLATE(C92,""fr"",""en"")"),"Single room refund still not paid !!!
He asks for documents in drop I think I can sit on the refund
Mutual to banish")</f>
        <v>Single room refund still not paid !!!
He asks for documents in drop I think I can sit on the refund
Mutual to banish</v>
      </c>
    </row>
    <row r="93" ht="15.75" customHeight="1">
      <c r="B93" s="2" t="s">
        <v>314</v>
      </c>
      <c r="C93" s="2" t="s">
        <v>315</v>
      </c>
      <c r="D93" s="2" t="s">
        <v>291</v>
      </c>
      <c r="E93" s="2" t="s">
        <v>14</v>
      </c>
      <c r="F93" s="2" t="s">
        <v>15</v>
      </c>
      <c r="G93" s="2" t="s">
        <v>316</v>
      </c>
      <c r="H93" s="2" t="s">
        <v>69</v>
      </c>
      <c r="I93" s="2" t="str">
        <f>IFERROR(__xludf.DUMMYFUNCTION("GOOGLETRANSLATE(C93,""fr"",""en"")"),"They enriched themselves on my back: at the start mutual chosen by my company.
I am retired and I continued with them but no refund for at least 2-3 years. This mutual insurance company does not suit me and I do not want to pay more for 100 € taken care "&amp;"of 1 time per year.
I am 100% disability and 100% ALD;")</f>
        <v>They enriched themselves on my back: at the start mutual chosen by my company.
I am retired and I continued with them but no refund for at least 2-3 years. This mutual insurance company does not suit me and I do not want to pay more for 100 € taken care of 1 time per year.
I am 100% disability and 100% ALD;</v>
      </c>
    </row>
    <row r="94" ht="15.75" customHeight="1">
      <c r="B94" s="2" t="s">
        <v>317</v>
      </c>
      <c r="C94" s="2" t="s">
        <v>318</v>
      </c>
      <c r="D94" s="2" t="s">
        <v>291</v>
      </c>
      <c r="E94" s="2" t="s">
        <v>14</v>
      </c>
      <c r="F94" s="2" t="s">
        <v>15</v>
      </c>
      <c r="G94" s="2" t="s">
        <v>319</v>
      </c>
      <c r="H94" s="2" t="s">
        <v>79</v>
      </c>
      <c r="I94" s="2" t="str">
        <f>IFERROR(__xludf.DUMMYFUNCTION("GOOGLETRANSLATE(C94,""fr"",""en"")"),"1 and a half years that I am at AG2R. I realize that they have never reimbursed me and they explain to me that they were wrong with my social security number.
Assessment, no refund because they want invoices for medical costs. If I don't have an invoice,"&amp;" I don't get my money back.
I moved, and I don't even remember the address of each health professional.
No excuse, no mail or call to explain anything to me.
I intend to tell this story on all the social networks available, and ask each person I know t"&amp;"o share my story, and that they ask their contact to share in their turn.
It is not about money but of principle.")</f>
        <v>1 and a half years that I am at AG2R. I realize that they have never reimbursed me and they explain to me that they were wrong with my social security number.
Assessment, no refund because they want invoices for medical costs. If I don't have an invoice, I don't get my money back.
I moved, and I don't even remember the address of each health professional.
No excuse, no mail or call to explain anything to me.
I intend to tell this story on all the social networks available, and ask each person I know to share my story, and that they ask their contact to share in their turn.
It is not about money but of principle.</v>
      </c>
    </row>
    <row r="95" ht="15.75" customHeight="1">
      <c r="B95" s="2" t="s">
        <v>320</v>
      </c>
      <c r="C95" s="2" t="s">
        <v>321</v>
      </c>
      <c r="D95" s="2" t="s">
        <v>291</v>
      </c>
      <c r="E95" s="2" t="s">
        <v>14</v>
      </c>
      <c r="F95" s="2" t="s">
        <v>15</v>
      </c>
      <c r="G95" s="2" t="s">
        <v>322</v>
      </c>
      <c r="H95" s="2" t="s">
        <v>79</v>
      </c>
      <c r="I95" s="2" t="str">
        <f>IFERROR(__xludf.DUMMYFUNCTION("GOOGLETRANSLATE(C95,""fr"",""en"")"),"Zero !! From months that I do not benefit from my complementary health, and yet I contact them by phone, to listen to the same absurd answers!
And by seeing all these negative opinions, I am both reassured to know that it does not come from me and at the"&amp;" same time I wonder if one day I will have this complementary retirement !! Sos
To flee, when possible!")</f>
        <v>Zero !! From months that I do not benefit from my complementary health, and yet I contact them by phone, to listen to the same absurd answers!
And by seeing all these negative opinions, I am both reassured to know that it does not come from me and at the same time I wonder if one day I will have this complementary retirement !! Sos
To flee, when possible!</v>
      </c>
    </row>
    <row r="96" ht="15.75" customHeight="1">
      <c r="B96" s="2" t="s">
        <v>323</v>
      </c>
      <c r="C96" s="2" t="s">
        <v>324</v>
      </c>
      <c r="D96" s="2" t="s">
        <v>291</v>
      </c>
      <c r="E96" s="2" t="s">
        <v>14</v>
      </c>
      <c r="F96" s="2" t="s">
        <v>15</v>
      </c>
      <c r="G96" s="2" t="s">
        <v>85</v>
      </c>
      <c r="H96" s="2" t="s">
        <v>79</v>
      </c>
      <c r="I96" s="2" t="str">
        <f>IFERROR(__xludf.DUMMYFUNCTION("GOOGLETRANSLATE(C96,""fr"",""en"")"),"Disability file transmitted and received since March 4, 2021 and to date and since March 4, the management service deals with January 28 files which is unacceptable.")</f>
        <v>Disability file transmitted and received since March 4, 2021 and to date and since March 4, the management service deals with January 28 files which is unacceptable.</v>
      </c>
    </row>
    <row r="97" ht="15.75" customHeight="1">
      <c r="B97" s="2" t="s">
        <v>325</v>
      </c>
      <c r="C97" s="2" t="s">
        <v>326</v>
      </c>
      <c r="D97" s="2" t="s">
        <v>291</v>
      </c>
      <c r="E97" s="2" t="s">
        <v>14</v>
      </c>
      <c r="F97" s="2" t="s">
        <v>15</v>
      </c>
      <c r="G97" s="2" t="s">
        <v>79</v>
      </c>
      <c r="H97" s="2" t="s">
        <v>79</v>
      </c>
      <c r="I97" s="2" t="str">
        <f>IFERROR(__xludf.DUMMYFUNCTION("GOOGLETRANSLATE(C97,""fr"",""en"")"),"Hello,
A advice to companies for this group mutual: do not take it if you do not want to attract the wrath of your employees!
Until 12/31/2020 my company adhered to a group mutual named Arpege Assurance and everything was really going well: availability"&amp;" and friendliness of stakeholders, responsiveness, ease to reach them. Since 01/01/2021, AG2R has merged with Arpege taking care to keep their names, but the staff did not follow. Suddenly, limited staff, everything is done from a computer platform with r"&amp;"eady -made answers. All the staff of my company are unhappy and went back to the CSE.
Concretely for me, hospital care (public) by day for which I only paid the third -party payment had been reimbursed in full, for years, whatever the mutual. And there, "&amp;"this mutual insurance company decides on its own that this care will no longer be reimbursed in their entirety when the conditions have absolutely not changed and that the subscription remains the same. I called, written, the administrative service of the"&amp;" hospital also took care of it: nothing has done. It's just a shame !!! And around me, within my business people keep complaining.
To put an end to these kinds of mutual insurance practices who only knows how to take the contributions to enrich your real"&amp;" estate stock and not redistribute to the contributors you just have to adhere. The term mutual is not suitable. It's just a business that only thinks of its profits!
A good hearing ...")</f>
        <v>Hello,
A advice to companies for this group mutual: do not take it if you do not want to attract the wrath of your employees!
Until 12/31/2020 my company adhered to a group mutual named Arpege Assurance and everything was really going well: availability and friendliness of stakeholders, responsiveness, ease to reach them. Since 01/01/2021, AG2R has merged with Arpege taking care to keep their names, but the staff did not follow. Suddenly, limited staff, everything is done from a computer platform with ready -made answers. All the staff of my company are unhappy and went back to the CSE.
Concretely for me, hospital care (public) by day for which I only paid the third -party payment had been reimbursed in full, for years, whatever the mutual. And there, this mutual insurance company decides on its own that this care will no longer be reimbursed in their entirety when the conditions have absolutely not changed and that the subscription remains the same. I called, written, the administrative service of the hospital also took care of it: nothing has done. It's just a shame !!! And around me, within my business people keep complaining.
To put an end to these kinds of mutual insurance practices who only knows how to take the contributions to enrich your real estate stock and not redistribute to the contributors you just have to adhere. The term mutual is not suitable. It's just a business that only thinks of its profits!
A good hearing ...</v>
      </c>
    </row>
    <row r="98" ht="15.75" customHeight="1">
      <c r="B98" s="2" t="s">
        <v>327</v>
      </c>
      <c r="C98" s="2" t="s">
        <v>328</v>
      </c>
      <c r="D98" s="2" t="s">
        <v>291</v>
      </c>
      <c r="E98" s="2" t="s">
        <v>14</v>
      </c>
      <c r="F98" s="2" t="s">
        <v>15</v>
      </c>
      <c r="G98" s="2" t="s">
        <v>329</v>
      </c>
      <c r="H98" s="2" t="s">
        <v>92</v>
      </c>
      <c r="I98" s="2" t="str">
        <f>IFERROR(__xludf.DUMMYFUNCTION("GOOGLETRANSLATE(C98,""fr"",""en"")"),"To flee impossible to reach them
Big hassle ......
No response from them to the email sent.
No response to the phone
How can we also be professional ?????")</f>
        <v>To flee impossible to reach them
Big hassle ......
No response from them to the email sent.
No response to the phone
How can we also be professional ?????</v>
      </c>
    </row>
    <row r="99" ht="15.75" customHeight="1">
      <c r="B99" s="2" t="s">
        <v>330</v>
      </c>
      <c r="C99" s="2" t="s">
        <v>331</v>
      </c>
      <c r="D99" s="2" t="s">
        <v>291</v>
      </c>
      <c r="E99" s="2" t="s">
        <v>14</v>
      </c>
      <c r="F99" s="2" t="s">
        <v>15</v>
      </c>
      <c r="G99" s="2" t="s">
        <v>95</v>
      </c>
      <c r="H99" s="2" t="s">
        <v>92</v>
      </c>
      <c r="I99" s="2" t="str">
        <f>IFERROR(__xludf.DUMMYFUNCTION("GOOGLETRANSLATE(C99,""fr"",""en"")"),"RAPSITIONS RADS REPHER REPHOR RAS.
On the other hand it is a galley to have the annual insured card. This is the second year that I do not receive it. To receive it, you must relaunch, by the website, 2 requests 3 weeks ago, still nothing. In the meantim"&amp;"e you have to print each month a card valid for a month ... Practical.
I find it difficult to understand how this little document alone can be a problem.
No time to waste on this kind of subject, especially since the annual subscription is substantial.")</f>
        <v>RAPSITIONS RADS REPHER REPHOR RAS.
On the other hand it is a galley to have the annual insured card. This is the second year that I do not receive it. To receive it, you must relaunch, by the website, 2 requests 3 weeks ago, still nothing. In the meantime you have to print each month a card valid for a month ... Practical.
I find it difficult to understand how this little document alone can be a problem.
No time to waste on this kind of subject, especially since the annual subscription is substantial.</v>
      </c>
    </row>
    <row r="100" ht="15.75" customHeight="1">
      <c r="B100" s="2" t="s">
        <v>332</v>
      </c>
      <c r="C100" s="2" t="s">
        <v>333</v>
      </c>
      <c r="D100" s="2" t="s">
        <v>291</v>
      </c>
      <c r="E100" s="2" t="s">
        <v>14</v>
      </c>
      <c r="F100" s="2" t="s">
        <v>15</v>
      </c>
      <c r="G100" s="2" t="s">
        <v>334</v>
      </c>
      <c r="H100" s="2" t="s">
        <v>92</v>
      </c>
      <c r="I100" s="2" t="str">
        <f>IFERROR(__xludf.DUMMYFUNCTION("GOOGLETRANSLATE(C100,""fr"",""en"")"),"A horrible complement to flee !!! An exhausting battle several calls with each time a different problem in my file. I also had the right to excuse ""lack of strike"" each month I have an error in my file or my name, my code of attachment or in my social s"&amp;"ecurity number. Suffice to say that they are not able to properly register what they read. On the other hand, no misconduct of my RIB the samples are done correctly from the start. They have already sent me 3 third -party cards paying different and always"&amp;" no views of health reimbursements that I had to move forward from my pocket always the same sentence it is necessary to wait 7 to 10 days it's been months since it is hard.")</f>
        <v>A horrible complement to flee !!! An exhausting battle several calls with each time a different problem in my file. I also had the right to excuse "lack of strike" each month I have an error in my file or my name, my code of attachment or in my social security number. Suffice to say that they are not able to properly register what they read. On the other hand, no misconduct of my RIB the samples are done correctly from the start. They have already sent me 3 third -party cards paying different and always no views of health reimbursements that I had to move forward from my pocket always the same sentence it is necessary to wait 7 to 10 days it's been months since it is hard.</v>
      </c>
    </row>
    <row r="101" ht="15.75" customHeight="1">
      <c r="B101" s="2" t="s">
        <v>335</v>
      </c>
      <c r="C101" s="2" t="s">
        <v>336</v>
      </c>
      <c r="D101" s="2" t="s">
        <v>291</v>
      </c>
      <c r="E101" s="2" t="s">
        <v>14</v>
      </c>
      <c r="F101" s="2" t="s">
        <v>15</v>
      </c>
      <c r="G101" s="2" t="s">
        <v>337</v>
      </c>
      <c r="H101" s="2" t="s">
        <v>92</v>
      </c>
      <c r="I101" s="2" t="str">
        <f>IFERROR(__xludf.DUMMYFUNCTION("GOOGLETRANSLATE(C101,""fr"",""en"")"),"Big concerns with their customer service.
I have sent a membership request since January we are on March 3 and still no recording of the file.
Despite numerous calls, complaints, advisers who give different versions or others laughing at the nose.
No o"&amp;"ne can provide an answer to date.
I strongly advise against, the commercial advisers harass you to make you sign their contract then there is no one left.
I am reduced to calling on a legal service in order to settle this.")</f>
        <v>Big concerns with their customer service.
I have sent a membership request since January we are on March 3 and still no recording of the file.
Despite numerous calls, complaints, advisers who give different versions or others laughing at the nose.
No one can provide an answer to date.
I strongly advise against, the commercial advisers harass you to make you sign their contract then there is no one left.
I am reduced to calling on a legal service in order to settle this.</v>
      </c>
    </row>
    <row r="102" ht="15.75" customHeight="1">
      <c r="B102" s="2" t="s">
        <v>338</v>
      </c>
      <c r="C102" s="2" t="s">
        <v>339</v>
      </c>
      <c r="D102" s="2" t="s">
        <v>291</v>
      </c>
      <c r="E102" s="2" t="s">
        <v>14</v>
      </c>
      <c r="F102" s="2" t="s">
        <v>15</v>
      </c>
      <c r="G102" s="2" t="s">
        <v>340</v>
      </c>
      <c r="H102" s="2" t="s">
        <v>101</v>
      </c>
      <c r="I102" s="2" t="str">
        <f>IFERROR(__xludf.DUMMYFUNCTION("GOOGLETRANSLATE(C102,""fr"",""en"")"),"You have to ask for all the time to be reimbursed. The site is all the time in maintenance and inaccessible. Very painful this mutual chosen by my employer.")</f>
        <v>You have to ask for all the time to be reimbursed. The site is all the time in maintenance and inaccessible. Very painful this mutual chosen by my employer.</v>
      </c>
    </row>
    <row r="103" ht="15.75" customHeight="1">
      <c r="B103" s="2" t="s">
        <v>341</v>
      </c>
      <c r="C103" s="2" t="s">
        <v>342</v>
      </c>
      <c r="D103" s="2" t="s">
        <v>291</v>
      </c>
      <c r="E103" s="2" t="s">
        <v>14</v>
      </c>
      <c r="F103" s="2" t="s">
        <v>15</v>
      </c>
      <c r="G103" s="2" t="s">
        <v>343</v>
      </c>
      <c r="H103" s="2" t="s">
        <v>101</v>
      </c>
      <c r="I103" s="2" t="str">
        <f>IFERROR(__xludf.DUMMYFUNCTION("GOOGLETRANSLATE(C103,""fr"",""en"")"),"Too bad obliged to put a star .. I would have put rather 0 ... Mutual to avoid expensive and owe me more than 3 months of reimbursement .... registered letter, telephone call Nothing does I always wait really lamentable. .")</f>
        <v>Too bad obliged to put a star .. I would have put rather 0 ... Mutual to avoid expensive and owe me more than 3 months of reimbursement .... registered letter, telephone call Nothing does I always wait really lamentable. .</v>
      </c>
    </row>
    <row r="104" ht="15.75" customHeight="1">
      <c r="B104" s="2" t="s">
        <v>344</v>
      </c>
      <c r="C104" s="2" t="s">
        <v>345</v>
      </c>
      <c r="D104" s="2" t="s">
        <v>291</v>
      </c>
      <c r="E104" s="2" t="s">
        <v>14</v>
      </c>
      <c r="F104" s="2" t="s">
        <v>15</v>
      </c>
      <c r="G104" s="2" t="s">
        <v>113</v>
      </c>
      <c r="H104" s="2" t="s">
        <v>114</v>
      </c>
      <c r="I104" s="2" t="str">
        <f>IFERROR(__xludf.DUMMYFUNCTION("GOOGLETRANSLATE(C104,""fr"",""en"")"),"The price had attracted me. I subscribed to an offer on January 1, I sent all the papers, I received a call from their first week of January for a clarification that I gave. And since then, no mutual card! I phoned on January 21. My file is always ""openi"&amp;"ng up to the commercial SCE"". I tried to create my customer area 3 days ago: I am still ""identified"" ... I sent 2 emails to the SCE Customer, who remained unanswered. And at the moment, when I try to create my customer area, I am still ""not identified"&amp;", please contact the SCE Customer"" serious ??? Given what it presages for the future, we are not going to do business together. I'm looking for a new insurer, necessarily more serious!")</f>
        <v>The price had attracted me. I subscribed to an offer on January 1, I sent all the papers, I received a call from their first week of January for a clarification that I gave. And since then, no mutual card! I phoned on January 21. My file is always "opening up to the commercial SCE". I tried to create my customer area 3 days ago: I am still "identified" ... I sent 2 emails to the SCE Customer, who remained unanswered. And at the moment, when I try to create my customer area, I am still "not identified, please contact the SCE Customer" serious ??? Given what it presages for the future, we are not going to do business together. I'm looking for a new insurer, necessarily more serious!</v>
      </c>
    </row>
    <row r="105" ht="15.75" customHeight="1">
      <c r="B105" s="2" t="s">
        <v>346</v>
      </c>
      <c r="C105" s="2" t="s">
        <v>347</v>
      </c>
      <c r="D105" s="2" t="s">
        <v>291</v>
      </c>
      <c r="E105" s="2" t="s">
        <v>14</v>
      </c>
      <c r="F105" s="2" t="s">
        <v>15</v>
      </c>
      <c r="G105" s="2" t="s">
        <v>117</v>
      </c>
      <c r="H105" s="2" t="s">
        <v>114</v>
      </c>
      <c r="I105" s="2" t="str">
        <f>IFERROR(__xludf.DUMMYFUNCTION("GOOGLETRANSLATE(C105,""fr"",""en"")"),"I have been at AG2R since October 1 via my employer. He is a buyer.
On the assurance side of an endlessly endless disaster. 3 months to wait until you are OK in terms of folder and be created at home despite the employer's files, emails and reminders.
"&amp;"
I had to threaten them to file a complaint so that it moves and behind it is in place !! Even my 2 colleagues in place with them for a long time have seen their contracts at the end or nothing !!
Fortunately a top advisor took over if I would not have"&amp;" a mutual insurance company to date !! They took a long time to get closer to the security.
And today following a 3 -week judgment (November 2020), while my employer has been contributing since October 1 to maintain wages for all, they tell me that I w"&amp;"ould not have daily allowances and reimbursements in this direction , linked to the mutual/provident and that they can do nothing because I do not have 1 year of seniority while the employer and his accountant + AG2R had assured me the opposite !!
If s"&amp;"omeone has had the same concerns or could make an appeal against AG2R thank you in advance. In all this insurer is more than inserted despite the 2 top advisers I had. A shame to contribute for nullissime care and which benefits this insurer in every way "&amp;"!! Good luck to all in these times crazy and dark supplements !!")</f>
        <v>I have been at AG2R since October 1 via my employer. He is a buyer.
On the assurance side of an endlessly endless disaster. 3 months to wait until you are OK in terms of folder and be created at home despite the employer's files, emails and reminders.
I had to threaten them to file a complaint so that it moves and behind it is in place !! Even my 2 colleagues in place with them for a long time have seen their contracts at the end or nothing !!
Fortunately a top advisor took over if I would not have a mutual insurance company to date !! They took a long time to get closer to the security.
And today following a 3 -week judgment (November 2020), while my employer has been contributing since October 1 to maintain wages for all, they tell me that I would not have daily allowances and reimbursements in this direction , linked to the mutual/provident and that they can do nothing because I do not have 1 year of seniority while the employer and his accountant + AG2R had assured me the opposite !!
If someone has had the same concerns or could make an appeal against AG2R thank you in advance. In all this insurer is more than inserted despite the 2 top advisers I had. A shame to contribute for nullissime care and which benefits this insurer in every way !! Good luck to all in these times crazy and dark supplements !!</v>
      </c>
    </row>
    <row r="106" ht="15.75" customHeight="1">
      <c r="B106" s="2" t="s">
        <v>348</v>
      </c>
      <c r="C106" s="2" t="s">
        <v>349</v>
      </c>
      <c r="D106" s="2" t="s">
        <v>291</v>
      </c>
      <c r="E106" s="2" t="s">
        <v>14</v>
      </c>
      <c r="F106" s="2" t="s">
        <v>15</v>
      </c>
      <c r="G106" s="2" t="s">
        <v>350</v>
      </c>
      <c r="H106" s="2" t="s">
        <v>114</v>
      </c>
      <c r="I106" s="2" t="str">
        <f>IFERROR(__xludf.DUMMYFUNCTION("GOOGLETRANSLATE(C106,""fr"",""en"")"),"New member I subscribed on December 8, 2020 for a start of contract on January 1 ...
To date, no news, impossible to create a on -site account, no paid third -party card, incompetent teleconsilors !!!
I need my paid third -party card and their only "&amp;"solution is that I advance the costs ...
")</f>
        <v>New member I subscribed on December 8, 2020 for a start of contract on January 1 ...
To date, no news, impossible to create a on -site account, no paid third -party card, incompetent teleconsilors !!!
I need my paid third -party card and their only solution is that I advance the costs ...
</v>
      </c>
    </row>
    <row r="107" ht="15.75" customHeight="1">
      <c r="B107" s="2" t="s">
        <v>351</v>
      </c>
      <c r="C107" s="2" t="s">
        <v>352</v>
      </c>
      <c r="D107" s="2" t="s">
        <v>291</v>
      </c>
      <c r="E107" s="2" t="s">
        <v>14</v>
      </c>
      <c r="F107" s="2" t="s">
        <v>15</v>
      </c>
      <c r="G107" s="2" t="s">
        <v>353</v>
      </c>
      <c r="H107" s="2" t="s">
        <v>126</v>
      </c>
      <c r="I107" s="2" t="str">
        <f>IFERROR(__xludf.DUMMYFUNCTION("GOOGLETRANSLATE(C107,""fr"",""en"")"),"Hi there,
 I was in an accident at work from October 6 to 14, the security and the company were responsive and
 The complete file I hoped for a payment before Christmas knowing their proverbial slowness
 But I was too optimistic ...
I made a relapse"&amp;" on October 20 No news I called and. He told me that a document was not readable, I have returned the document to the employer and for more news. The problem is that they do not respond to the email and that the information given on the phone is contradic"&amp;"tory.
Can the person in charge of social networks look at my case so that I can have in the 1st of the year what I did not have in Christmas")</f>
        <v>Hi there,
 I was in an accident at work from October 6 to 14, the security and the company were responsive and
 The complete file I hoped for a payment before Christmas knowing their proverbial slowness
 But I was too optimistic ...
I made a relapse on October 20 No news I called and. He told me that a document was not readable, I have returned the document to the employer and for more news. The problem is that they do not respond to the email and that the information given on the phone is contradictory.
Can the person in charge of social networks look at my case so that I can have in the 1st of the year what I did not have in Christmas</v>
      </c>
    </row>
    <row r="108" ht="15.75" customHeight="1">
      <c r="B108" s="2" t="s">
        <v>354</v>
      </c>
      <c r="C108" s="2" t="s">
        <v>355</v>
      </c>
      <c r="D108" s="2" t="s">
        <v>291</v>
      </c>
      <c r="E108" s="2" t="s">
        <v>14</v>
      </c>
      <c r="F108" s="2" t="s">
        <v>15</v>
      </c>
      <c r="G108" s="2" t="s">
        <v>356</v>
      </c>
      <c r="H108" s="2" t="s">
        <v>126</v>
      </c>
      <c r="I108" s="2" t="str">
        <f>IFERROR(__xludf.DUMMYFUNCTION("GOOGLETRANSLATE(C108,""fr"",""en"")"),"Null, no, no one, no automatic transmission, I only realized it at the end of the contract, despite everything, following my request I realize that there is no transmission and I am asked Security refund and the care invoice! As much you say that to find "&amp;"it or get them for months later, the game is not worth the candle, so here is a mutual that you pay, but which does not reimburse you, already that the coverage and the services are very bad . Fees on my pay slip its linked to the adhesion of this mutual,"&amp;" and moreover I am withdrawn on my account the membership of the mutual, there too I would like to be explained because my company praised the fact that she was taking care of the mutual, excluding it is false. Forgetting a paid third party card, or doubl"&amp;"e references while the card is always valid ... go your way ...")</f>
        <v>Null, no, no one, no automatic transmission, I only realized it at the end of the contract, despite everything, following my request I realize that there is no transmission and I am asked Security refund and the care invoice! As much you say that to find it or get them for months later, the game is not worth the candle, so here is a mutual that you pay, but which does not reimburse you, already that the coverage and the services are very bad . Fees on my pay slip its linked to the adhesion of this mutual, and moreover I am withdrawn on my account the membership of the mutual, there too I would like to be explained because my company praised the fact that she was taking care of the mutual, excluding it is false. Forgetting a paid third party card, or double references while the card is always valid ... go your way ...</v>
      </c>
    </row>
    <row r="109" ht="15.75" customHeight="1">
      <c r="B109" s="2" t="s">
        <v>357</v>
      </c>
      <c r="C109" s="2" t="s">
        <v>358</v>
      </c>
      <c r="D109" s="2" t="s">
        <v>291</v>
      </c>
      <c r="E109" s="2" t="s">
        <v>14</v>
      </c>
      <c r="F109" s="2" t="s">
        <v>15</v>
      </c>
      <c r="G109" s="2" t="s">
        <v>144</v>
      </c>
      <c r="H109" s="2" t="s">
        <v>141</v>
      </c>
      <c r="I109" s="2" t="str">
        <f>IFERROR(__xludf.DUMMYFUNCTION("GOOGLETRANSLATE(C109,""fr"",""en"")"),"Indeed, for 1 year, having changed business, I changed mutual ... flee this mutual ... For 1 year no refund, I have sent several emails: no news, if you tend to call: The call is overwhelmed !!! Inadmissible! On the other hand, I am well taken every month"&amp;" ...
The good news is that I am a manager in my new business and believe me, I will do everything I need for my business to change the mutual service provider.")</f>
        <v>Indeed, for 1 year, having changed business, I changed mutual ... flee this mutual ... For 1 year no refund, I have sent several emails: no news, if you tend to call: The call is overwhelmed !!! Inadmissible! On the other hand, I am well taken every month ...
The good news is that I am a manager in my new business and believe me, I will do everything I need for my business to change the mutual service provider.</v>
      </c>
    </row>
    <row r="110" ht="15.75" customHeight="1">
      <c r="B110" s="2" t="s">
        <v>359</v>
      </c>
      <c r="C110" s="2" t="s">
        <v>360</v>
      </c>
      <c r="D110" s="2" t="s">
        <v>291</v>
      </c>
      <c r="E110" s="2" t="s">
        <v>14</v>
      </c>
      <c r="F110" s="2" t="s">
        <v>15</v>
      </c>
      <c r="G110" s="2" t="s">
        <v>361</v>
      </c>
      <c r="H110" s="2" t="s">
        <v>141</v>
      </c>
      <c r="I110" s="2" t="str">
        <f>IFERROR(__xludf.DUMMYFUNCTION("GOOGLETRANSLATE(C110,""fr"",""en"")"),"WARNING !!!
Mutual that made me shot in a brilliance for several months.
Does not take care of the outbursts of fees with the overly serenity in the context of maternity, I still have not managed to see where it is specified in my contract and I have ne"&amp;"ver had a return on their part No one knows how to answer my question.
I conclude that we are on the wrong time.")</f>
        <v>WARNING !!!
Mutual that made me shot in a brilliance for several months.
Does not take care of the outbursts of fees with the overly serenity in the context of maternity, I still have not managed to see where it is specified in my contract and I have never had a return on their part No one knows how to answer my question.
I conclude that we are on the wrong time.</v>
      </c>
    </row>
    <row r="111" ht="15.75" customHeight="1">
      <c r="B111" s="2" t="s">
        <v>362</v>
      </c>
      <c r="C111" s="2" t="s">
        <v>363</v>
      </c>
      <c r="D111" s="2" t="s">
        <v>291</v>
      </c>
      <c r="E111" s="2" t="s">
        <v>14</v>
      </c>
      <c r="F111" s="2" t="s">
        <v>15</v>
      </c>
      <c r="G111" s="2" t="s">
        <v>364</v>
      </c>
      <c r="H111" s="2" t="s">
        <v>141</v>
      </c>
      <c r="I111" s="2" t="str">
        <f>IFERROR(__xludf.DUMMYFUNCTION("GOOGLETRANSLATE(C111,""fr"",""en"")"),"Good value for money compared to other companies
Good report during telephonic exchanges
very detailed in terms of explanation
satisfied with our reimbursements")</f>
        <v>Good value for money compared to other companies
Good report during telephonic exchanges
very detailed in terms of explanation
satisfied with our reimbursements</v>
      </c>
    </row>
    <row r="112" ht="15.75" customHeight="1">
      <c r="B112" s="2" t="s">
        <v>365</v>
      </c>
      <c r="C112" s="2" t="s">
        <v>366</v>
      </c>
      <c r="D112" s="2" t="s">
        <v>291</v>
      </c>
      <c r="E112" s="2" t="s">
        <v>14</v>
      </c>
      <c r="F112" s="2" t="s">
        <v>15</v>
      </c>
      <c r="G112" s="2" t="s">
        <v>367</v>
      </c>
      <c r="H112" s="2" t="s">
        <v>174</v>
      </c>
      <c r="I112" s="2" t="str">
        <f>IFERROR(__xludf.DUMMYFUNCTION("GOOGLETRANSLATE(C112,""fr"",""en"")"),"Health provident.
A disaster in sickness since January we are in September and still no payment there is still a lack of paper. To flee.")</f>
        <v>Health provident.
A disaster in sickness since January we are in September and still no payment there is still a lack of paper. To flee.</v>
      </c>
    </row>
    <row r="113" ht="15.75" customHeight="1">
      <c r="B113" s="2" t="s">
        <v>368</v>
      </c>
      <c r="C113" s="2" t="s">
        <v>369</v>
      </c>
      <c r="D113" s="2" t="s">
        <v>291</v>
      </c>
      <c r="E113" s="2" t="s">
        <v>14</v>
      </c>
      <c r="F113" s="2" t="s">
        <v>15</v>
      </c>
      <c r="G113" s="2" t="s">
        <v>370</v>
      </c>
      <c r="H113" s="2" t="s">
        <v>203</v>
      </c>
      <c r="I113" s="2" t="str">
        <f>IFERROR(__xludf.DUMMYFUNCTION("GOOGLETRANSLATE(C113,""fr"",""en"")"),"they have canceled my contract without warn since April
My family and I find ourselves without anything even a letter or an email thank you very much in this galley")</f>
        <v>they have canceled my contract without warn since April
My family and I find ourselves without anything even a letter or an email thank you very much in this galley</v>
      </c>
    </row>
    <row r="114" ht="15.75" customHeight="1">
      <c r="B114" s="2" t="s">
        <v>371</v>
      </c>
      <c r="C114" s="2" t="s">
        <v>372</v>
      </c>
      <c r="D114" s="2" t="s">
        <v>291</v>
      </c>
      <c r="E114" s="2" t="s">
        <v>14</v>
      </c>
      <c r="F114" s="2" t="s">
        <v>15</v>
      </c>
      <c r="G114" s="2" t="s">
        <v>373</v>
      </c>
      <c r="H114" s="2" t="s">
        <v>203</v>
      </c>
      <c r="I114" s="2" t="str">
        <f>IFERROR(__xludf.DUMMYFUNCTION("GOOGLETRANSLATE(C114,""fr"",""en"")"),"I have taken this mutual insurance company for 6 months, following an error on their part my file was not connected to the CPAM and despite my efforts made 1 month ago the file is still being processed .. so yes I want it to be a longer delays following t"&amp;"he recent events but for the moment I just have the impression of paying a mutual unnecessarily .. I am on the verge of engaging prosecution.")</f>
        <v>I have taken this mutual insurance company for 6 months, following an error on their part my file was not connected to the CPAM and despite my efforts made 1 month ago the file is still being processed .. so yes I want it to be a longer delays following the recent events but for the moment I just have the impression of paying a mutual unnecessarily .. I am on the verge of engaging prosecution.</v>
      </c>
    </row>
    <row r="115" ht="15.75" customHeight="1">
      <c r="B115" s="2" t="s">
        <v>374</v>
      </c>
      <c r="C115" s="2" t="s">
        <v>375</v>
      </c>
      <c r="D115" s="2" t="s">
        <v>291</v>
      </c>
      <c r="E115" s="2" t="s">
        <v>14</v>
      </c>
      <c r="F115" s="2" t="s">
        <v>15</v>
      </c>
      <c r="G115" s="2" t="s">
        <v>376</v>
      </c>
      <c r="H115" s="2" t="s">
        <v>210</v>
      </c>
      <c r="I115" s="2" t="str">
        <f>IFERROR(__xludf.DUMMYFUNCTION("GOOGLETRANSLATE(C115,""fr"",""en"")"),"Hello sincerely my tolerance rate is close to 0 my husband was transplant in December The file was made up in time since he has been noted any wage compensation so that suddenly this has been delayed because de Covid Certainly but we are in June and nothi"&amp;"ng I just called today and oh big surprise he will have no payment before September c really distressing and I remain polite I don't know what to do in order to accelerate things I am interested if someone has a notice thank you")</f>
        <v>Hello sincerely my tolerance rate is close to 0 my husband was transplant in December The file was made up in time since he has been noted any wage compensation so that suddenly this has been delayed because de Covid Certainly but we are in June and nothing I just called today and oh big surprise he will have no payment before September c really distressing and I remain polite I don't know what to do in order to accelerate things I am interested if someone has a notice thank you</v>
      </c>
    </row>
    <row r="116" ht="15.75" customHeight="1">
      <c r="B116" s="2" t="s">
        <v>377</v>
      </c>
      <c r="C116" s="2" t="s">
        <v>378</v>
      </c>
      <c r="D116" s="2" t="s">
        <v>291</v>
      </c>
      <c r="E116" s="2" t="s">
        <v>14</v>
      </c>
      <c r="F116" s="2" t="s">
        <v>15</v>
      </c>
      <c r="G116" s="2" t="s">
        <v>379</v>
      </c>
      <c r="H116" s="2" t="s">
        <v>380</v>
      </c>
      <c r="I116" s="2" t="str">
        <f>IFERROR(__xludf.DUMMYFUNCTION("GOOGLETRANSLATE(C116,""fr"",""en"")"),"Compared to ProBTP with whom my parents are insured, it is a real treat ... Also, I want to report it.")</f>
        <v>Compared to ProBTP with whom my parents are insured, it is a real treat ... Also, I want to report it.</v>
      </c>
    </row>
    <row r="117" ht="15.75" customHeight="1">
      <c r="B117" s="2" t="s">
        <v>381</v>
      </c>
      <c r="C117" s="2" t="s">
        <v>382</v>
      </c>
      <c r="D117" s="2" t="s">
        <v>291</v>
      </c>
      <c r="E117" s="2" t="s">
        <v>14</v>
      </c>
      <c r="F117" s="2" t="s">
        <v>15</v>
      </c>
      <c r="G117" s="2" t="s">
        <v>383</v>
      </c>
      <c r="H117" s="2" t="s">
        <v>384</v>
      </c>
      <c r="I117" s="2" t="str">
        <f>IFERROR(__xludf.DUMMYFUNCTION("GOOGLETRANSLATE(C117,""fr"",""en"")"),"I underwent a work accident from 03/03/2019 to 11/03/2019 and another from 03/16/2019 to 04/09/2019, at present I have still not been compensated, My employer certifies me that you have poured anything.
I contacted FO and a letter will be sent to my empl"&amp;"oyer and you also because it is unacceptable that I have not yet perceived this incident.
If nothing is done to compensate me, I will be obliged to contact the prud men through my FO union.")</f>
        <v>I underwent a work accident from 03/03/2019 to 11/03/2019 and another from 03/16/2019 to 04/09/2019, at present I have still not been compensated, My employer certifies me that you have poured anything.
I contacted FO and a letter will be sent to my employer and you also because it is unacceptable that I have not yet perceived this incident.
If nothing is done to compensate me, I will be obliged to contact the prud men through my FO union.</v>
      </c>
    </row>
    <row r="118" ht="15.75" customHeight="1">
      <c r="B118" s="2" t="s">
        <v>385</v>
      </c>
      <c r="C118" s="2" t="s">
        <v>386</v>
      </c>
      <c r="D118" s="2" t="s">
        <v>291</v>
      </c>
      <c r="E118" s="2" t="s">
        <v>14</v>
      </c>
      <c r="F118" s="2" t="s">
        <v>15</v>
      </c>
      <c r="G118" s="2" t="s">
        <v>387</v>
      </c>
      <c r="H118" s="2" t="s">
        <v>384</v>
      </c>
      <c r="I118" s="2" t="str">
        <f>IFERROR(__xludf.DUMMYFUNCTION("GOOGLETRANSLATE(C118,""fr"",""en"")"),"We must fight a real battle for reimbursements of consultations. We are asked for supporting documents that we have paid well to the doctor the part of the consultation not covered by Social Security. It has been going on for 7 months. They are extremely "&amp;"long in processing requests. And even after having sent it after 3 weeks still no refund of € 7 !!! They even sent me a file from another person - where is professional secrecy !!!!!? -")</f>
        <v>We must fight a real battle for reimbursements of consultations. We are asked for supporting documents that we have paid well to the doctor the part of the consultation not covered by Social Security. It has been going on for 7 months. They are extremely long in processing requests. And even after having sent it after 3 weeks still no refund of € 7 !!! They even sent me a file from another person - where is professional secrecy !!!!!? -</v>
      </c>
    </row>
    <row r="119" ht="15.75" customHeight="1">
      <c r="B119" s="2" t="s">
        <v>388</v>
      </c>
      <c r="C119" s="2" t="s">
        <v>389</v>
      </c>
      <c r="D119" s="2" t="s">
        <v>291</v>
      </c>
      <c r="E119" s="2" t="s">
        <v>14</v>
      </c>
      <c r="F119" s="2" t="s">
        <v>15</v>
      </c>
      <c r="G119" s="2" t="s">
        <v>390</v>
      </c>
      <c r="H119" s="2" t="s">
        <v>222</v>
      </c>
      <c r="I119" s="2" t="str">
        <f>IFERROR(__xludf.DUMMYFUNCTION("GOOGLETRANSLATE(C119,""fr"",""en"")"),"My child was born on November 23, 2019 and it will be 2 months since I wait to save it on my mutual after calls every week and after having different opinions every week")</f>
        <v>My child was born on November 23, 2019 and it will be 2 months since I wait to save it on my mutual after calls every week and after having different opinions every week</v>
      </c>
    </row>
    <row r="120" ht="15.75" customHeight="1">
      <c r="B120" s="2" t="s">
        <v>391</v>
      </c>
      <c r="C120" s="2" t="s">
        <v>392</v>
      </c>
      <c r="D120" s="2" t="s">
        <v>291</v>
      </c>
      <c r="E120" s="2" t="s">
        <v>14</v>
      </c>
      <c r="F120" s="2" t="s">
        <v>15</v>
      </c>
      <c r="G120" s="2" t="s">
        <v>393</v>
      </c>
      <c r="H120" s="2" t="s">
        <v>222</v>
      </c>
      <c r="I120" s="2" t="str">
        <f>IFERROR(__xludf.DUMMYFUNCTION("GOOGLETRANSLATE(C120,""fr"",""en"")"),"11 days of waiting for optics and still not agree I have big problem does not take reclamation into account not any respect for customer.")</f>
        <v>11 days of waiting for optics and still not agree I have big problem does not take reclamation into account not any respect for customer.</v>
      </c>
    </row>
    <row r="121" ht="15.75" customHeight="1">
      <c r="B121" s="2" t="s">
        <v>394</v>
      </c>
      <c r="C121" s="2" t="s">
        <v>395</v>
      </c>
      <c r="D121" s="2" t="s">
        <v>291</v>
      </c>
      <c r="E121" s="2" t="s">
        <v>14</v>
      </c>
      <c r="F121" s="2" t="s">
        <v>15</v>
      </c>
      <c r="G121" s="2" t="s">
        <v>396</v>
      </c>
      <c r="H121" s="2" t="s">
        <v>222</v>
      </c>
      <c r="I121" s="2" t="str">
        <f>IFERROR(__xludf.DUMMYFUNCTION("GOOGLETRANSLATE(C121,""fr"",""en"")"),"Very complicated to have info to terminate, does not respond in time for me to go beyond the termination deadlines, in comparison with my new mutual, the levels of guarantees are very bad")</f>
        <v>Very complicated to have info to terminate, does not respond in time for me to go beyond the termination deadlines, in comparison with my new mutual, the levels of guarantees are very bad</v>
      </c>
    </row>
    <row r="122" ht="15.75" customHeight="1">
      <c r="B122" s="2" t="s">
        <v>397</v>
      </c>
      <c r="C122" s="2" t="s">
        <v>398</v>
      </c>
      <c r="D122" s="2" t="s">
        <v>291</v>
      </c>
      <c r="E122" s="2" t="s">
        <v>14</v>
      </c>
      <c r="F122" s="2" t="s">
        <v>15</v>
      </c>
      <c r="G122" s="2" t="s">
        <v>399</v>
      </c>
      <c r="H122" s="2" t="s">
        <v>222</v>
      </c>
      <c r="I122" s="2" t="str">
        <f>IFERROR(__xludf.DUMMYFUNCTION("GOOGLETRANSLATE(C122,""fr"",""en"")"),"Deplorable customer service, on several occasions they are sent to accounts and always an excuse not to reimburse (not received, illegible) while they read the rest very well! Taking people for idiots is good, losing customers will be good for you too. No"&amp;"t to mention the deadlines to be reimbursed 15 days later ..")</f>
        <v>Deplorable customer service, on several occasions they are sent to accounts and always an excuse not to reimburse (not received, illegible) while they read the rest very well! Taking people for idiots is good, losing customers will be good for you too. Not to mention the deadlines to be reimbursed 15 days later ..</v>
      </c>
    </row>
    <row r="123" ht="15.75" customHeight="1">
      <c r="B123" s="2" t="s">
        <v>400</v>
      </c>
      <c r="C123" s="2" t="s">
        <v>401</v>
      </c>
      <c r="D123" s="2" t="s">
        <v>291</v>
      </c>
      <c r="E123" s="2" t="s">
        <v>14</v>
      </c>
      <c r="F123" s="2" t="s">
        <v>15</v>
      </c>
      <c r="G123" s="2" t="s">
        <v>402</v>
      </c>
      <c r="H123" s="2" t="s">
        <v>403</v>
      </c>
      <c r="I123" s="2" t="str">
        <f>IFERROR(__xludf.DUMMYFUNCTION("GOOGLETRANSLATE(C123,""fr"",""en"")"),"No listening to customer service, no communications you always have to be behind them to ensure that the steps are carried out correctly and take")</f>
        <v>No listening to customer service, no communications you always have to be behind them to ensure that the steps are carried out correctly and take</v>
      </c>
    </row>
    <row r="124" ht="15.75" customHeight="1">
      <c r="B124" s="2" t="s">
        <v>404</v>
      </c>
      <c r="C124" s="2" t="s">
        <v>405</v>
      </c>
      <c r="D124" s="2" t="s">
        <v>291</v>
      </c>
      <c r="E124" s="2" t="s">
        <v>14</v>
      </c>
      <c r="F124" s="2" t="s">
        <v>15</v>
      </c>
      <c r="G124" s="2" t="s">
        <v>406</v>
      </c>
      <c r="H124" s="2" t="s">
        <v>403</v>
      </c>
      <c r="I124" s="2" t="str">
        <f>IFERROR(__xludf.DUMMYFUNCTION("GOOGLETRANSLATE(C124,""fr"",""en"")"),"The lady I had in customer service, she understands nothing, no patience, takes herself for the secretary of Bill Gates in mode she does not have time. Yet my problem was simple, the audit of the company to terminate the contract by mistake, it is that af"&amp;"ter some month after paying the same price each month that the pharmacist informs us that the contract has been terminated for a few months, So we return the affiliation bulletin, no answer. I doubt that it was the post that lost it ...")</f>
        <v>The lady I had in customer service, she understands nothing, no patience, takes herself for the secretary of Bill Gates in mode she does not have time. Yet my problem was simple, the audit of the company to terminate the contract by mistake, it is that after some month after paying the same price each month that the pharmacist informs us that the contract has been terminated for a few months, So we return the affiliation bulletin, no answer. I doubt that it was the post that lost it ...</v>
      </c>
    </row>
    <row r="125" ht="15.75" customHeight="1">
      <c r="B125" s="2" t="s">
        <v>407</v>
      </c>
      <c r="C125" s="2" t="s">
        <v>408</v>
      </c>
      <c r="D125" s="2" t="s">
        <v>291</v>
      </c>
      <c r="E125" s="2" t="s">
        <v>14</v>
      </c>
      <c r="F125" s="2" t="s">
        <v>15</v>
      </c>
      <c r="G125" s="2" t="s">
        <v>409</v>
      </c>
      <c r="H125" s="2" t="s">
        <v>403</v>
      </c>
      <c r="I125" s="2" t="str">
        <f>IFERROR(__xludf.DUMMYFUNCTION("GOOGLETRANSLATE(C125,""fr"",""en"")"),"What promises!")</f>
        <v>What promises!</v>
      </c>
    </row>
    <row r="126" ht="15.75" customHeight="1">
      <c r="B126" s="2" t="s">
        <v>410</v>
      </c>
      <c r="C126" s="2" t="s">
        <v>411</v>
      </c>
      <c r="D126" s="2" t="s">
        <v>291</v>
      </c>
      <c r="E126" s="2" t="s">
        <v>14</v>
      </c>
      <c r="F126" s="2" t="s">
        <v>15</v>
      </c>
      <c r="G126" s="2" t="s">
        <v>412</v>
      </c>
      <c r="H126" s="2" t="s">
        <v>413</v>
      </c>
      <c r="I126" s="2" t="str">
        <f>IFERROR(__xludf.DUMMYFUNCTION("GOOGLETRANSLATE(C126,""fr"",""en"")"),"Big problem of poorly estimated quote from them (confusion between real costs and exceeding fees) and therefore I find myself with 500 euros more to pay. Should my file go to committee? But when? For several exchanges + registered letter which has been lo"&amp;"st. Fortunately, I had the receipt. A file that has been dragging since November 2018. I call regularly. The most pathetic is that I have just received a new quote which replaces the previous one, from last year (June 2018), and there indeed it is estimat"&amp;"ed correctly. What I would have received at the first request in June 2018. Seeking the error !!!! Which proves that the error comes from them !!!! I just ask that I will be reimbursed for the difference and that this mutual recognizes its error. To spons"&amp;"or cyclists who boost, there are no problems, it is a trifle, but to repay members that is complicated.")</f>
        <v>Big problem of poorly estimated quote from them (confusion between real costs and exceeding fees) and therefore I find myself with 500 euros more to pay. Should my file go to committee? But when? For several exchanges + registered letter which has been lost. Fortunately, I had the receipt. A file that has been dragging since November 2018. I call regularly. The most pathetic is that I have just received a new quote which replaces the previous one, from last year (June 2018), and there indeed it is estimated correctly. What I would have received at the first request in June 2018. Seeking the error !!!! Which proves that the error comes from them !!!! I just ask that I will be reimbursed for the difference and that this mutual recognizes its error. To sponsor cyclists who boost, there are no problems, it is a trifle, but to repay members that is complicated.</v>
      </c>
    </row>
    <row r="127" ht="15.75" customHeight="1">
      <c r="B127" s="2" t="s">
        <v>414</v>
      </c>
      <c r="C127" s="2" t="s">
        <v>415</v>
      </c>
      <c r="D127" s="2" t="s">
        <v>291</v>
      </c>
      <c r="E127" s="2" t="s">
        <v>14</v>
      </c>
      <c r="F127" s="2" t="s">
        <v>15</v>
      </c>
      <c r="G127" s="2" t="s">
        <v>416</v>
      </c>
      <c r="H127" s="2" t="s">
        <v>413</v>
      </c>
      <c r="I127" s="2" t="str">
        <f>IFERROR(__xludf.DUMMYFUNCTION("GOOGLETRANSLATE(C127,""fr"",""en"")"),"113 euros/ month of subscription and I am barely reimbursing 160 euros for a dental treatment of 450 euros. Customer service is ineffective. Errors are recurrent and always your disadvantage.")</f>
        <v>113 euros/ month of subscription and I am barely reimbursing 160 euros for a dental treatment of 450 euros. Customer service is ineffective. Errors are recurrent and always your disadvantage.</v>
      </c>
    </row>
    <row r="128" ht="15.75" customHeight="1">
      <c r="B128" s="2" t="s">
        <v>417</v>
      </c>
      <c r="C128" s="2" t="s">
        <v>418</v>
      </c>
      <c r="D128" s="2" t="s">
        <v>291</v>
      </c>
      <c r="E128" s="2" t="s">
        <v>14</v>
      </c>
      <c r="F128" s="2" t="s">
        <v>15</v>
      </c>
      <c r="G128" s="2" t="s">
        <v>419</v>
      </c>
      <c r="H128" s="2" t="s">
        <v>413</v>
      </c>
      <c r="I128" s="2" t="str">
        <f>IFERROR(__xludf.DUMMYFUNCTION("GOOGLETRANSLATE(C128,""fr"",""en"")"),"159 euros per month for my daughter and me (mutual)")</f>
        <v>159 euros per month for my daughter and me (mutual)</v>
      </c>
    </row>
    <row r="129" ht="15.75" customHeight="1">
      <c r="B129" s="2" t="s">
        <v>420</v>
      </c>
      <c r="C129" s="2" t="s">
        <v>421</v>
      </c>
      <c r="D129" s="2" t="s">
        <v>291</v>
      </c>
      <c r="E129" s="2" t="s">
        <v>14</v>
      </c>
      <c r="F129" s="2" t="s">
        <v>15</v>
      </c>
      <c r="G129" s="2" t="s">
        <v>422</v>
      </c>
      <c r="H129" s="2" t="s">
        <v>423</v>
      </c>
      <c r="I129" s="2" t="str">
        <f>IFERROR(__xludf.DUMMYFUNCTION("GOOGLETRANSLATE(C129,""fr"",""en"")"),"Pitoyable service file filed in lost agency
Reimbursement times exceeding 3 months
Impossible to have information on monitoring and processing of files")</f>
        <v>Pitoyable service file filed in lost agency
Reimbursement times exceeding 3 months
Impossible to have information on monitoring and processing of files</v>
      </c>
    </row>
    <row r="130" ht="15.75" customHeight="1">
      <c r="B130" s="2" t="s">
        <v>424</v>
      </c>
      <c r="C130" s="2" t="s">
        <v>425</v>
      </c>
      <c r="D130" s="2" t="s">
        <v>291</v>
      </c>
      <c r="E130" s="2" t="s">
        <v>14</v>
      </c>
      <c r="F130" s="2" t="s">
        <v>15</v>
      </c>
      <c r="G130" s="2" t="s">
        <v>426</v>
      </c>
      <c r="H130" s="2" t="s">
        <v>236</v>
      </c>
      <c r="I130" s="2" t="str">
        <f>IFERROR(__xludf.DUMMYFUNCTION("GOOGLETRANSLATE(C130,""fr"",""en"")"),"Forcing and telephone harassment during the subscription. Hidden defects. Do not support remote control requests when requested. E-mail written in the complaint service without return from them for 1 month: customer service is deplorable
Waiting reimburs"&amp;"ement contact lenses for more than a month
I am very unhappy and I would like to stop this contract")</f>
        <v>Forcing and telephone harassment during the subscription. Hidden defects. Do not support remote control requests when requested. E-mail written in the complaint service without return from them for 1 month: customer service is deplorable
Waiting reimbursement contact lenses for more than a month
I am very unhappy and I would like to stop this contract</v>
      </c>
    </row>
    <row r="131" ht="15.75" customHeight="1">
      <c r="B131" s="2" t="s">
        <v>427</v>
      </c>
      <c r="C131" s="2" t="s">
        <v>428</v>
      </c>
      <c r="D131" s="2" t="s">
        <v>291</v>
      </c>
      <c r="E131" s="2" t="s">
        <v>14</v>
      </c>
      <c r="F131" s="2" t="s">
        <v>15</v>
      </c>
      <c r="G131" s="2" t="s">
        <v>429</v>
      </c>
      <c r="H131" s="2" t="s">
        <v>244</v>
      </c>
      <c r="I131" s="2" t="str">
        <f>IFERROR(__xludf.DUMMYFUNCTION("GOOGLETRANSLATE(C131,""fr"",""en"")"),"Since January 2018 I do not have my third -party paid card following multiple calls, letters and even make me in agency nothing still nothing the reimbursements of professionals no longer take place I therefore receive the reminders at home a scandal know"&amp;"ing that my contributions are day they answer me we have lost you ... To date still nothing I don't even know how to do it.")</f>
        <v>Since January 2018 I do not have my third -party paid card following multiple calls, letters and even make me in agency nothing still nothing the reimbursements of professionals no longer take place I therefore receive the reminders at home a scandal knowing that my contributions are day they answer me we have lost you ... To date still nothing I don't even know how to do it.</v>
      </c>
    </row>
    <row r="132" ht="15.75" customHeight="1">
      <c r="B132" s="2" t="s">
        <v>430</v>
      </c>
      <c r="C132" s="2" t="s">
        <v>431</v>
      </c>
      <c r="D132" s="2" t="s">
        <v>291</v>
      </c>
      <c r="E132" s="2" t="s">
        <v>14</v>
      </c>
      <c r="F132" s="2" t="s">
        <v>15</v>
      </c>
      <c r="G132" s="2" t="s">
        <v>432</v>
      </c>
      <c r="H132" s="2" t="s">
        <v>248</v>
      </c>
      <c r="I132" s="2" t="str">
        <f>IFERROR(__xludf.DUMMYFUNCTION("GOOGLETRANSLATE(C132,""fr"",""en"")"),"Mutual to avoid, more than a month that I await a reimbursement of dental care. Customer service that is useless, repeated complaints ever treated of course, no response to emails sent and this puts me in a catastrophic financial situation.")</f>
        <v>Mutual to avoid, more than a month that I await a reimbursement of dental care. Customer service that is useless, repeated complaints ever treated of course, no response to emails sent and this puts me in a catastrophic financial situation.</v>
      </c>
    </row>
    <row r="133" ht="15.75" customHeight="1">
      <c r="B133" s="2" t="s">
        <v>433</v>
      </c>
      <c r="C133" s="2" t="s">
        <v>434</v>
      </c>
      <c r="D133" s="2" t="s">
        <v>291</v>
      </c>
      <c r="E133" s="2" t="s">
        <v>14</v>
      </c>
      <c r="F133" s="2" t="s">
        <v>15</v>
      </c>
      <c r="G133" s="2" t="s">
        <v>435</v>
      </c>
      <c r="H133" s="2" t="s">
        <v>248</v>
      </c>
      <c r="I133" s="2" t="str">
        <f>IFERROR(__xludf.DUMMYFUNCTION("GOOGLETRANSLATE(C133,""fr"",""en"")"),"Mutual very expensive to avoid impossible to join them and do not respond to emails I would like to change my guarantees because I pay 176 euros per month while optics and dental is not useful to me.")</f>
        <v>Mutual very expensive to avoid impossible to join them and do not respond to emails I would like to change my guarantees because I pay 176 euros per month while optics and dental is not useful to me.</v>
      </c>
    </row>
    <row r="134" ht="15.75" customHeight="1">
      <c r="B134" s="2" t="s">
        <v>436</v>
      </c>
      <c r="C134" s="2" t="s">
        <v>437</v>
      </c>
      <c r="D134" s="2" t="s">
        <v>291</v>
      </c>
      <c r="E134" s="2" t="s">
        <v>14</v>
      </c>
      <c r="F134" s="2" t="s">
        <v>15</v>
      </c>
      <c r="G134" s="2" t="s">
        <v>438</v>
      </c>
      <c r="H134" s="2" t="s">
        <v>248</v>
      </c>
      <c r="I134" s="2" t="str">
        <f>IFERROR(__xludf.DUMMYFUNCTION("GOOGLETRANSLATE(C134,""fr"",""en"")"),"This is really a disaster because I have been waiting for reimbursements for soon 4 months, since November 21, 2018, and since that date they have been claiming bills, security statements, etc. In short, not to pay me. Worse, these incapables asked me on "&amp;"February 27 of the original detailed invoices paid for services already taken at 100% by the Social Security.
As a general rule when companies are also poorly managed and close to the balance sheet, so they change their names to be forgotten. We can quot"&amp;"e Vivendi who has become Véolia, Areva spent in Orano, etc.")</f>
        <v>This is really a disaster because I have been waiting for reimbursements for soon 4 months, since November 21, 2018, and since that date they have been claiming bills, security statements, etc. In short, not to pay me. Worse, these incapables asked me on February 27 of the original detailed invoices paid for services already taken at 100% by the Social Security.
As a general rule when companies are also poorly managed and close to the balance sheet, so they change their names to be forgotten. We can quote Vivendi who has become Véolia, Areva spent in Orano, etc.</v>
      </c>
    </row>
    <row r="135" ht="15.75" customHeight="1">
      <c r="B135" s="2" t="s">
        <v>439</v>
      </c>
      <c r="C135" s="2" t="s">
        <v>440</v>
      </c>
      <c r="D135" s="2" t="s">
        <v>291</v>
      </c>
      <c r="E135" s="2" t="s">
        <v>14</v>
      </c>
      <c r="F135" s="2" t="s">
        <v>15</v>
      </c>
      <c r="G135" s="2" t="s">
        <v>441</v>
      </c>
      <c r="H135" s="2" t="s">
        <v>442</v>
      </c>
      <c r="I135" s="2" t="str">
        <f>IFERROR(__xludf.DUMMYFUNCTION("GOOGLETRANSLATE(C135,""fr"",""en"")"),"I have been awaiting a refund regarding orthopedic costs for more than two months. They were wrong and did not take into account the additional option of my contract which guaranteed me a reimbursement of 200 percent of BR we have always settled our deadl"&amp;"ines. It's a shame. We will terminate our contract and inform our employer that this mutual company is not serious. They do not help their mistakes and incompetence to process the files of the insured.")</f>
        <v>I have been awaiting a refund regarding orthopedic costs for more than two months. They were wrong and did not take into account the additional option of my contract which guaranteed me a reimbursement of 200 percent of BR we have always settled our deadlines. It's a shame. We will terminate our contract and inform our employer that this mutual company is not serious. They do not help their mistakes and incompetence to process the files of the insured.</v>
      </c>
    </row>
    <row r="136" ht="15.75" customHeight="1">
      <c r="B136" s="2" t="s">
        <v>443</v>
      </c>
      <c r="C136" s="2" t="s">
        <v>444</v>
      </c>
      <c r="D136" s="2" t="s">
        <v>291</v>
      </c>
      <c r="E136" s="2" t="s">
        <v>14</v>
      </c>
      <c r="F136" s="2" t="s">
        <v>15</v>
      </c>
      <c r="G136" s="2" t="s">
        <v>445</v>
      </c>
      <c r="H136" s="2" t="s">
        <v>446</v>
      </c>
      <c r="I136" s="2" t="str">
        <f>IFERROR(__xludf.DUMMYFUNCTION("GOOGLETRANSLATE(C136,""fr"",""en"")"),"Just a disaster, more than 2 months that I expect to reimburse my dental care.
invoice transmitted the day after the act.
The CPAM reimbursed its share in 4 days.
They communicate to me 6 working weeks of delay, but we are already at more than 10.
Go "&amp;"see elsewhere there can not be worse!")</f>
        <v>Just a disaster, more than 2 months that I expect to reimburse my dental care.
invoice transmitted the day after the act.
The CPAM reimbursed its share in 4 days.
They communicate to me 6 working weeks of delay, but we are already at more than 10.
Go see elsewhere there can not be worse!</v>
      </c>
    </row>
    <row r="137" ht="15.75" customHeight="1">
      <c r="B137" s="2" t="s">
        <v>447</v>
      </c>
      <c r="C137" s="2" t="s">
        <v>448</v>
      </c>
      <c r="D137" s="2" t="s">
        <v>291</v>
      </c>
      <c r="E137" s="2" t="s">
        <v>14</v>
      </c>
      <c r="F137" s="2" t="s">
        <v>15</v>
      </c>
      <c r="G137" s="2" t="s">
        <v>449</v>
      </c>
      <c r="H137" s="2" t="s">
        <v>446</v>
      </c>
      <c r="I137" s="2" t="str">
        <f>IFERROR(__xludf.DUMMYFUNCTION("GOOGLETRANSLATE(C137,""fr"",""en"")"),"More than 2 months to receive my refund following an MRI! Customer service has no response to give this subject and sends the request ""to the competent service that will contact you later"" never had a return from them! No problem when it goes through te"&amp;"letransmission but when it is up to us, customer, to send a refund request is another story.")</f>
        <v>More than 2 months to receive my refund following an MRI! Customer service has no response to give this subject and sends the request "to the competent service that will contact you later" never had a return from them! No problem when it goes through teletransmission but when it is up to us, customer, to send a refund request is another story.</v>
      </c>
    </row>
    <row r="138" ht="15.75" customHeight="1">
      <c r="B138" s="2" t="s">
        <v>450</v>
      </c>
      <c r="C138" s="2" t="s">
        <v>451</v>
      </c>
      <c r="D138" s="2" t="s">
        <v>291</v>
      </c>
      <c r="E138" s="2" t="s">
        <v>14</v>
      </c>
      <c r="F138" s="2" t="s">
        <v>15</v>
      </c>
      <c r="G138" s="2" t="s">
        <v>452</v>
      </c>
      <c r="H138" s="2" t="s">
        <v>453</v>
      </c>
      <c r="I138" s="2" t="str">
        <f>IFERROR(__xludf.DUMMYFUNCTION("GOOGLETRANSLATE(C138,""fr"",""en"")"),"does not reimburse his obligations and does not meet email or recommended letters with AR not believable I sent four requests by email, a registered letter with AR received on November 26 to date, we can not even send an email anymore")</f>
        <v>does not reimburse his obligations and does not meet email or recommended letters with AR not believable I sent four requests by email, a registered letter with AR received on November 26 to date, we can not even send an email anymore</v>
      </c>
    </row>
    <row r="139" ht="15.75" customHeight="1">
      <c r="B139" s="2" t="s">
        <v>454</v>
      </c>
      <c r="C139" s="2" t="s">
        <v>455</v>
      </c>
      <c r="D139" s="2" t="s">
        <v>291</v>
      </c>
      <c r="E139" s="2" t="s">
        <v>14</v>
      </c>
      <c r="F139" s="2" t="s">
        <v>15</v>
      </c>
      <c r="G139" s="2" t="s">
        <v>456</v>
      </c>
      <c r="H139" s="2" t="s">
        <v>457</v>
      </c>
      <c r="I139" s="2" t="str">
        <f>IFERROR(__xludf.DUMMYFUNCTION("GOOGLETRANSLATE(C139,""fr"",""en"")"),"I have been a client AG2R La Mondiale Health for several years. As of January 1, 2018, AG2R passed Viassanté. It's catastrophic. Customer service below everything. No response to contact in writing on the site. Refund by virment impossible from the start "&amp;"despite 3 requests. Refund checks are sent with a period of more than 1 month after 3 complaints. Deplorable")</f>
        <v>I have been a client AG2R La Mondiale Health for several years. As of January 1, 2018, AG2R passed Viassanté. It's catastrophic. Customer service below everything. No response to contact in writing on the site. Refund by virment impossible from the start despite 3 requests. Refund checks are sent with a period of more than 1 month after 3 complaints. Deplorable</v>
      </c>
    </row>
    <row r="140" ht="15.75" customHeight="1">
      <c r="B140" s="2" t="s">
        <v>458</v>
      </c>
      <c r="C140" s="2" t="s">
        <v>459</v>
      </c>
      <c r="D140" s="2" t="s">
        <v>291</v>
      </c>
      <c r="E140" s="2" t="s">
        <v>14</v>
      </c>
      <c r="F140" s="2" t="s">
        <v>15</v>
      </c>
      <c r="G140" s="2" t="s">
        <v>460</v>
      </c>
      <c r="H140" s="2" t="s">
        <v>252</v>
      </c>
      <c r="I140" s="2" t="str">
        <f>IFERROR(__xludf.DUMMYFUNCTION("GOOGLETRANSLATE(C140,""fr"",""en"")"),"of the same opinion as Clairette.
To flee no interlocutor when there is a problem with their fact.")</f>
        <v>of the same opinion as Clairette.
To flee no interlocutor when there is a problem with their fact.</v>
      </c>
    </row>
    <row r="141" ht="15.75" customHeight="1">
      <c r="B141" s="2" t="s">
        <v>461</v>
      </c>
      <c r="C141" s="2" t="s">
        <v>462</v>
      </c>
      <c r="D141" s="2" t="s">
        <v>291</v>
      </c>
      <c r="E141" s="2" t="s">
        <v>14</v>
      </c>
      <c r="F141" s="2" t="s">
        <v>15</v>
      </c>
      <c r="G141" s="2" t="s">
        <v>463</v>
      </c>
      <c r="H141" s="2" t="s">
        <v>252</v>
      </c>
      <c r="I141" s="2" t="str">
        <f>IFERROR(__xludf.DUMMYFUNCTION("GOOGLETRANSLATE(C141,""fr"",""en"")"),"Why transmit a dental quote in order to know the amount of care if ultimately the reimbursement does not correspond to everything to the information transmitted to the insured?")</f>
        <v>Why transmit a dental quote in order to know the amount of care if ultimately the reimbursement does not correspond to everything to the information transmitted to the insured?</v>
      </c>
    </row>
    <row r="142" ht="15.75" customHeight="1">
      <c r="B142" s="2" t="s">
        <v>464</v>
      </c>
      <c r="C142" s="2" t="s">
        <v>465</v>
      </c>
      <c r="D142" s="2" t="s">
        <v>291</v>
      </c>
      <c r="E142" s="2" t="s">
        <v>14</v>
      </c>
      <c r="F142" s="2" t="s">
        <v>15</v>
      </c>
      <c r="G142" s="2" t="s">
        <v>466</v>
      </c>
      <c r="H142" s="2" t="s">
        <v>467</v>
      </c>
      <c r="I142" s="2" t="str">
        <f>IFERROR(__xludf.DUMMYFUNCTION("GOOGLETRANSLATE(C142,""fr"",""en"")"),"Very bad to flee this insurer especially for repatriation seeks the little beast does not try to know the health of the customer does not want to know anything
")</f>
        <v>Very bad to flee this insurer especially for repatriation seeks the little beast does not try to know the health of the customer does not want to know anything
</v>
      </c>
    </row>
    <row r="143" ht="15.75" customHeight="1">
      <c r="B143" s="2" t="s">
        <v>468</v>
      </c>
      <c r="C143" s="2" t="s">
        <v>469</v>
      </c>
      <c r="D143" s="2" t="s">
        <v>291</v>
      </c>
      <c r="E143" s="2" t="s">
        <v>14</v>
      </c>
      <c r="F143" s="2" t="s">
        <v>15</v>
      </c>
      <c r="G143" s="2" t="s">
        <v>470</v>
      </c>
      <c r="H143" s="2" t="s">
        <v>260</v>
      </c>
      <c r="I143" s="2" t="str">
        <f>IFERROR(__xludf.DUMMYFUNCTION("GOOGLETRANSLATE(C143,""fr"",""en"")"),"To flee these are usurers, no more or less, I detail precisely what you expose yourself if you take the risk of trusting your health!")</f>
        <v>To flee these are usurers, no more or less, I detail precisely what you expose yourself if you take the risk of trusting your health!</v>
      </c>
    </row>
    <row r="144" ht="15.75" customHeight="1">
      <c r="B144" s="2" t="s">
        <v>471</v>
      </c>
      <c r="C144" s="2" t="s">
        <v>472</v>
      </c>
      <c r="D144" s="2" t="s">
        <v>291</v>
      </c>
      <c r="E144" s="2" t="s">
        <v>14</v>
      </c>
      <c r="F144" s="2" t="s">
        <v>15</v>
      </c>
      <c r="G144" s="2" t="s">
        <v>259</v>
      </c>
      <c r="H144" s="2" t="s">
        <v>260</v>
      </c>
      <c r="I144" s="2" t="str">
        <f>IFERROR(__xludf.DUMMYFUNCTION("GOOGLETRANSLATE(C144,""fr"",""en"")"),"I benefited from the compulsory business mutual insurance company and when I no longer was part of the company I was able to benefit from it with the portability of the rights I am so very satisfied with")</f>
        <v>I benefited from the compulsory business mutual insurance company and when I no longer was part of the company I was able to benefit from it with the portability of the rights I am so very satisfied with</v>
      </c>
    </row>
    <row r="145" ht="15.75" customHeight="1">
      <c r="B145" s="2" t="s">
        <v>473</v>
      </c>
      <c r="C145" s="2" t="s">
        <v>474</v>
      </c>
      <c r="D145" s="2" t="s">
        <v>291</v>
      </c>
      <c r="E145" s="2" t="s">
        <v>14</v>
      </c>
      <c r="F145" s="2" t="s">
        <v>15</v>
      </c>
      <c r="G145" s="2" t="s">
        <v>475</v>
      </c>
      <c r="H145" s="2" t="s">
        <v>476</v>
      </c>
      <c r="I145" s="2" t="str">
        <f>IFERROR(__xludf.DUMMYFUNCTION("GOOGLETRANSLATE(C145,""fr"",""en"")"),"I subscribed on March 1 an AG2R company mutual which is compulsory. I have called this mutual several times to find out where my file was and it was only after several calls that I had as information that I was not affiliated ... my employer did not had n"&amp;"ot given the document. So I sent all the necessary documents on March 27 and not having received my mutual card I have taken contact with customer service to find out the advanced state of my file. One of my interlocutors made me understand that there wer"&amp;"e more than 3 weeks of delay in all the treatments concerning this mutual: memberships, reimbursements ... She gave me no information on follow -up ... not interested !!!! I since recalled the service and a new interlocutor even less competent and not kin"&amp;"d that has no place in customer service related to health and people! AG2R La Mondiale is overwhelmed and not able to manage people's health !!!!! We do not hesitate to tell you that if anything happens to you, it will be up to you to advance the costs si"&amp;"nce still no card !!!!!!!!!!! I am outraged by this lack of professionalism, this lack of kindness, this lack of analysis, this lack of involvement in the profession, this lack of respect in the way of expressing themselves, this total lack of follow -up "&amp;"and I calls for management and political leaders so that the health of people is entrusted to serious groups and not for lucrative purposes ... This mutual is to be avoided ... but compulsory!")</f>
        <v>I subscribed on March 1 an AG2R company mutual which is compulsory. I have called this mutual several times to find out where my file was and it was only after several calls that I had as information that I was not affiliated ... my employer did not had not given the document. So I sent all the necessary documents on March 27 and not having received my mutual card I have taken contact with customer service to find out the advanced state of my file. One of my interlocutors made me understand that there were more than 3 weeks of delay in all the treatments concerning this mutual: memberships, reimbursements ... She gave me no information on follow -up ... not interested !!!! I since recalled the service and a new interlocutor even less competent and not kind that has no place in customer service related to health and people! AG2R La Mondiale is overwhelmed and not able to manage people's health !!!!! We do not hesitate to tell you that if anything happens to you, it will be up to you to advance the costs since still no card !!!!!!!!!!! I am outraged by this lack of professionalism, this lack of kindness, this lack of analysis, this lack of involvement in the profession, this lack of respect in the way of expressing themselves, this total lack of follow -up and I calls for management and political leaders so that the health of people is entrusted to serious groups and not for lucrative purposes ... This mutual is to be avoided ... but compulsory!</v>
      </c>
    </row>
    <row r="146" ht="15.75" customHeight="1">
      <c r="B146" s="2" t="s">
        <v>477</v>
      </c>
      <c r="C146" s="2" t="s">
        <v>478</v>
      </c>
      <c r="D146" s="2" t="s">
        <v>291</v>
      </c>
      <c r="E146" s="2" t="s">
        <v>14</v>
      </c>
      <c r="F146" s="2" t="s">
        <v>15</v>
      </c>
      <c r="G146" s="2" t="s">
        <v>479</v>
      </c>
      <c r="H146" s="2" t="s">
        <v>264</v>
      </c>
      <c r="I146" s="2" t="str">
        <f>IFERROR(__xludf.DUMMYFUNCTION("GOOGLETRANSLATE(C146,""fr"",""en"")"),"I had to leave AG2R la Mondaile via health to take the mutual of my business and I regret it. I come back as soon as possible.
The quality of service and warranty at a price and it is justified.")</f>
        <v>I had to leave AG2R la Mondaile via health to take the mutual of my business and I regret it. I come back as soon as possible.
The quality of service and warranty at a price and it is justified.</v>
      </c>
    </row>
    <row r="147" ht="15.75" customHeight="1">
      <c r="B147" s="2" t="s">
        <v>480</v>
      </c>
      <c r="C147" s="2" t="s">
        <v>481</v>
      </c>
      <c r="D147" s="2" t="s">
        <v>291</v>
      </c>
      <c r="E147" s="2" t="s">
        <v>14</v>
      </c>
      <c r="F147" s="2" t="s">
        <v>15</v>
      </c>
      <c r="G147" s="2" t="s">
        <v>482</v>
      </c>
      <c r="H147" s="2" t="s">
        <v>277</v>
      </c>
      <c r="I147" s="2" t="str">
        <f>IFERROR(__xludf.DUMMYFUNCTION("GOOGLETRANSLATE(C147,""fr"",""en"")"),"For 7 years I have been obliged to have this mutual by my employer. This is withdrawn directly from my salary. For 7 years I have never received any reimbursements and it is not mistakes to call them to ask for explanations. They answer me that they do no"&amp;"t understand why my file would have been validated and then overwhelmed then revalidated. Even for the wage supplements they pay to the employer directly, the problem is that my employer has never touched anything. I just had a baby and I received a lot o"&amp;"f care because threat of premature delivery. This mutual is a scandal !!!!")</f>
        <v>For 7 years I have been obliged to have this mutual by my employer. This is withdrawn directly from my salary. For 7 years I have never received any reimbursements and it is not mistakes to call them to ask for explanations. They answer me that they do not understand why my file would have been validated and then overwhelmed then revalidated. Even for the wage supplements they pay to the employer directly, the problem is that my employer has never touched anything. I just had a baby and I received a lot of care because threat of premature delivery. This mutual is a scandal !!!!</v>
      </c>
    </row>
    <row r="148" ht="15.75" customHeight="1">
      <c r="B148" s="2" t="s">
        <v>483</v>
      </c>
      <c r="C148" s="2" t="s">
        <v>484</v>
      </c>
      <c r="D148" s="2" t="s">
        <v>291</v>
      </c>
      <c r="E148" s="2" t="s">
        <v>14</v>
      </c>
      <c r="F148" s="2" t="s">
        <v>15</v>
      </c>
      <c r="G148" s="2" t="s">
        <v>485</v>
      </c>
      <c r="H148" s="2" t="s">
        <v>277</v>
      </c>
      <c r="I148" s="2" t="str">
        <f>IFERROR(__xludf.DUMMYFUNCTION("GOOGLETRANSLATE(C148,""fr"",""en"")"),"AG2R practices a non -payment policy by all means. Despite all the supporting documents given being registered as a job seeker within the requested deadlines (AG2R being obliged by law to continue insurance during the first year of unemployment), I learne"&amp;"d in February 2018 by chance in the treatment of a Refund to be struck off since November 2017! And this without any prior information and especially without any rights from AG2R to proceed as well. Complicated dental reimbursement in the past, requests i"&amp;"nformation from which AG2R has the trace anyway, e.g. Social Security reimbursement (which is directly sent to the insurer) ... shocking")</f>
        <v>AG2R practices a non -payment policy by all means. Despite all the supporting documents given being registered as a job seeker within the requested deadlines (AG2R being obliged by law to continue insurance during the first year of unemployment), I learned in February 2018 by chance in the treatment of a Refund to be struck off since November 2017! And this without any prior information and especially without any rights from AG2R to proceed as well. Complicated dental reimbursement in the past, requests information from which AG2R has the trace anyway, e.g. Social Security reimbursement (which is directly sent to the insurer) ... shocking</v>
      </c>
    </row>
    <row r="149" ht="15.75" customHeight="1">
      <c r="B149" s="2" t="s">
        <v>486</v>
      </c>
      <c r="C149" s="2" t="s">
        <v>487</v>
      </c>
      <c r="D149" s="2" t="s">
        <v>291</v>
      </c>
      <c r="E149" s="2" t="s">
        <v>14</v>
      </c>
      <c r="F149" s="2" t="s">
        <v>15</v>
      </c>
      <c r="G149" s="2" t="s">
        <v>488</v>
      </c>
      <c r="H149" s="2" t="s">
        <v>277</v>
      </c>
      <c r="I149" s="2" t="str">
        <f>IFERROR(__xludf.DUMMYFUNCTION("GOOGLETRANSLATE(C149,""fr"",""en"")"),"Mutual via health of the AG2R La Mondiale group
Without any lack of contributions without any lack but do not reimburse the costs incurred. Worse, after two recommended letters, they invent a refund except that the date of it is prior to the date of care"&amp;". The mediator is to absent subscribers (including by registered letter). They must be threatened with the courts and involve his lawyers so that they accept the termination however addressed by registered letter 3 months before the deadline.")</f>
        <v>Mutual via health of the AG2R La Mondiale group
Without any lack of contributions without any lack but do not reimburse the costs incurred. Worse, after two recommended letters, they invent a refund except that the date of it is prior to the date of care. The mediator is to absent subscribers (including by registered letter). They must be threatened with the courts and involve his lawyers so that they accept the termination however addressed by registered letter 3 months before the deadline.</v>
      </c>
    </row>
    <row r="150" ht="15.75" customHeight="1">
      <c r="B150" s="2" t="s">
        <v>489</v>
      </c>
      <c r="C150" s="2" t="s">
        <v>490</v>
      </c>
      <c r="D150" s="2" t="s">
        <v>291</v>
      </c>
      <c r="E150" s="2" t="s">
        <v>14</v>
      </c>
      <c r="F150" s="2" t="s">
        <v>15</v>
      </c>
      <c r="G150" s="2" t="s">
        <v>491</v>
      </c>
      <c r="H150" s="2" t="s">
        <v>284</v>
      </c>
      <c r="I150" s="2" t="str">
        <f>IFERROR(__xludf.DUMMYFUNCTION("GOOGLETRANSLATE(C150,""fr"",""en"")"),"It's been since September that we asked for our termination, changing mutual in January of this year
We had trouble having this document, which was essential for the new mutual.
Now that we are affiliated with this new mutual, we have another problem th"&amp;"at is in size. AG2R has still not done the necessary with the CPAM. Despite many telephone calls nobody seems to be worried by this concern. It is as if we had no mutual. If this continues we will go through a mediator, since it is planned. How long will "&amp;"we have to wait. Imagine hospitalization or surgical procedure !! It is unworthy of a mutual which, as if by chance, is quite classified.")</f>
        <v>It's been since September that we asked for our termination, changing mutual in January of this year
We had trouble having this document, which was essential for the new mutual.
Now that we are affiliated with this new mutual, we have another problem that is in size. AG2R has still not done the necessary with the CPAM. Despite many telephone calls nobody seems to be worried by this concern. It is as if we had no mutual. If this continues we will go through a mediator, since it is planned. How long will we have to wait. Imagine hospitalization or surgical procedure !! It is unworthy of a mutual which, as if by chance, is quite classified.</v>
      </c>
    </row>
    <row r="151" ht="15.75" customHeight="1">
      <c r="B151" s="2" t="s">
        <v>492</v>
      </c>
      <c r="C151" s="2" t="s">
        <v>493</v>
      </c>
      <c r="D151" s="2" t="s">
        <v>291</v>
      </c>
      <c r="E151" s="2" t="s">
        <v>14</v>
      </c>
      <c r="F151" s="2" t="s">
        <v>15</v>
      </c>
      <c r="G151" s="2" t="s">
        <v>494</v>
      </c>
      <c r="H151" s="2" t="s">
        <v>495</v>
      </c>
      <c r="I151" s="2" t="str">
        <f>IFERROR(__xludf.DUMMYFUNCTION("GOOGLETRANSLATE(C151,""fr"",""en"")"),"Via health despairs me. No agreement with the Tours University Hospital, obligation to send the documents to Lyon, no response to my emails, processing for very long refund requests, no visibility on the amount of reimbursements expected. However, I am a "&amp;"client that requires few reimbursements. In short, I will break my contract after 3 years. And turn to a reliable organism that does not gargle with snoring words to bait you.")</f>
        <v>Via health despairs me. No agreement with the Tours University Hospital, obligation to send the documents to Lyon, no response to my emails, processing for very long refund requests, no visibility on the amount of reimbursements expected. However, I am a client that requires few reimbursements. In short, I will break my contract after 3 years. And turn to a reliable organism that does not gargle with snoring words to bait you.</v>
      </c>
    </row>
    <row r="152" ht="15.75" customHeight="1">
      <c r="B152" s="2" t="s">
        <v>496</v>
      </c>
      <c r="C152" s="2" t="s">
        <v>497</v>
      </c>
      <c r="D152" s="2" t="s">
        <v>291</v>
      </c>
      <c r="E152" s="2" t="s">
        <v>14</v>
      </c>
      <c r="F152" s="2" t="s">
        <v>15</v>
      </c>
      <c r="G152" s="2" t="s">
        <v>498</v>
      </c>
      <c r="H152" s="2" t="s">
        <v>499</v>
      </c>
      <c r="I152" s="2" t="str">
        <f>IFERROR(__xludf.DUMMYFUNCTION("GOOGLETRANSLATE(C152,""fr"",""en"")"),"I just took my mutual insurance company at Viasanté following a change of job. I really do not recommend ... Like many people a delay for reimbursements which is very very very long ... Today I am told that I will be reimbursed by check and that the proce"&amp;"ssing period is 21 days. .. Yet I provided my RIB well and the proof is that my subscription was taken well and without delay it !!!! I also sent a dental quote almost a month ago but no news either ... In view of the prices is really not serious ... mutu"&amp;"al to flee, I will go and resume a contract in A mutual worthy of the name ...")</f>
        <v>I just took my mutual insurance company at Viasanté following a change of job. I really do not recommend ... Like many people a delay for reimbursements which is very very very long ... Today I am told that I will be reimbursed by check and that the processing period is 21 days. .. Yet I provided my RIB well and the proof is that my subscription was taken well and without delay it !!!! I also sent a dental quote almost a month ago but no news either ... In view of the prices is really not serious ... mutual to flee, I will go and resume a contract in A mutual worthy of the name ...</v>
      </c>
    </row>
    <row r="153" ht="15.75" customHeight="1">
      <c r="B153" s="2" t="s">
        <v>500</v>
      </c>
      <c r="C153" s="2" t="s">
        <v>501</v>
      </c>
      <c r="D153" s="2" t="s">
        <v>291</v>
      </c>
      <c r="E153" s="2" t="s">
        <v>14</v>
      </c>
      <c r="F153" s="2" t="s">
        <v>15</v>
      </c>
      <c r="G153" s="2" t="s">
        <v>502</v>
      </c>
      <c r="H153" s="2" t="s">
        <v>499</v>
      </c>
      <c r="I153" s="2" t="str">
        <f>IFERROR(__xludf.DUMMYFUNCTION("GOOGLETRANSLATE(C153,""fr"",""en"")"),"Hello I had a sick leave from May 17 to June 4, 2017 My file was created on 05/31/2017
and bears the 2017151673265 number. Today on August 10, 2017 I still expect my shameful compensation")</f>
        <v>Hello I had a sick leave from May 17 to June 4, 2017 My file was created on 05/31/2017
and bears the 2017151673265 number. Today on August 10, 2017 I still expect my shameful compensation</v>
      </c>
    </row>
    <row r="154" ht="15.75" customHeight="1">
      <c r="B154" s="2" t="s">
        <v>503</v>
      </c>
      <c r="C154" s="2" t="s">
        <v>504</v>
      </c>
      <c r="D154" s="2" t="s">
        <v>291</v>
      </c>
      <c r="E154" s="2" t="s">
        <v>14</v>
      </c>
      <c r="F154" s="2" t="s">
        <v>15</v>
      </c>
      <c r="G154" s="2" t="s">
        <v>505</v>
      </c>
      <c r="H154" s="2" t="s">
        <v>506</v>
      </c>
      <c r="I154" s="2" t="str">
        <f>IFERROR(__xludf.DUMMYFUNCTION("GOOGLETRANSLATE(C154,""fr"",""en"")"),"Attention !!! Very negligent and incompetent health mutual service !! It has been 4 times that I recall and that I relaunch my file because need to answer for an urgent treatment with my dentist - I took myself quite ahead however !!! I am reassured that "&amp;"the file has been well received and that it is being processed, I am invited to wait ... Alas at the end of the fifth call an advisor who dares to raise the tone, telling me that the email has not been received, because sent to the customer relations addr"&amp;"ess ...! Yet I received the server's automatic response that the file has been received, and will be processed as soon as possible !!! All this time lost - since it is forced to start the treatment even without having the answer still not knowing how much"&amp;" I would be reimbursed - I always wait !! In addition, requested treated not by the urgency but by the order of arrival-advisor sometimes upset the tone and are unpleasant. Unacceptable knowing how much we contribute.")</f>
        <v>Attention !!! Very negligent and incompetent health mutual service !! It has been 4 times that I recall and that I relaunch my file because need to answer for an urgent treatment with my dentist - I took myself quite ahead however !!! I am reassured that the file has been well received and that it is being processed, I am invited to wait ... Alas at the end of the fifth call an advisor who dares to raise the tone, telling me that the email has not been received, because sent to the customer relations address ...! Yet I received the server's automatic response that the file has been received, and will be processed as soon as possible !!! All this time lost - since it is forced to start the treatment even without having the answer still not knowing how much I would be reimbursed - I always wait !! In addition, requested treated not by the urgency but by the order of arrival-advisor sometimes upset the tone and are unpleasant. Unacceptable knowing how much we contribute.</v>
      </c>
    </row>
    <row r="155" ht="15.75" customHeight="1">
      <c r="B155" s="2" t="s">
        <v>507</v>
      </c>
      <c r="C155" s="2" t="s">
        <v>508</v>
      </c>
      <c r="D155" s="2" t="s">
        <v>291</v>
      </c>
      <c r="E155" s="2" t="s">
        <v>14</v>
      </c>
      <c r="F155" s="2" t="s">
        <v>15</v>
      </c>
      <c r="G155" s="2" t="s">
        <v>509</v>
      </c>
      <c r="H155" s="2" t="s">
        <v>288</v>
      </c>
      <c r="I155" s="2" t="str">
        <f>IFERROR(__xludf.DUMMYFUNCTION("GOOGLETRANSLATE(C155,""fr"",""en"")"),"Mutual very very incompetent I sent my hospital quote I had time to have an operation I still did not know how much I was going to be reimbursed when they call them they have no trace of my shipment while I 'had been contacting by a third person of AG2R c"&amp;"ompared to a complaint who told me I will take care of it faster, a month after nothing. Sometimes advise unpleasant on the phone who allows us to say to us ""you are not exceptional the deadline will be as for the others"" (vis -à -vis the fact that it h"&amp;"ad been two months since I was waiting for my refund) to flee .. for the Price, and for the wait !!!!")</f>
        <v>Mutual very very incompetent I sent my hospital quote I had time to have an operation I still did not know how much I was going to be reimbursed when they call them they have no trace of my shipment while I 'had been contacting by a third person of AG2R compared to a complaint who told me I will take care of it faster, a month after nothing. Sometimes advise unpleasant on the phone who allows us to say to us "you are not exceptional the deadline will be as for the others" (vis -à -vis the fact that it had been two months since I was waiting for my refund) to flee .. for the Price, and for the wait !!!!</v>
      </c>
    </row>
    <row r="156" ht="15.75" customHeight="1">
      <c r="B156" s="2" t="s">
        <v>510</v>
      </c>
      <c r="C156" s="2" t="s">
        <v>511</v>
      </c>
      <c r="D156" s="2" t="s">
        <v>291</v>
      </c>
      <c r="E156" s="2" t="s">
        <v>14</v>
      </c>
      <c r="F156" s="2" t="s">
        <v>15</v>
      </c>
      <c r="G156" s="2" t="s">
        <v>512</v>
      </c>
      <c r="H156" s="2" t="s">
        <v>288</v>
      </c>
      <c r="I156" s="2" t="str">
        <f>IFERROR(__xludf.DUMMYFUNCTION("GOOGLETRANSLATE(C156,""fr"",""en"")"),"Failive organization, opacity, is there a pilot at La Reunica?
It's been 63 days that I expect a reimbursement of € 642.85 following dental care.
The different stages of this endless soap opera:
On 02/28 I receive a letter from the S.S., informing myse"&amp;"lf of my refund and the automatic sending of the elements to the Reunica.
09/03, no news from the Reunica. I call their platform to find out where my refund is. Answer: We have not received anything from the S.S .. to speed up your file you can send us t"&amp;"he documents by email. Something done the same day (document for supporting the reunica, invoice of the dentist, mail of the S.S. attesting to the reimbursement and transmission to the Reunica).
03/27 still no news. I remind the Reunica. Answer: The docu"&amp;"ments have been received, you will be credited within 4 days.
On 05/04 I receive a letter from the Reunica (dated 03/31) asking me the complete file (while I was specified on the phone that they had all the elements of the file). It is impossible for me "&amp;"to identify the person in charge of the file on the mail ... We are in the blur ...
I immediately recall the Reunica which confirms me to be in possession of all the elements to proceed to the payment, do not take into account the mail. My question: when"&amp;" would I be credited? My correspondent cannot give me a date, even approximate. It's at the management service ...
I ask to speak to the manager. My correspondent contacts him but the latter does not wish to take me on the phone ... We are little at La R"&amp;"eunica.
I'm here today ... my next steps:
Complaint mail at the Reunica in A/R, with once again all the elements of the file.
Transmission of the file to the mediator (with the whole file).
Information letter to the Directorate General of La Reunica t"&amp;"o tell them about the shortcomings of their organization and the little consideration they bring to their customers (but in view of the number of complaints, it is unlikely that they are Not aware of these chronic problems and their serious impacts on the"&amp;"ir customers). I don't expect to receive an answer.
Information letter to the repression of fraud (the DGCCRF acts in favor of the economic protection of consumers, the safety and compliance of products and services).
All this takes me time and represen"&amp;"ts a cost (which will not be reimbursed to me), but I undertake you to do the same so that this company is obliged to remedy its internal problems and to respect the contractual commitments that She has her customers.
Note that the Reunica is never late "&amp;"to collect the amount of their subscription each month.
I will keep you posted on the next episodes.
")</f>
        <v>Failive organization, opacity, is there a pilot at La Reunica?
It's been 63 days that I expect a reimbursement of € 642.85 following dental care.
The different stages of this endless soap opera:
On 02/28 I receive a letter from the S.S., informing myself of my refund and the automatic sending of the elements to the Reunica.
09/03, no news from the Reunica. I call their platform to find out where my refund is. Answer: We have not received anything from the S.S .. to speed up your file you can send us the documents by email. Something done the same day (document for supporting the reunica, invoice of the dentist, mail of the S.S. attesting to the reimbursement and transmission to the Reunica).
03/27 still no news. I remind the Reunica. Answer: The documents have been received, you will be credited within 4 days.
On 05/04 I receive a letter from the Reunica (dated 03/31) asking me the complete file (while I was specified on the phone that they had all the elements of the file). It is impossible for me to identify the person in charge of the file on the mail ... We are in the blur ...
I immediately recall the Reunica which confirms me to be in possession of all the elements to proceed to the payment, do not take into account the mail. My question: when would I be credited? My correspondent cannot give me a date, even approximate. It's at the management service ...
I ask to speak to the manager. My correspondent contacts him but the latter does not wish to take me on the phone ... We are little at La Reunica.
I'm here today ... my next steps:
Complaint mail at the Reunica in A/R, with once again all the elements of the file.
Transmission of the file to the mediator (with the whole file).
Information letter to the Directorate General of La Reunica to tell them about the shortcomings of their organization and the little consideration they bring to their customers (but in view of the number of complaints, it is unlikely that they are Not aware of these chronic problems and their serious impacts on their customers). I don't expect to receive an answer.
Information letter to the repression of fraud (the DGCCRF acts in favor of the economic protection of consumers, the safety and compliance of products and services).
All this takes me time and represents a cost (which will not be reimbursed to me), but I undertake you to do the same so that this company is obliged to remedy its internal problems and to respect the contractual commitments that She has her customers.
Note that the Reunica is never late to collect the amount of their subscription each month.
I will keep you posted on the next episodes.
</v>
      </c>
    </row>
    <row r="157" ht="15.75" customHeight="1">
      <c r="B157" s="2" t="s">
        <v>513</v>
      </c>
      <c r="C157" s="2" t="s">
        <v>514</v>
      </c>
      <c r="D157" s="2" t="s">
        <v>291</v>
      </c>
      <c r="E157" s="2" t="s">
        <v>14</v>
      </c>
      <c r="F157" s="2" t="s">
        <v>15</v>
      </c>
      <c r="G157" s="2" t="s">
        <v>515</v>
      </c>
      <c r="H157" s="2" t="s">
        <v>516</v>
      </c>
      <c r="I157" s="2" t="str">
        <f>IFERROR(__xludf.DUMMYFUNCTION("GOOGLETRANSLATE(C157,""fr"",""en"")"),"It is a mutual that is catastrophic in this information on contracts and transmissions ... It has no responsiveness and I have always had concerns with them from the start to the end because today I come Learn by mail that they had struck me after my resi"&amp;"gnation with my former boss 3 weeks ago !!! Not a letter even a phone call to warn me that I was going to be without a mutual insurance company overnight ... I would have been operated during this time I had everything in my pocket and I find it inadmissi"&amp;"ble knowing how that we are obliged to subscribe with them and that they let us go like a shit by finding it ... ""without mutual"". Bravo follow -up and customer service. A mutual that is really ""to avoid""")</f>
        <v>It is a mutual that is catastrophic in this information on contracts and transmissions ... It has no responsiveness and I have always had concerns with them from the start to the end because today I come Learn by mail that they had struck me after my resignation with my former boss 3 weeks ago !!! Not a letter even a phone call to warn me that I was going to be without a mutual insurance company overnight ... I would have been operated during this time I had everything in my pocket and I find it inadmissible knowing how that we are obliged to subscribe with them and that they let us go like a shit by finding it ... "without mutual". Bravo follow -up and customer service. A mutual that is really "to avoid"</v>
      </c>
    </row>
    <row r="158" ht="15.75" customHeight="1">
      <c r="B158" s="2" t="s">
        <v>517</v>
      </c>
      <c r="C158" s="2" t="s">
        <v>518</v>
      </c>
      <c r="D158" s="2" t="s">
        <v>291</v>
      </c>
      <c r="E158" s="2" t="s">
        <v>14</v>
      </c>
      <c r="F158" s="2" t="s">
        <v>15</v>
      </c>
      <c r="G158" s="2" t="s">
        <v>519</v>
      </c>
      <c r="H158" s="2" t="s">
        <v>516</v>
      </c>
      <c r="I158" s="2" t="str">
        <f>IFERROR(__xludf.DUMMYFUNCTION("GOOGLETRANSLATE(C158,""fr"",""en"")"),"This insurance is catastrophic in this information on contracts and has no responsiveness (certainly its size which makes it far from its insured) to avoid")</f>
        <v>This insurance is catastrophic in this information on contracts and has no responsiveness (certainly its size which makes it far from its insured) to avoid</v>
      </c>
    </row>
    <row r="159" ht="15.75" customHeight="1">
      <c r="B159" s="2" t="s">
        <v>520</v>
      </c>
      <c r="C159" s="2" t="s">
        <v>521</v>
      </c>
      <c r="D159" s="2" t="s">
        <v>291</v>
      </c>
      <c r="E159" s="2" t="s">
        <v>14</v>
      </c>
      <c r="F159" s="2" t="s">
        <v>15</v>
      </c>
      <c r="G159" s="2" t="s">
        <v>522</v>
      </c>
      <c r="H159" s="2" t="s">
        <v>516</v>
      </c>
      <c r="I159" s="2" t="str">
        <f>IFERROR(__xludf.DUMMYFUNCTION("GOOGLETRANSLATE(C159,""fr"",""en"")"),"I send a request for optical reimbursement, with the invoice, as had been requested. 3 weeks later, I am returned the file, telling me that you need the security count ??? However, the security transmits directly to the mutual, and on the invoice, we can "&amp;"see that the optician made the third party paid safety !!! I will still have to remind them ... What would we do to save time and delay the reimbursements! It is decided, I will leave them, for myself and also all the employees I use within my company.")</f>
        <v>I send a request for optical reimbursement, with the invoice, as had been requested. 3 weeks later, I am returned the file, telling me that you need the security count ??? However, the security transmits directly to the mutual, and on the invoice, we can see that the optician made the third party paid safety !!! I will still have to remind them ... What would we do to save time and delay the reimbursements! It is decided, I will leave them, for myself and also all the employees I use within my company.</v>
      </c>
    </row>
    <row r="160" ht="15.75" customHeight="1">
      <c r="B160" s="2" t="s">
        <v>523</v>
      </c>
      <c r="C160" s="2" t="s">
        <v>524</v>
      </c>
      <c r="D160" s="2" t="s">
        <v>291</v>
      </c>
      <c r="E160" s="2" t="s">
        <v>14</v>
      </c>
      <c r="F160" s="2" t="s">
        <v>15</v>
      </c>
      <c r="G160" s="2" t="s">
        <v>525</v>
      </c>
      <c r="H160" s="2" t="s">
        <v>526</v>
      </c>
      <c r="I160" s="2" t="str">
        <f>IFERROR(__xludf.DUMMYFUNCTION("GOOGLETRANSLATE(C160,""fr"",""en"")"),"It is a big one this mutual, a real lean of fighter to be reimbursed. I have subscribed to this mutual insurance company, and for reimbursement it is unnecessary document requests. To believe that it is done on purpose to delay the reimbursement, minimize"&amp;" the refund or not to reimburse simply. And the worst part is that this box is full of incompetent employees which gives ready -made response to my requests to such. Fortunately I have kept proof of our mail. I still wait for my reimbursement in orthodont"&amp;"ics and I will not let go even to go to court")</f>
        <v>It is a big one this mutual, a real lean of fighter to be reimbursed. I have subscribed to this mutual insurance company, and for reimbursement it is unnecessary document requests. To believe that it is done on purpose to delay the reimbursement, minimize the refund or not to reimburse simply. And the worst part is that this box is full of incompetent employees which gives ready -made response to my requests to such. Fortunately I have kept proof of our mail. I still wait for my reimbursement in orthodontics and I will not let go even to go to court</v>
      </c>
    </row>
    <row r="161" ht="15.75" customHeight="1">
      <c r="B161" s="2" t="s">
        <v>527</v>
      </c>
      <c r="C161" s="2" t="s">
        <v>528</v>
      </c>
      <c r="D161" s="2" t="s">
        <v>291</v>
      </c>
      <c r="E161" s="2" t="s">
        <v>14</v>
      </c>
      <c r="F161" s="2" t="s">
        <v>15</v>
      </c>
      <c r="G161" s="2" t="s">
        <v>529</v>
      </c>
      <c r="H161" s="2" t="s">
        <v>526</v>
      </c>
      <c r="I161" s="2" t="str">
        <f>IFERROR(__xludf.DUMMYFUNCTION("GOOGLETRANSLATE(C161,""fr"",""en"")"),"We are in March; My contract expires in seven. I asked to modify the contract: refusal. Any modification can only be made at maturity; Result: I will terminate this complementary health contract.")</f>
        <v>We are in March; My contract expires in seven. I asked to modify the contract: refusal. Any modification can only be made at maturity; Result: I will terminate this complementary health contract.</v>
      </c>
    </row>
    <row r="162" ht="15.75" customHeight="1">
      <c r="B162" s="2" t="s">
        <v>530</v>
      </c>
      <c r="C162" s="2" t="s">
        <v>531</v>
      </c>
      <c r="D162" s="2" t="s">
        <v>291</v>
      </c>
      <c r="E162" s="2" t="s">
        <v>14</v>
      </c>
      <c r="F162" s="2" t="s">
        <v>15</v>
      </c>
      <c r="G162" s="2" t="s">
        <v>532</v>
      </c>
      <c r="H162" s="2" t="s">
        <v>17</v>
      </c>
      <c r="I162" s="2" t="str">
        <f>IFERROR(__xludf.DUMMYFUNCTION("GOOGLETRANSLATE(C162,""fr"",""en"")"),"Unqualified customer service, the personnel tell us that the customer wants to hear without real orient him and inform him of the important searches for the good driving of the situation!
Walking a platform in a telephonic platform !!!
Fortunately I cam"&amp;"e across an honest person on 5 calls, who confirmed to me that the other people did not do their jobs in the rules because in a hurry to end the Listening Telephonic! Fortunately, calls are recorded to prove my franchise and my words !!!!")</f>
        <v>Unqualified customer service, the personnel tell us that the customer wants to hear without real orient him and inform him of the important searches for the good driving of the situation!
Walking a platform in a telephonic platform !!!
Fortunately I came across an honest person on 5 calls, who confirmed to me that the other people did not do their jobs in the rules because in a hurry to end the Listening Telephonic! Fortunately, calls are recorded to prove my franchise and my words !!!!</v>
      </c>
    </row>
    <row r="163" ht="15.75" customHeight="1">
      <c r="B163" s="2" t="s">
        <v>533</v>
      </c>
      <c r="C163" s="2" t="s">
        <v>534</v>
      </c>
      <c r="D163" s="2" t="s">
        <v>291</v>
      </c>
      <c r="E163" s="2" t="s">
        <v>14</v>
      </c>
      <c r="F163" s="2" t="s">
        <v>15</v>
      </c>
      <c r="G163" s="2" t="s">
        <v>20</v>
      </c>
      <c r="H163" s="2" t="s">
        <v>17</v>
      </c>
      <c r="I163" s="2" t="str">
        <f>IFERROR(__xludf.DUMMYFUNCTION("GOOGLETRANSLATE(C163,""fr"",""en"")"),"Their site is zero; Their organization is zero; zero care;")</f>
        <v>Their site is zero; Their organization is zero; zero care;</v>
      </c>
    </row>
    <row r="164" ht="15.75" customHeight="1">
      <c r="B164" s="2" t="s">
        <v>535</v>
      </c>
      <c r="C164" s="2" t="s">
        <v>536</v>
      </c>
      <c r="D164" s="2" t="s">
        <v>291</v>
      </c>
      <c r="E164" s="2" t="s">
        <v>14</v>
      </c>
      <c r="F164" s="2" t="s">
        <v>15</v>
      </c>
      <c r="G164" s="2" t="s">
        <v>537</v>
      </c>
      <c r="H164" s="2" t="s">
        <v>17</v>
      </c>
      <c r="I164" s="2" t="str">
        <f>IFERROR(__xludf.DUMMYFUNCTION("GOOGLETRANSLATE(C164,""fr"",""en"")"),"Never respond to your requests as well by email and in writing and especially that they never communicate to you (especially around December) the cost of your contribution of the next year for fear of termination --- scandalous ?????? ???
go through")</f>
        <v>Never respond to your requests as well by email and in writing and especially that they never communicate to you (especially around December) the cost of your contribution of the next year for fear of termination --- scandalous ?????? ???
go through</v>
      </c>
    </row>
    <row r="165" ht="15.75" customHeight="1">
      <c r="B165" s="2" t="s">
        <v>538</v>
      </c>
      <c r="C165" s="2" t="s">
        <v>539</v>
      </c>
      <c r="D165" s="2" t="s">
        <v>291</v>
      </c>
      <c r="E165" s="2" t="s">
        <v>14</v>
      </c>
      <c r="F165" s="2" t="s">
        <v>15</v>
      </c>
      <c r="G165" s="2" t="s">
        <v>540</v>
      </c>
      <c r="H165" s="2" t="s">
        <v>17</v>
      </c>
      <c r="I165" s="2" t="str">
        <f>IFERROR(__xludf.DUMMYFUNCTION("GOOGLETRANSLATE(C165,""fr"",""en"")"),"Adherting for 4 years now, this is the first time that I have to use my optical warranty which should be at € 300, guarantee acquired maximum reached from the 3rd year and it is without any other condition. This is what is written black on white in my con"&amp;"tract. Unfortunately in reality; It is not at all that. I am told that the amount reimbursed depends on the correction of views; Which is obviously written anywhere in my contract. We managed to have someone from customer service but we don't stop walking"&amp;" from left to right. And the version of the answers changes from one person to another. Some tell me that actually I am entitled to the € 300 that I had been promised but it is not the right service and others that I am not entitled to it but that they ar"&amp;"e not in the possibility of Tell me clearly why it is not mentioned in my contract. Very disappointed with this lack of professionalism")</f>
        <v>Adherting for 4 years now, this is the first time that I have to use my optical warranty which should be at € 300, guarantee acquired maximum reached from the 3rd year and it is without any other condition. This is what is written black on white in my contract. Unfortunately in reality; It is not at all that. I am told that the amount reimbursed depends on the correction of views; Which is obviously written anywhere in my contract. We managed to have someone from customer service but we don't stop walking from left to right. And the version of the answers changes from one person to another. Some tell me that actually I am entitled to the € 300 that I had been promised but it is not the right service and others that I am not entitled to it but that they are not in the possibility of Tell me clearly why it is not mentioned in my contract. Very disappointed with this lack of professionalism</v>
      </c>
    </row>
    <row r="166" ht="15.75" customHeight="1">
      <c r="B166" s="2" t="s">
        <v>541</v>
      </c>
      <c r="C166" s="2" t="s">
        <v>542</v>
      </c>
      <c r="D166" s="2" t="s">
        <v>291</v>
      </c>
      <c r="E166" s="2" t="s">
        <v>14</v>
      </c>
      <c r="F166" s="2" t="s">
        <v>15</v>
      </c>
      <c r="G166" s="2" t="s">
        <v>543</v>
      </c>
      <c r="H166" s="2" t="s">
        <v>544</v>
      </c>
      <c r="I166" s="2" t="str">
        <f>IFERROR(__xludf.DUMMYFUNCTION("GOOGLETRANSLATE(C166,""fr"",""en"")"),"I reached my mutual contract to join AG 2R. I sent the documents, but no certainty that AG 2R received it. I sent 2 emails, no response and I phone after 20 minutes of waiting, an incompetent and casual person was unable to reply to you have received my m"&amp;"embership. I stress in view of your comments because I am covered by my old mutual until January 31. I would like to know what he is going back to possibly adhere to another insurer! But how to know without ending up with 2 mutuals. I am already starting "&amp;"to regret especially after my contact on the phone.")</f>
        <v>I reached my mutual contract to join AG 2R. I sent the documents, but no certainty that AG 2R received it. I sent 2 emails, no response and I phone after 20 minutes of waiting, an incompetent and casual person was unable to reply to you have received my membership. I stress in view of your comments because I am covered by my old mutual until January 31. I would like to know what he is going back to possibly adhere to another insurer! But how to know without ending up with 2 mutuals. I am already starting to regret especially after my contact on the phone.</v>
      </c>
    </row>
    <row r="167" ht="15.75" customHeight="1">
      <c r="B167" s="2" t="s">
        <v>545</v>
      </c>
      <c r="C167" s="2" t="s">
        <v>546</v>
      </c>
      <c r="D167" s="2" t="s">
        <v>291</v>
      </c>
      <c r="E167" s="2" t="s">
        <v>14</v>
      </c>
      <c r="F167" s="2" t="s">
        <v>15</v>
      </c>
      <c r="G167" s="2" t="s">
        <v>547</v>
      </c>
      <c r="H167" s="2" t="s">
        <v>24</v>
      </c>
      <c r="I167" s="2" t="str">
        <f>IFERROR(__xludf.DUMMYFUNCTION("GOOGLETRANSLATE(C167,""fr"",""en"")"),"I pay as much as possible for good coverage but for reimbursement I am asked for papers that no mutual has never asked me, example you go to the hospital for an appointment, you pay the third party and you therefore receive a receipt , well the mutual req"&amp;"uires the total bill to me which the hospital did not provide me. We walk on our heads right now with this mutual")</f>
        <v>I pay as much as possible for good coverage but for reimbursement I am asked for papers that no mutual has never asked me, example you go to the hospital for an appointment, you pay the third party and you therefore receive a receipt , well the mutual requires the total bill to me which the hospital did not provide me. We walk on our heads right now with this mutual</v>
      </c>
    </row>
    <row r="168" ht="15.75" customHeight="1">
      <c r="B168" s="2" t="s">
        <v>548</v>
      </c>
      <c r="C168" s="2" t="s">
        <v>549</v>
      </c>
      <c r="D168" s="2" t="s">
        <v>550</v>
      </c>
      <c r="E168" s="2" t="s">
        <v>14</v>
      </c>
      <c r="F168" s="2" t="s">
        <v>15</v>
      </c>
      <c r="G168" s="2" t="s">
        <v>551</v>
      </c>
      <c r="H168" s="2" t="s">
        <v>126</v>
      </c>
      <c r="I168" s="2" t="str">
        <f>IFERROR(__xludf.DUMMYFUNCTION("GOOGLETRANSLATE(C168,""fr"",""en"")"),"Hi there
Since March 2021, I have been waiting for reimbursements taken care of in the price of my subscription. Letters followed, fax, emails did not give anything. Impossible to have them on the phone. I always await my reimbursements of hospitals and "&amp;"dietician. I finally sent a recommended in October to tell them that I was terminating my contract of December 31, the anniversary of the 1 year. I will oppose the last deadline in December. Maybe they will manifest themselves !!!
To flee at all costs")</f>
        <v>Hi there
Since March 2021, I have been waiting for reimbursements taken care of in the price of my subscription. Letters followed, fax, emails did not give anything. Impossible to have them on the phone. I always await my reimbursements of hospitals and dietician. I finally sent a recommended in October to tell them that I was terminating my contract of December 31, the anniversary of the 1 year. I will oppose the last deadline in December. Maybe they will manifest themselves !!!
To flee at all costs</v>
      </c>
    </row>
    <row r="169" ht="15.75" customHeight="1">
      <c r="B169" s="2" t="s">
        <v>552</v>
      </c>
      <c r="C169" s="2" t="s">
        <v>553</v>
      </c>
      <c r="D169" s="2" t="s">
        <v>550</v>
      </c>
      <c r="E169" s="2" t="s">
        <v>14</v>
      </c>
      <c r="F169" s="2" t="s">
        <v>15</v>
      </c>
      <c r="G169" s="2" t="s">
        <v>554</v>
      </c>
      <c r="H169" s="2" t="s">
        <v>555</v>
      </c>
      <c r="I169" s="2" t="str">
        <f>IFERROR(__xludf.DUMMYFUNCTION("GOOGLETRANSLATE(C169,""fr"",""en"")"),"For more than 6 months Cegema has been reimbursing with more than 20 days or even 1 month late you must telephone or write any written response except after 5 or 6 Relances Telephone of waiting minutes I ask myself the question if this mutual of then 2021"&amp;" has no difficulty if before 2019-2020 nothing to complain about I intend to seize the insurance mediator it is not normal for the withdrawals to admit any delay but the reimbursements at the good will insurer")</f>
        <v>For more than 6 months Cegema has been reimbursing with more than 20 days or even 1 month late you must telephone or write any written response except after 5 or 6 Relances Telephone of waiting minutes I ask myself the question if this mutual of then 2021 has no difficulty if before 2019-2020 nothing to complain about I intend to seize the insurance mediator it is not normal for the withdrawals to admit any delay but the reimbursements at the good will insurer</v>
      </c>
    </row>
    <row r="170" ht="15.75" customHeight="1">
      <c r="B170" s="2" t="s">
        <v>556</v>
      </c>
      <c r="C170" s="2" t="s">
        <v>557</v>
      </c>
      <c r="D170" s="2" t="s">
        <v>550</v>
      </c>
      <c r="E170" s="2" t="s">
        <v>14</v>
      </c>
      <c r="F170" s="2" t="s">
        <v>15</v>
      </c>
      <c r="G170" s="2" t="s">
        <v>555</v>
      </c>
      <c r="H170" s="2" t="s">
        <v>555</v>
      </c>
      <c r="I170" s="2" t="str">
        <f>IFERROR(__xludf.DUMMYFUNCTION("GOOGLETRANSLATE(C170,""fr"",""en"")"),"Membership for my 88 -year -old mother through a broker and I am very disappointed.
Do not be falling asleep by the salesperson and the lower contribution because then you will regret it. Nothing will replace a contact, a direct exchange with a local ins"&amp;"urer.
""An informed person is worth two"" so I advise you great vigilance before signing!")</f>
        <v>Membership for my 88 -year -old mother through a broker and I am very disappointed.
Do not be falling asleep by the salesperson and the lower contribution because then you will regret it. Nothing will replace a contact, a direct exchange with a local insurer.
"An informed person is worth two" so I advise you great vigilance before signing!</v>
      </c>
    </row>
    <row r="171" ht="15.75" customHeight="1">
      <c r="B171" s="2" t="s">
        <v>558</v>
      </c>
      <c r="C171" s="2" t="s">
        <v>559</v>
      </c>
      <c r="D171" s="2" t="s">
        <v>550</v>
      </c>
      <c r="E171" s="2" t="s">
        <v>14</v>
      </c>
      <c r="F171" s="2" t="s">
        <v>15</v>
      </c>
      <c r="G171" s="2" t="s">
        <v>560</v>
      </c>
      <c r="H171" s="2" t="s">
        <v>56</v>
      </c>
      <c r="I171" s="2" t="str">
        <f>IFERROR(__xludf.DUMMYFUNCTION("GOOGLETRANSLATE(C171,""fr"",""en"")"),"No one to flee me I'm waiting for June 2022 for resillier promise to repay but still nothing on the horizon and this since July 2021 it seems that the transfer is gone I only ask to see")</f>
        <v>No one to flee me I'm waiting for June 2022 for resillier promise to repay but still nothing on the horizon and this since July 2021 it seems that the transfer is gone I only ask to see</v>
      </c>
    </row>
    <row r="172" ht="15.75" customHeight="1">
      <c r="B172" s="2" t="s">
        <v>561</v>
      </c>
      <c r="C172" s="2" t="s">
        <v>562</v>
      </c>
      <c r="D172" s="2" t="s">
        <v>550</v>
      </c>
      <c r="E172" s="2" t="s">
        <v>14</v>
      </c>
      <c r="F172" s="2" t="s">
        <v>15</v>
      </c>
      <c r="G172" s="2" t="s">
        <v>563</v>
      </c>
      <c r="H172" s="2" t="s">
        <v>301</v>
      </c>
      <c r="I172" s="2" t="str">
        <f>IFERROR(__xludf.DUMMYFUNCTION("GOOGLETRANSLATE(C172,""fr"",""en"")"),"Flee this mutual. They are zero! We pay them and they lose the checks or do not use the traces of payments, never seen that and bravo acssur for having recommended this mutual !!!")</f>
        <v>Flee this mutual. They are zero! We pay them and they lose the checks or do not use the traces of payments, never seen that and bravo acssur for having recommended this mutual !!!</v>
      </c>
    </row>
    <row r="173" ht="15.75" customHeight="1">
      <c r="B173" s="2" t="s">
        <v>564</v>
      </c>
      <c r="C173" s="2" t="s">
        <v>565</v>
      </c>
      <c r="D173" s="2" t="s">
        <v>550</v>
      </c>
      <c r="E173" s="2" t="s">
        <v>14</v>
      </c>
      <c r="F173" s="2" t="s">
        <v>15</v>
      </c>
      <c r="G173" s="2" t="s">
        <v>566</v>
      </c>
      <c r="H173" s="2" t="s">
        <v>301</v>
      </c>
      <c r="I173" s="2" t="str">
        <f>IFERROR(__xludf.DUMMYFUNCTION("GOOGLETRANSLATE(C173,""fr"",""en"")"),"No service no follow -ups no responses to telephone calls mediocre reimbursements see nonexistent
I am super disappointed with the prices")</f>
        <v>No service no follow -ups no responses to telephone calls mediocre reimbursements see nonexistent
I am super disappointed with the prices</v>
      </c>
    </row>
    <row r="174" ht="15.75" customHeight="1">
      <c r="B174" s="2" t="s">
        <v>567</v>
      </c>
      <c r="C174" s="2" t="s">
        <v>568</v>
      </c>
      <c r="D174" s="2" t="s">
        <v>550</v>
      </c>
      <c r="E174" s="2" t="s">
        <v>14</v>
      </c>
      <c r="F174" s="2" t="s">
        <v>15</v>
      </c>
      <c r="G174" s="2" t="s">
        <v>46</v>
      </c>
      <c r="H174" s="2" t="s">
        <v>43</v>
      </c>
      <c r="I174" s="2" t="str">
        <f>IFERROR(__xludf.DUMMYFUNCTION("GOOGLETRANSLATE(C174,""fr"",""en"")"),"I am assured for hospitalization insurance whose third-party payment certificate is delivered to me 2 times a year covering the period of January and July December. As I did not receive the certificate from the second semester, I phoned Cegema. By followi"&amp;"ng the indication of the automatic message, I arrive at the service of the certificate of paying third parties which systematically replies that all the staff is occupied and that must be recalled. As repeated telephone calls do not succeed, I went to the"&amp;"ir site to download the certificate. Their site is confused and I could not arrive at my personal space. Finally, I wrote to them to ask them to send me the certificate. Still nothing, and the amount of subscription for July is deducted from my account .."&amp;". Result: I still do not have an insured card despite that I contribute and I go on the day after tomorrow. What to do in case of hospitalization?")</f>
        <v>I am assured for hospitalization insurance whose third-party payment certificate is delivered to me 2 times a year covering the period of January and July December. As I did not receive the certificate from the second semester, I phoned Cegema. By following the indication of the automatic message, I arrive at the service of the certificate of paying third parties which systematically replies that all the staff is occupied and that must be recalled. As repeated telephone calls do not succeed, I went to their site to download the certificate. Their site is confused and I could not arrive at my personal space. Finally, I wrote to them to ask them to send me the certificate. Still nothing, and the amount of subscription for July is deducted from my account ... Result: I still do not have an insured card despite that I contribute and I go on the day after tomorrow. What to do in case of hospitalization?</v>
      </c>
    </row>
    <row r="175" ht="15.75" customHeight="1">
      <c r="B175" s="2" t="s">
        <v>569</v>
      </c>
      <c r="C175" s="2" t="s">
        <v>570</v>
      </c>
      <c r="D175" s="2" t="s">
        <v>550</v>
      </c>
      <c r="E175" s="2" t="s">
        <v>14</v>
      </c>
      <c r="F175" s="2" t="s">
        <v>15</v>
      </c>
      <c r="G175" s="2" t="s">
        <v>571</v>
      </c>
      <c r="H175" s="2" t="s">
        <v>43</v>
      </c>
      <c r="I175" s="2" t="str">
        <f>IFERROR(__xludf.DUMMYFUNCTION("GOOGLETRANSLATE(C175,""fr"",""en"")"),"Satisfied so far, but I have been waiting for reimbursements since June and no response to my reclamations by email and on the site. These were invoices of a dietitian guaranteed in my contract")</f>
        <v>Satisfied so far, but I have been waiting for reimbursements since June and no response to my reclamations by email and on the site. These were invoices of a dietitian guaranteed in my contract</v>
      </c>
    </row>
    <row r="176" ht="15.75" customHeight="1">
      <c r="B176" s="2" t="s">
        <v>572</v>
      </c>
      <c r="C176" s="2" t="s">
        <v>573</v>
      </c>
      <c r="D176" s="2" t="s">
        <v>550</v>
      </c>
      <c r="E176" s="2" t="s">
        <v>14</v>
      </c>
      <c r="F176" s="2" t="s">
        <v>15</v>
      </c>
      <c r="G176" s="2" t="s">
        <v>49</v>
      </c>
      <c r="H176" s="2" t="s">
        <v>43</v>
      </c>
      <c r="I176" s="2" t="str">
        <f>IFERROR(__xludf.DUMMYFUNCTION("GOOGLETRANSLATE(C176,""fr"",""en"")"),"Because I can't put 0 stars if not any possibility of comment.
No, no communication, no response to emails or mail. On the phone you are told that the problem will be solved and then nothing, nothingness.
Do not reimburse the contributions too paid (2 m"&amp;"onths), continue to take you while we are no longer with them, this has been going on since January 2021.
Just a shame this mutual.
TO FLEE.")</f>
        <v>Because I can't put 0 stars if not any possibility of comment.
No, no communication, no response to emails or mail. On the phone you are told that the problem will be solved and then nothing, nothingness.
Do not reimburse the contributions too paid (2 months), continue to take you while we are no longer with them, this has been going on since January 2021.
Just a shame this mutual.
TO FLEE.</v>
      </c>
    </row>
    <row r="177" ht="15.75" customHeight="1">
      <c r="B177" s="2" t="s">
        <v>574</v>
      </c>
      <c r="C177" s="2" t="s">
        <v>575</v>
      </c>
      <c r="D177" s="2" t="s">
        <v>550</v>
      </c>
      <c r="E177" s="2" t="s">
        <v>14</v>
      </c>
      <c r="F177" s="2" t="s">
        <v>15</v>
      </c>
      <c r="G177" s="2" t="s">
        <v>576</v>
      </c>
      <c r="H177" s="2" t="s">
        <v>43</v>
      </c>
      <c r="I177" s="2" t="str">
        <f>IFERROR(__xludf.DUMMYFUNCTION("GOOGLETRANSLATE(C177,""fr"",""en"")"),"Too bad not to be able to note 0 !!!
Mutual that does not honor the terms of contracts, no refund, total silence except of course to claim contributions! RAR letters that remain unanswered !! Inadmissible !!
We will file a complaint!")</f>
        <v>Too bad not to be able to note 0 !!!
Mutual that does not honor the terms of contracts, no refund, total silence except of course to claim contributions! RAR letters that remain unanswered !! Inadmissible !!
We will file a complaint!</v>
      </c>
    </row>
    <row r="178" ht="15.75" customHeight="1">
      <c r="B178" s="2" t="s">
        <v>577</v>
      </c>
      <c r="C178" s="2" t="s">
        <v>578</v>
      </c>
      <c r="D178" s="2" t="s">
        <v>550</v>
      </c>
      <c r="E178" s="2" t="s">
        <v>14</v>
      </c>
      <c r="F178" s="2" t="s">
        <v>15</v>
      </c>
      <c r="G178" s="2" t="s">
        <v>579</v>
      </c>
      <c r="H178" s="2" t="s">
        <v>43</v>
      </c>
      <c r="I178" s="2" t="str">
        <f>IFERROR(__xludf.DUMMYFUNCTION("GOOGLETRANSLATE(C178,""fr"",""en"")"),"A real catastrophe, to flee absolutely. Insured since January 2021, I do not manage to obtain reimbursements of care excluding CPAM, nor the layout tickets issued in the hospital because the mutual is often not approved. Despite the production of certific"&amp;"ates of payment of hospitals, CEGEMA does not reimburse me, demanding the CPAM count, which in this case does not exist. No response to my complaints. I am already looking for another insurer for 2022, I unfortunately have to undergo the first year.")</f>
        <v>A real catastrophe, to flee absolutely. Insured since January 2021, I do not manage to obtain reimbursements of care excluding CPAM, nor the layout tickets issued in the hospital because the mutual is often not approved. Despite the production of certificates of payment of hospitals, CEGEMA does not reimburse me, demanding the CPAM count, which in this case does not exist. No response to my complaints. I am already looking for another insurer for 2022, I unfortunately have to undergo the first year.</v>
      </c>
    </row>
    <row r="179" ht="15.75" customHeight="1">
      <c r="B179" s="2" t="s">
        <v>580</v>
      </c>
      <c r="C179" s="2" t="s">
        <v>581</v>
      </c>
      <c r="D179" s="2" t="s">
        <v>550</v>
      </c>
      <c r="E179" s="2" t="s">
        <v>14</v>
      </c>
      <c r="F179" s="2" t="s">
        <v>15</v>
      </c>
      <c r="G179" s="2" t="s">
        <v>52</v>
      </c>
      <c r="H179" s="2" t="s">
        <v>43</v>
      </c>
      <c r="I179" s="2" t="str">
        <f>IFERROR(__xludf.DUMMYFUNCTION("GOOGLETRANSLATE(C179,""fr"",""en"")"),"Very disappointed since January January2021 because no way to have the reimbursement statements: the site does not work despite X ... complaints and requests - a few rare times, had a very kind employee on the phone, but covid having not arranged he is a "&amp;"lot + easy to shorten ""exchanges"" by not responding and above all no access to the site: supposedly for lack of my ""browser"" = lol! I use the computer for work - a condominium, etc. every day - and for years therefore operation and anomalies: I know!
"&amp;"
 I've been seeing ""lean repayments"" for 6 months on my bank account without knowing what or who to assign them !!! But that I see leaving -on the ""good date"" the PRV/CEGEMA Mensual Payment of € 151.63: the banking robot works! It seems to me that x 1"&amp;"2 months it will make an absolutely amount in relation to the meager service received! This is how we are rolling in the flour -linked canopies and open bank account! This for Internet users and not for Cégéma since they make fun of customers!")</f>
        <v>Very disappointed since January January2021 because no way to have the reimbursement statements: the site does not work despite X ... complaints and requests - a few rare times, had a very kind employee on the phone, but covid having not arranged he is a lot + easy to shorten "exchanges" by not responding and above all no access to the site: supposedly for lack of my "browser" = lol! I use the computer for work - a condominium, etc. every day - and for years therefore operation and anomalies: I know!
 I've been seeing "lean repayments" for 6 months on my bank account without knowing what or who to assign them !!! But that I see leaving -on the "good date" the PRV/CEGEMA Mensual Payment of € 151.63: the banking robot works! It seems to me that x 12 months it will make an absolutely amount in relation to the meager service received! This is how we are rolling in the flour -linked canopies and open bank account! This for Internet users and not for Cégéma since they make fun of customers!</v>
      </c>
    </row>
    <row r="180" ht="15.75" customHeight="1">
      <c r="B180" s="2" t="s">
        <v>582</v>
      </c>
      <c r="C180" s="2" t="s">
        <v>583</v>
      </c>
      <c r="D180" s="2" t="s">
        <v>550</v>
      </c>
      <c r="E180" s="2" t="s">
        <v>14</v>
      </c>
      <c r="F180" s="2" t="s">
        <v>15</v>
      </c>
      <c r="G180" s="2" t="s">
        <v>584</v>
      </c>
      <c r="H180" s="2" t="s">
        <v>43</v>
      </c>
      <c r="I180" s="2" t="str">
        <f>IFERROR(__xludf.DUMMYFUNCTION("GOOGLETRANSLATE(C180,""fr"",""en"")"),"No reimbursement despite the intervention of the regional manager, a total of information lacking to connect to the website The Easy Health Website has no use")</f>
        <v>No reimbursement despite the intervention of the regional manager, a total of information lacking to connect to the website The Easy Health Website has no use</v>
      </c>
    </row>
    <row r="181" ht="15.75" customHeight="1">
      <c r="B181" s="2" t="s">
        <v>585</v>
      </c>
      <c r="C181" s="2" t="s">
        <v>586</v>
      </c>
      <c r="D181" s="2" t="s">
        <v>550</v>
      </c>
      <c r="E181" s="2" t="s">
        <v>14</v>
      </c>
      <c r="F181" s="2" t="s">
        <v>15</v>
      </c>
      <c r="G181" s="2" t="s">
        <v>587</v>
      </c>
      <c r="H181" s="2" t="s">
        <v>43</v>
      </c>
      <c r="I181" s="2" t="str">
        <f>IFERROR(__xludf.DUMMYFUNCTION("GOOGLETRANSLATE(C181,""fr"",""en"")"),"bjr I note zero this insurer I am more than 3 weeks old waiting for a return to a quote with already 2 reminders. I'm waiting for the birthday and I'm going! Not competent at all! At this rate we are not close to being treated ....
We were harassed for t"&amp;"he subscription, but the follow -up is null no customer follow -up. Thank you
 ")</f>
        <v>bjr I note zero this insurer I am more than 3 weeks old waiting for a return to a quote with already 2 reminders. I'm waiting for the birthday and I'm going! Not competent at all! At this rate we are not close to being treated ....
We were harassed for the subscription, but the follow -up is null no customer follow -up. Thank you
 </v>
      </c>
    </row>
    <row r="182" ht="15.75" customHeight="1">
      <c r="B182" s="2" t="s">
        <v>588</v>
      </c>
      <c r="C182" s="2" t="s">
        <v>589</v>
      </c>
      <c r="D182" s="2" t="s">
        <v>550</v>
      </c>
      <c r="E182" s="2" t="s">
        <v>14</v>
      </c>
      <c r="F182" s="2" t="s">
        <v>15</v>
      </c>
      <c r="G182" s="2" t="s">
        <v>590</v>
      </c>
      <c r="H182" s="2" t="s">
        <v>56</v>
      </c>
      <c r="I182" s="2" t="str">
        <f>IFERROR(__xludf.DUMMYFUNCTION("GOOGLETRANSLATE(C182,""fr"",""en"")"),"Abusive reimbursement deadlines (except for teletransmission), no possibility of reaching them, responds either to letters, emails, or on the phone ... I do not know if it is possible to make contributions record contributions Until the reimbursements due"&amp;"? Does anyone have an opinion on this subject?")</f>
        <v>Abusive reimbursement deadlines (except for teletransmission), no possibility of reaching them, responds either to letters, emails, or on the phone ... I do not know if it is possible to make contributions record contributions Until the reimbursements due? Does anyone have an opinion on this subject?</v>
      </c>
    </row>
    <row r="183" ht="15.75" customHeight="1">
      <c r="B183" s="2" t="s">
        <v>591</v>
      </c>
      <c r="C183" s="2" t="s">
        <v>592</v>
      </c>
      <c r="D183" s="2" t="s">
        <v>550</v>
      </c>
      <c r="E183" s="2" t="s">
        <v>14</v>
      </c>
      <c r="F183" s="2" t="s">
        <v>15</v>
      </c>
      <c r="G183" s="2" t="s">
        <v>55</v>
      </c>
      <c r="H183" s="2" t="s">
        <v>56</v>
      </c>
      <c r="I183" s="2" t="str">
        <f>IFERROR(__xludf.DUMMYFUNCTION("GOOGLETRANSLATE(C183,""fr"",""en"")"),"My pharmacist has just told me that all the files sent since February 2021 have been refused. However, my contributions (97.71 !!) is well taken every month. I just spent 5 hours on the phone to reach them. All their agents are online, you are asked to wa"&amp;"it, we will answer you, but we never answer you.
I would like to have contact with CEGEMA in order to obtain explanations and that these files are finally accepted as they must be since I settle my contributions")</f>
        <v>My pharmacist has just told me that all the files sent since February 2021 have been refused. However, my contributions (97.71 !!) is well taken every month. I just spent 5 hours on the phone to reach them. All their agents are online, you are asked to wait, we will answer you, but we never answer you.
I would like to have contact with CEGEMA in order to obtain explanations and that these files are finally accepted as they must be since I settle my contributions</v>
      </c>
    </row>
    <row r="184" ht="15.75" customHeight="1">
      <c r="B184" s="2" t="s">
        <v>593</v>
      </c>
      <c r="C184" s="2" t="s">
        <v>594</v>
      </c>
      <c r="D184" s="2" t="s">
        <v>550</v>
      </c>
      <c r="E184" s="2" t="s">
        <v>14</v>
      </c>
      <c r="F184" s="2" t="s">
        <v>15</v>
      </c>
      <c r="G184" s="2" t="s">
        <v>595</v>
      </c>
      <c r="H184" s="2" t="s">
        <v>56</v>
      </c>
      <c r="I184" s="2" t="str">
        <f>IFERROR(__xludf.DUMMYFUNCTION("GOOGLETRANSLATE(C184,""fr"",""en"")"),"Do not respond to requests made on the site, or on the phone despite a message indicates that if you want to be recalled to click on 1 blah
almost 2 months that I made an osteo reimbursement request and no news")</f>
        <v>Do not respond to requests made on the site, or on the phone despite a message indicates that if you want to be recalled to click on 1 blah
almost 2 months that I made an osteo reimbursement request and no news</v>
      </c>
    </row>
    <row r="185" ht="15.75" customHeight="1">
      <c r="B185" s="2" t="s">
        <v>596</v>
      </c>
      <c r="C185" s="2" t="s">
        <v>597</v>
      </c>
      <c r="D185" s="2" t="s">
        <v>550</v>
      </c>
      <c r="E185" s="2" t="s">
        <v>14</v>
      </c>
      <c r="F185" s="2" t="s">
        <v>15</v>
      </c>
      <c r="G185" s="2" t="s">
        <v>598</v>
      </c>
      <c r="H185" s="2" t="s">
        <v>56</v>
      </c>
      <c r="I185" s="2" t="str">
        <f>IFERROR(__xludf.DUMMYFUNCTION("GOOGLETRANSLATE(C185,""fr"",""en"")"),"No contact by phone no answer by email I am disappointed I would not make a good advertisement The refunds are very long thank you I do not have a printer and I asked to receive my third -party cards paying by mail")</f>
        <v>No contact by phone no answer by email I am disappointed I would not make a good advertisement The refunds are very long thank you I do not have a printer and I asked to receive my third -party cards paying by mail</v>
      </c>
    </row>
    <row r="186" ht="15.75" customHeight="1">
      <c r="B186" s="2" t="s">
        <v>599</v>
      </c>
      <c r="C186" s="2" t="s">
        <v>600</v>
      </c>
      <c r="D186" s="2" t="s">
        <v>550</v>
      </c>
      <c r="E186" s="2" t="s">
        <v>14</v>
      </c>
      <c r="F186" s="2" t="s">
        <v>15</v>
      </c>
      <c r="G186" s="2" t="s">
        <v>601</v>
      </c>
      <c r="H186" s="2" t="s">
        <v>56</v>
      </c>
      <c r="I186" s="2" t="str">
        <f>IFERROR(__xludf.DUMMYFUNCTION("GOOGLETRANSLATE(C186,""fr"",""en"")"),"Cegema a health mutual which does not reimburse except within 3 months after multitude of emails and calls. They also respond little or not. Price that increases each year no application ... to flee.")</f>
        <v>Cegema a health mutual which does not reimburse except within 3 months after multitude of emails and calls. They also respond little or not. Price that increases each year no application ... to flee.</v>
      </c>
    </row>
    <row r="187" ht="15.75" customHeight="1">
      <c r="B187" s="2" t="s">
        <v>602</v>
      </c>
      <c r="C187" s="2" t="s">
        <v>603</v>
      </c>
      <c r="D187" s="2" t="s">
        <v>550</v>
      </c>
      <c r="E187" s="2" t="s">
        <v>14</v>
      </c>
      <c r="F187" s="2" t="s">
        <v>15</v>
      </c>
      <c r="G187" s="2" t="s">
        <v>604</v>
      </c>
      <c r="H187" s="2" t="s">
        <v>56</v>
      </c>
      <c r="I187" s="2" t="str">
        <f>IFERROR(__xludf.DUMMYFUNCTION("GOOGLETRANSLATE(C187,""fr"",""en"")"),"I have been in this mutual insurance company since January 2011: I have subscribed via a broker who is in Nice because the price was apparently competitive: but for reimbursements it is a real disaster: they must be restarted constantly by mail because th"&amp;"ey have unreachable On the phone: the deadlines are very long; Dental care reimbursed more than 2 me after .... basic dental care reimbursed by the CPAM of 03/30/2021: the supplement of the mutual is still not reimbursed ...
Mutual to scratch your contac"&amp;"ts: look elsewhere ....")</f>
        <v>I have been in this mutual insurance company since January 2011: I have subscribed via a broker who is in Nice because the price was apparently competitive: but for reimbursements it is a real disaster: they must be restarted constantly by mail because they have unreachable On the phone: the deadlines are very long; Dental care reimbursed more than 2 me after .... basic dental care reimbursed by the CPAM of 03/30/2021: the supplement of the mutual is still not reimbursed ...
Mutual to scratch your contacts: look elsewhere ....</v>
      </c>
    </row>
    <row r="188" ht="15.75" customHeight="1">
      <c r="B188" s="2" t="s">
        <v>605</v>
      </c>
      <c r="C188" s="2" t="s">
        <v>606</v>
      </c>
      <c r="D188" s="2" t="s">
        <v>550</v>
      </c>
      <c r="E188" s="2" t="s">
        <v>14</v>
      </c>
      <c r="F188" s="2" t="s">
        <v>15</v>
      </c>
      <c r="G188" s="2" t="s">
        <v>607</v>
      </c>
      <c r="H188" s="2" t="s">
        <v>56</v>
      </c>
      <c r="I188" s="2" t="str">
        <f>IFERROR(__xludf.DUMMYFUNCTION("GOOGLETRANSLATE(C188,""fr"",""en"")"),"Very bad mutual to avoid limit of honesty. Random reimbursements, non -existent customer contact to denounce consumer associations.")</f>
        <v>Very bad mutual to avoid limit of honesty. Random reimbursements, non -existent customer contact to denounce consumer associations.</v>
      </c>
    </row>
    <row r="189" ht="15.75" customHeight="1">
      <c r="B189" s="2" t="s">
        <v>608</v>
      </c>
      <c r="C189" s="2" t="s">
        <v>609</v>
      </c>
      <c r="D189" s="2" t="s">
        <v>550</v>
      </c>
      <c r="E189" s="2" t="s">
        <v>14</v>
      </c>
      <c r="F189" s="2" t="s">
        <v>15</v>
      </c>
      <c r="G189" s="2" t="s">
        <v>610</v>
      </c>
      <c r="H189" s="2" t="s">
        <v>69</v>
      </c>
      <c r="I189" s="2" t="str">
        <f>IFERROR(__xludf.DUMMYFUNCTION("GOOGLETRANSLATE(C189,""fr"",""en"")"),"No contact, no compliance with the contract, a particularly aggressive interlocutor and reimbursement that never happens
I had great difficulty in obtaining a refund from my dental device from the bottom while I subscribed to a 100% refund
No answer for"&amp;" the high device despite multiple reminders
No answer for other care
I am very disappointed with what had been announced to me when I subscribed")</f>
        <v>No contact, no compliance with the contract, a particularly aggressive interlocutor and reimbursement that never happens
I had great difficulty in obtaining a refund from my dental device from the bottom while I subscribed to a 100% refund
No answer for the high device despite multiple reminders
No answer for other care
I am very disappointed with what had been announced to me when I subscribed</v>
      </c>
    </row>
    <row r="190" ht="15.75" customHeight="1">
      <c r="B190" s="2" t="s">
        <v>611</v>
      </c>
      <c r="C190" s="2" t="s">
        <v>612</v>
      </c>
      <c r="D190" s="2" t="s">
        <v>550</v>
      </c>
      <c r="E190" s="2" t="s">
        <v>14</v>
      </c>
      <c r="F190" s="2" t="s">
        <v>15</v>
      </c>
      <c r="G190" s="2" t="s">
        <v>613</v>
      </c>
      <c r="H190" s="2" t="s">
        <v>69</v>
      </c>
      <c r="I190" s="2" t="str">
        <f>IFERROR(__xludf.DUMMYFUNCTION("GOOGLETRANSLATE(C190,""fr"",""en"")"),"Despite many reminders for more than two months in my ""personal space"", no refund, no explanation, no response to my requests. I am scandalized and worried, because at the same time, I continue to be taken every month nearly 150 euros! Too bad it is not"&amp;" possible to terminate during the year because my membership dates from 1/1/2021!")</f>
        <v>Despite many reminders for more than two months in my "personal space", no refund, no explanation, no response to my requests. I am scandalized and worried, because at the same time, I continue to be taken every month nearly 150 euros! Too bad it is not possible to terminate during the year because my membership dates from 1/1/2021!</v>
      </c>
    </row>
    <row r="191" ht="15.75" customHeight="1">
      <c r="B191" s="2" t="s">
        <v>614</v>
      </c>
      <c r="C191" s="2" t="s">
        <v>615</v>
      </c>
      <c r="D191" s="2" t="s">
        <v>550</v>
      </c>
      <c r="E191" s="2" t="s">
        <v>14</v>
      </c>
      <c r="F191" s="2" t="s">
        <v>15</v>
      </c>
      <c r="G191" s="2" t="s">
        <v>613</v>
      </c>
      <c r="H191" s="2" t="s">
        <v>69</v>
      </c>
      <c r="I191" s="2" t="str">
        <f>IFERROR(__xludf.DUMMYFUNCTION("GOOGLETRANSLATE(C191,""fr"",""en"")"),"I am awaiting an important dental reimbursement since April they do not answer emails and phone the other day I waited until an hour and it hung up I sent a letter recommends with reception no response on the other hand they know Bleet I am very disappoin"&amp;"ted but if no answer I will file a complaint against them out of the question that I give them gifts of almost 700 euros")</f>
        <v>I am awaiting an important dental reimbursement since April they do not answer emails and phone the other day I waited until an hour and it hung up I sent a letter recommends with reception no response on the other hand they know Bleet I am very disappointed but if no answer I will file a complaint against them out of the question that I give them gifts of almost 700 euros</v>
      </c>
    </row>
    <row r="192" ht="15.75" customHeight="1">
      <c r="B192" s="2" t="s">
        <v>616</v>
      </c>
      <c r="C192" s="2" t="s">
        <v>617</v>
      </c>
      <c r="D192" s="2" t="s">
        <v>550</v>
      </c>
      <c r="E192" s="2" t="s">
        <v>14</v>
      </c>
      <c r="F192" s="2" t="s">
        <v>15</v>
      </c>
      <c r="G192" s="2" t="s">
        <v>72</v>
      </c>
      <c r="H192" s="2" t="s">
        <v>69</v>
      </c>
      <c r="I192" s="2" t="str">
        <f>IFERROR(__xludf.DUMMYFUNCTION("GOOGLETRANSLATE(C192,""fr"",""en"")"),"very bad mutual insurance for 6 months that I sent invoices impossible to be reimbursed we can reach anyone
If you send too much messages we lock your account you can no longer connect hate to change mutual
")</f>
        <v>very bad mutual insurance for 6 months that I sent invoices impossible to be reimbursed we can reach anyone
If you send too much messages we lock your account you can no longer connect hate to change mutual
</v>
      </c>
    </row>
    <row r="193" ht="15.75" customHeight="1">
      <c r="B193" s="2" t="s">
        <v>618</v>
      </c>
      <c r="C193" s="2" t="s">
        <v>619</v>
      </c>
      <c r="D193" s="2" t="s">
        <v>550</v>
      </c>
      <c r="E193" s="2" t="s">
        <v>14</v>
      </c>
      <c r="F193" s="2" t="s">
        <v>15</v>
      </c>
      <c r="G193" s="2" t="s">
        <v>72</v>
      </c>
      <c r="H193" s="2" t="s">
        <v>69</v>
      </c>
      <c r="I193" s="2" t="str">
        <f>IFERROR(__xludf.DUMMYFUNCTION("GOOGLETRANSLATE(C193,""fr"",""en"")"),"I am worried about all the opinions I just read I myself sent an unanswered dental quote for the moment and impossible to reach them by phone.
I just subscribed 1 month ago and I think that and too late to cancel.
  ")</f>
        <v>I am worried about all the opinions I just read I myself sent an unanswered dental quote for the moment and impossible to reach them by phone.
I just subscribed 1 month ago and I think that and too late to cancel.
  </v>
      </c>
    </row>
    <row r="194" ht="15.75" customHeight="1">
      <c r="B194" s="2" t="s">
        <v>620</v>
      </c>
      <c r="C194" s="2" t="s">
        <v>621</v>
      </c>
      <c r="D194" s="2" t="s">
        <v>550</v>
      </c>
      <c r="E194" s="2" t="s">
        <v>14</v>
      </c>
      <c r="F194" s="2" t="s">
        <v>15</v>
      </c>
      <c r="G194" s="2" t="s">
        <v>622</v>
      </c>
      <c r="H194" s="2" t="s">
        <v>69</v>
      </c>
      <c r="I194" s="2" t="str">
        <f>IFERROR(__xludf.DUMMYFUNCTION("GOOGLETRANSLATE(C194,""fr"",""en"")"),"It's a very bad experience,
 I subscribed online a CEGEMA mutual contract at the start of the year with the Adour insurance.
I wanted to change my mutual insurance company and I was contacted by a very competent person who explained to me in detail the "&amp;"conditions of the contract and even made a reimbursement simulation from a quote for care and dental prostheses provided by my dentist . I noticed that there was no mention about the deficiency period, the answer is precisely if there is nothing is that t"&amp;"here is none.
Once the contract and the SEPA form signed, more news, unreachable, my dental care started, I had a first invoice in early April accepted by the SS and transmitted but nothing, no refund despite many emails and messages left on the site in "&amp;"my file. It's very worrying. what to do? Will it be necessary in the future to be assisted by a lawyer before each decision to be made?")</f>
        <v>It's a very bad experience,
 I subscribed online a CEGEMA mutual contract at the start of the year with the Adour insurance.
I wanted to change my mutual insurance company and I was contacted by a very competent person who explained to me in detail the conditions of the contract and even made a reimbursement simulation from a quote for care and dental prostheses provided by my dentist . I noticed that there was no mention about the deficiency period, the answer is precisely if there is nothing is that there is none.
Once the contract and the SEPA form signed, more news, unreachable, my dental care started, I had a first invoice in early April accepted by the SS and transmitted but nothing, no refund despite many emails and messages left on the site in my file. It's very worrying. what to do? Will it be necessary in the future to be assisted by a lawyer before each decision to be made?</v>
      </c>
    </row>
    <row r="195" ht="15.75" customHeight="1">
      <c r="B195" s="2" t="s">
        <v>623</v>
      </c>
      <c r="C195" s="2" t="s">
        <v>624</v>
      </c>
      <c r="D195" s="2" t="s">
        <v>550</v>
      </c>
      <c r="E195" s="2" t="s">
        <v>14</v>
      </c>
      <c r="F195" s="2" t="s">
        <v>15</v>
      </c>
      <c r="G195" s="2" t="s">
        <v>625</v>
      </c>
      <c r="H195" s="2" t="s">
        <v>69</v>
      </c>
      <c r="I195" s="2" t="str">
        <f>IFERROR(__xludf.DUMMYFUNCTION("GOOGLETRANSLATE(C195,""fr"",""en"")"),"I changed my mutual in January for Cegema, what a disappointment, 3 months to have a reimbursement as a podiatrist, after many blows of my broker, 1 month to have a big dental reimbursement. If you leave them messages, they do not Not even answer.
Very v"&amp;"ery disappointed
And I do not recommend this mutual")</f>
        <v>I changed my mutual in January for Cegema, what a disappointment, 3 months to have a reimbursement as a podiatrist, after many blows of my broker, 1 month to have a big dental reimbursement. If you leave them messages, they do not Not even answer.
Very very disappointed
And I do not recommend this mutual</v>
      </c>
    </row>
    <row r="196" ht="15.75" customHeight="1">
      <c r="B196" s="2" t="s">
        <v>626</v>
      </c>
      <c r="C196" s="2" t="s">
        <v>627</v>
      </c>
      <c r="D196" s="2" t="s">
        <v>550</v>
      </c>
      <c r="E196" s="2" t="s">
        <v>14</v>
      </c>
      <c r="F196" s="2" t="s">
        <v>15</v>
      </c>
      <c r="G196" s="2" t="s">
        <v>628</v>
      </c>
      <c r="H196" s="2" t="s">
        <v>69</v>
      </c>
      <c r="I196" s="2" t="str">
        <f>IFERROR(__xludf.DUMMYFUNCTION("GOOGLETRANSLATE(C196,""fr"",""en"")"),"We have changed mutual insurance companies to go to them but what disappointment, no response to our requests, and no reimbursement of our dental costs for months.
TO FLEE")</f>
        <v>We have changed mutual insurance companies to go to them but what disappointment, no response to our requests, and no reimbursement of our dental costs for months.
TO FLEE</v>
      </c>
    </row>
    <row r="197" ht="15.75" customHeight="1">
      <c r="B197" s="2" t="s">
        <v>629</v>
      </c>
      <c r="C197" s="2" t="s">
        <v>630</v>
      </c>
      <c r="D197" s="2" t="s">
        <v>550</v>
      </c>
      <c r="E197" s="2" t="s">
        <v>14</v>
      </c>
      <c r="F197" s="2" t="s">
        <v>15</v>
      </c>
      <c r="G197" s="2" t="s">
        <v>631</v>
      </c>
      <c r="H197" s="2" t="s">
        <v>69</v>
      </c>
      <c r="I197" s="2" t="str">
        <f>IFERROR(__xludf.DUMMYFUNCTION("GOOGLETRANSLATE(C197,""fr"",""en"")"),"No return to a dental quote since March 15; No reimbursement of the costs incurred. Unable to reach them on the phone. No response to emails, even those sent to the complaint service. The reminders made both by myself and by the broker remain dead letters"&amp;". I sent them a formal notice by registered mail on May 4. Always nothing. We cannot even enter the mediator since they do not appear on the list of insurance adhering to the mediation of insurance which is however indicated in article 18 of their contrac"&amp;"t. Last appeal, oppose the samples and seize justice!")</f>
        <v>No return to a dental quote since March 15; No reimbursement of the costs incurred. Unable to reach them on the phone. No response to emails, even those sent to the complaint service. The reminders made both by myself and by the broker remain dead letters. I sent them a formal notice by registered mail on May 4. Always nothing. We cannot even enter the mediator since they do not appear on the list of insurance adhering to the mediation of insurance which is however indicated in article 18 of their contract. Last appeal, oppose the samples and seize justice!</v>
      </c>
    </row>
    <row r="198" ht="15.75" customHeight="1">
      <c r="B198" s="2" t="s">
        <v>632</v>
      </c>
      <c r="C198" s="2" t="s">
        <v>633</v>
      </c>
      <c r="D198" s="2" t="s">
        <v>550</v>
      </c>
      <c r="E198" s="2" t="s">
        <v>14</v>
      </c>
      <c r="F198" s="2" t="s">
        <v>15</v>
      </c>
      <c r="G198" s="2" t="s">
        <v>634</v>
      </c>
      <c r="H198" s="2" t="s">
        <v>69</v>
      </c>
      <c r="I198" s="2" t="str">
        <f>IFERROR(__xludf.DUMMYFUNCTION("GOOGLETRANSLATE(C198,""fr"",""en"")"),"Impossible to have them on the phone, always the same disc as all advisers are occupied from 9 a.m. to 6 p.m. Still no refund since February 2021. Flee this mutual and especially advertise because it is ineffective.")</f>
        <v>Impossible to have them on the phone, always the same disc as all advisers are occupied from 9 a.m. to 6 p.m. Still no refund since February 2021. Flee this mutual and especially advertise because it is ineffective.</v>
      </c>
    </row>
    <row r="199" ht="15.75" customHeight="1">
      <c r="B199" s="2" t="s">
        <v>635</v>
      </c>
      <c r="C199" s="2" t="s">
        <v>636</v>
      </c>
      <c r="D199" s="2" t="s">
        <v>550</v>
      </c>
      <c r="E199" s="2" t="s">
        <v>14</v>
      </c>
      <c r="F199" s="2" t="s">
        <v>15</v>
      </c>
      <c r="G199" s="2" t="s">
        <v>637</v>
      </c>
      <c r="H199" s="2" t="s">
        <v>69</v>
      </c>
      <c r="I199" s="2" t="str">
        <f>IFERROR(__xludf.DUMMYFUNCTION("GOOGLETRANSLATE(C199,""fr"",""en"")"),"Insured at Cegema for 15 years without problem, normal operation. Since 2021, total contempt of the customer. Optical reimbursement waiting for 4 months. Telephone communication impossible. Is this change in behavior the announcing sign of a financial deb"&amp;"acle that will pay the costs? The question can arise. This insurer gave me satisfaction for 15 years, now, at the end of my contract, it will be finished.")</f>
        <v>Insured at Cegema for 15 years without problem, normal operation. Since 2021, total contempt of the customer. Optical reimbursement waiting for 4 months. Telephone communication impossible. Is this change in behavior the announcing sign of a financial debacle that will pay the costs? The question can arise. This insurer gave me satisfaction for 15 years, now, at the end of my contract, it will be finished.</v>
      </c>
    </row>
    <row r="200" ht="15.75" customHeight="1">
      <c r="B200" s="2" t="s">
        <v>638</v>
      </c>
      <c r="C200" s="2" t="s">
        <v>639</v>
      </c>
      <c r="D200" s="2" t="s">
        <v>550</v>
      </c>
      <c r="E200" s="2" t="s">
        <v>14</v>
      </c>
      <c r="F200" s="2" t="s">
        <v>15</v>
      </c>
      <c r="G200" s="2" t="s">
        <v>637</v>
      </c>
      <c r="H200" s="2" t="s">
        <v>69</v>
      </c>
      <c r="I200" s="2" t="str">
        <f>IFERROR(__xludf.DUMMYFUNCTION("GOOGLETRANSLATE(C200,""fr"",""en"")"),"We cannot put zero, too bad! Mutual to flee, to take the contributions no problem, for reimbursements it is another thing, I have been there since March 1 and for the moment I have not been of my being.")</f>
        <v>We cannot put zero, too bad! Mutual to flee, to take the contributions no problem, for reimbursements it is another thing, I have been there since March 1 and for the moment I have not been of my being.</v>
      </c>
    </row>
    <row r="201" ht="15.75" customHeight="1">
      <c r="B201" s="2" t="s">
        <v>640</v>
      </c>
      <c r="C201" s="2" t="s">
        <v>641</v>
      </c>
      <c r="D201" s="2" t="s">
        <v>550</v>
      </c>
      <c r="E201" s="2" t="s">
        <v>14</v>
      </c>
      <c r="F201" s="2" t="s">
        <v>15</v>
      </c>
      <c r="G201" s="2" t="s">
        <v>637</v>
      </c>
      <c r="H201" s="2" t="s">
        <v>69</v>
      </c>
      <c r="I201" s="2" t="str">
        <f>IFERROR(__xludf.DUMMYFUNCTION("GOOGLETRANSLATE(C201,""fr"",""en"")"),"As very often faster to have a contract signed than to reimburse
Do not respond to mail or emails but for increases here.")</f>
        <v>As very often faster to have a contract signed than to reimburse
Do not respond to mail or emails but for increases here.</v>
      </c>
    </row>
    <row r="202" ht="15.75" customHeight="1">
      <c r="B202" s="2" t="s">
        <v>642</v>
      </c>
      <c r="C202" s="2" t="s">
        <v>643</v>
      </c>
      <c r="D202" s="2" t="s">
        <v>550</v>
      </c>
      <c r="E202" s="2" t="s">
        <v>14</v>
      </c>
      <c r="F202" s="2" t="s">
        <v>15</v>
      </c>
      <c r="G202" s="2" t="s">
        <v>637</v>
      </c>
      <c r="H202" s="2" t="s">
        <v>69</v>
      </c>
      <c r="I202" s="2" t="str">
        <f>IFERROR(__xludf.DUMMYFUNCTION("GOOGLETRANSLATE(C202,""fr"",""en"")"),"The collaborators of the Huebert group are very pleasant and persuasive during the subscription.
On the other hand, Cegema never responds to the phone, email, or (as a last resort) with recommended letters.
More than € 1,000 in invoices concerning denta"&amp;"l costs in zero rac. Only the refunded descaling invoice (€ 7 and a few)
Back on their part of a quote for a dental prosthesis 6 months after my request.
The quote to be validated by fax (the stone age) was not even the right one.
Since then, I alway"&amp;"s wait ....
The costs date from early March 2021 and we are in May ....
I will therefore contact the insurance mediator.
I do not recommend at all this mutual which is to absent subscribers as soon as the sum to be reimbursed becomes important")</f>
        <v>The collaborators of the Huebert group are very pleasant and persuasive during the subscription.
On the other hand, Cegema never responds to the phone, email, or (as a last resort) with recommended letters.
More than € 1,000 in invoices concerning dental costs in zero rac. Only the refunded descaling invoice (€ 7 and a few)
Back on their part of a quote for a dental prosthesis 6 months after my request.
The quote to be validated by fax (the stone age) was not even the right one.
Since then, I always wait ....
The costs date from early March 2021 and we are in May ....
I will therefore contact the insurance mediator.
I do not recommend at all this mutual which is to absent subscribers as soon as the sum to be reimbursed becomes important</v>
      </c>
    </row>
    <row r="203" ht="15.75" customHeight="1">
      <c r="B203" s="2" t="s">
        <v>644</v>
      </c>
      <c r="C203" s="2" t="s">
        <v>645</v>
      </c>
      <c r="D203" s="2" t="s">
        <v>550</v>
      </c>
      <c r="E203" s="2" t="s">
        <v>14</v>
      </c>
      <c r="F203" s="2" t="s">
        <v>15</v>
      </c>
      <c r="G203" s="2" t="s">
        <v>646</v>
      </c>
      <c r="H203" s="2" t="s">
        <v>69</v>
      </c>
      <c r="I203" s="2" t="str">
        <f>IFERROR(__xludf.DUMMYFUNCTION("GOOGLETRANSLATE(C203,""fr"",""en"")"),"Really to flee ..... Impossible to be reimbursed for dental and optical care, nobody answers on the phone, neither in email, nor to Facebook messages !!!!!
They can boast their merit when inscribing the foutage of G ..... !!!!")</f>
        <v>Really to flee ..... Impossible to be reimbursed for dental and optical care, nobody answers on the phone, neither in email, nor to Facebook messages !!!!!
They can boast their merit when inscribing the foutage of G ..... !!!!</v>
      </c>
    </row>
    <row r="204" ht="15.75" customHeight="1">
      <c r="B204" s="2" t="s">
        <v>647</v>
      </c>
      <c r="C204" s="2" t="s">
        <v>648</v>
      </c>
      <c r="D204" s="2" t="s">
        <v>550</v>
      </c>
      <c r="E204" s="2" t="s">
        <v>14</v>
      </c>
      <c r="F204" s="2" t="s">
        <v>15</v>
      </c>
      <c r="G204" s="2" t="s">
        <v>78</v>
      </c>
      <c r="H204" s="2" t="s">
        <v>79</v>
      </c>
      <c r="I204" s="2" t="str">
        <f>IFERROR(__xludf.DUMMYFUNCTION("GOOGLETRANSLATE(C204,""fr"",""en"")"),"Company to flee, never answer on the phone. They must always remind you the next day never response
They made me subscribe a contract when I could not terminate the previous one
I think I will contact the insurance mediator")</f>
        <v>Company to flee, never answer on the phone. They must always remind you the next day never response
They made me subscribe a contract when I could not terminate the previous one
I think I will contact the insurance mediator</v>
      </c>
    </row>
    <row r="205" ht="15.75" customHeight="1">
      <c r="B205" s="2" t="s">
        <v>649</v>
      </c>
      <c r="C205" s="2" t="s">
        <v>650</v>
      </c>
      <c r="D205" s="2" t="s">
        <v>550</v>
      </c>
      <c r="E205" s="2" t="s">
        <v>14</v>
      </c>
      <c r="F205" s="2" t="s">
        <v>15</v>
      </c>
      <c r="G205" s="2" t="s">
        <v>651</v>
      </c>
      <c r="H205" s="2" t="s">
        <v>79</v>
      </c>
      <c r="I205" s="2" t="str">
        <f>IFERROR(__xludf.DUMMYFUNCTION("GOOGLETRANSLATE(C205,""fr"",""en"")"),"I have been at Cegema unfortunately for 1 year. When there is no request no problem.
It's been 3 months since I expect a refund nothing in view I am told every time that we personally take care of me.
I change my mutual insurance I go to MMA which has b"&amp;"een my car insurance for more than 10 years never any problem with them always clean and listening to my interlocutor is 10 km from my home not at 700 km (I live in the Var) .
The icing on the cake when I had my Cegema referent to tell her that I was goi"&amp;"ng to MMA she said to me ""Have you read the opinions on MMA ..."" ????. I thought it was a joke of bad taste.
Advice go your way
")</f>
        <v>I have been at Cegema unfortunately for 1 year. When there is no request no problem.
It's been 3 months since I expect a refund nothing in view I am told every time that we personally take care of me.
I change my mutual insurance I go to MMA which has been my car insurance for more than 10 years never any problem with them always clean and listening to my interlocutor is 10 km from my home not at 700 km (I live in the Var) .
The icing on the cake when I had my Cegema referent to tell her that I was going to MMA she said to me "Have you read the opinions on MMA ..." ????. I thought it was a joke of bad taste.
Advice go your way
</v>
      </c>
    </row>
    <row r="206" ht="15.75" customHeight="1">
      <c r="B206" s="2" t="s">
        <v>652</v>
      </c>
      <c r="C206" s="2" t="s">
        <v>653</v>
      </c>
      <c r="D206" s="2" t="s">
        <v>550</v>
      </c>
      <c r="E206" s="2" t="s">
        <v>14</v>
      </c>
      <c r="F206" s="2" t="s">
        <v>15</v>
      </c>
      <c r="G206" s="2" t="s">
        <v>654</v>
      </c>
      <c r="H206" s="2" t="s">
        <v>79</v>
      </c>
      <c r="I206" s="2" t="str">
        <f>IFERROR(__xludf.DUMMYFUNCTION("GOOGLETRANSLATE(C206,""fr"",""en"")"),"It is honestly one of the mutuals who reimburses with stones, it is begging, when you call impossible to reach them so -called that they are overwhelmed and why not the other mutuals ??????
And for reimbursement is still in massive treatment ??????
A mo"&amp;"nth and ten days and no refund.
Thank you Cegema")</f>
        <v>It is honestly one of the mutuals who reimburses with stones, it is begging, when you call impossible to reach them so -called that they are overwhelmed and why not the other mutuals ??????
And for reimbursement is still in massive treatment ??????
A month and ten days and no refund.
Thank you Cegema</v>
      </c>
    </row>
    <row r="207" ht="15.75" customHeight="1">
      <c r="B207" s="2" t="s">
        <v>655</v>
      </c>
      <c r="C207" s="2" t="s">
        <v>656</v>
      </c>
      <c r="D207" s="2" t="s">
        <v>550</v>
      </c>
      <c r="E207" s="2" t="s">
        <v>14</v>
      </c>
      <c r="F207" s="2" t="s">
        <v>15</v>
      </c>
      <c r="G207" s="2" t="s">
        <v>657</v>
      </c>
      <c r="H207" s="2" t="s">
        <v>79</v>
      </c>
      <c r="I207" s="2" t="str">
        <f>IFERROR(__xludf.DUMMYFUNCTION("GOOGLETRANSLATE(C207,""fr"",""en"")"),"Like others, before Cegema I was at Neoliane, the same meleine broker changes not only from company but interlocutors the only common point between them is that no one is aware of what the other has done or did or not done ! Great: no refund in three mont"&amp;"hs but on the other hand all the samples took place on time ...
To banish is a shame
Impossible to have someone on the phone
The answering machine invariably says ""you are at Michel, I am not here, leave me a message""
Flee Flee - Danger")</f>
        <v>Like others, before Cegema I was at Neoliane, the same meleine broker changes not only from company but interlocutors the only common point between them is that no one is aware of what the other has done or did or not done ! Great: no refund in three months but on the other hand all the samples took place on time ...
To banish is a shame
Impossible to have someone on the phone
The answering machine invariably says "you are at Michel, I am not here, leave me a message"
Flee Flee - Danger</v>
      </c>
    </row>
    <row r="208" ht="15.75" customHeight="1">
      <c r="B208" s="2" t="s">
        <v>658</v>
      </c>
      <c r="C208" s="2" t="s">
        <v>659</v>
      </c>
      <c r="D208" s="2" t="s">
        <v>550</v>
      </c>
      <c r="E208" s="2" t="s">
        <v>14</v>
      </c>
      <c r="F208" s="2" t="s">
        <v>15</v>
      </c>
      <c r="G208" s="2" t="s">
        <v>660</v>
      </c>
      <c r="H208" s="2" t="s">
        <v>79</v>
      </c>
      <c r="I208" s="2" t="str">
        <f>IFERROR(__xludf.DUMMYFUNCTION("GOOGLETRANSLATE(C208,""fr"",""en"")"),"To flee absolutely never responds to such a dear broker
Does not reimburse the dental prosthesis
In common cunes
Do not do reimbursement acts by mail
I left the maff
For them I regret it too dear not serious")</f>
        <v>To flee absolutely never responds to such a dear broker
Does not reimburse the dental prosthesis
In common cunes
Do not do reimbursement acts by mail
I left the maff
For them I regret it too dear not serious</v>
      </c>
    </row>
    <row r="209" ht="15.75" customHeight="1">
      <c r="B209" s="2" t="s">
        <v>661</v>
      </c>
      <c r="C209" s="2" t="s">
        <v>662</v>
      </c>
      <c r="D209" s="2" t="s">
        <v>550</v>
      </c>
      <c r="E209" s="2" t="s">
        <v>14</v>
      </c>
      <c r="F209" s="2" t="s">
        <v>15</v>
      </c>
      <c r="G209" s="2" t="s">
        <v>85</v>
      </c>
      <c r="H209" s="2" t="s">
        <v>79</v>
      </c>
      <c r="I209" s="2" t="str">
        <f>IFERROR(__xludf.DUMMYFUNCTION("GOOGLETRANSLATE(C209,""fr"",""en"")"),"I am very disappointed because newly arrived at Cegema, I cannot have my doctor's refunds, nor the person who takes care of my file because they no longer answer me, I asked for several quotes with the rest at my expense What she completely ignores, I str"&amp;"ongly regret having changed my mutual and I look forward to being able to leave for my old mutual! I would see if I receive my reimbursements in time, otherwise I will go to the defense of the consumer what I have already said to this young lady really ve"&amp;"ry very disappointed and apparently I am not there alone ??")</f>
        <v>I am very disappointed because newly arrived at Cegema, I cannot have my doctor's refunds, nor the person who takes care of my file because they no longer answer me, I asked for several quotes with the rest at my expense What she completely ignores, I strongly regret having changed my mutual and I look forward to being able to leave for my old mutual! I would see if I receive my reimbursements in time, otherwise I will go to the defense of the consumer what I have already said to this young lady really very very disappointed and apparently I am not there alone ??</v>
      </c>
    </row>
    <row r="210" ht="15.75" customHeight="1">
      <c r="B210" s="2" t="s">
        <v>663</v>
      </c>
      <c r="C210" s="2" t="s">
        <v>664</v>
      </c>
      <c r="D210" s="2" t="s">
        <v>550</v>
      </c>
      <c r="E210" s="2" t="s">
        <v>14</v>
      </c>
      <c r="F210" s="2" t="s">
        <v>15</v>
      </c>
      <c r="G210" s="2" t="s">
        <v>85</v>
      </c>
      <c r="H210" s="2" t="s">
        <v>79</v>
      </c>
      <c r="I210" s="2" t="str">
        <f>IFERROR(__xludf.DUMMYFUNCTION("GOOGLETRANSLATE(C210,""fr"",""en"")"),"Several telephone calls at 11:45 am stay 15 minutes without result then at 1:10 pm stay 12 minutes without result it's been 2 months since I am in this new mutual impossible to have someone on the phone for information I will not renew my very disappointe"&amp;"d contract")</f>
        <v>Several telephone calls at 11:45 am stay 15 minutes without result then at 1:10 pm stay 12 minutes without result it's been 2 months since I am in this new mutual impossible to have someone on the phone for information I will not renew my very disappointed contract</v>
      </c>
    </row>
    <row r="211" ht="15.75" customHeight="1">
      <c r="B211" s="2" t="s">
        <v>665</v>
      </c>
      <c r="C211" s="2" t="s">
        <v>666</v>
      </c>
      <c r="D211" s="2" t="s">
        <v>550</v>
      </c>
      <c r="E211" s="2" t="s">
        <v>14</v>
      </c>
      <c r="F211" s="2" t="s">
        <v>15</v>
      </c>
      <c r="G211" s="2" t="s">
        <v>667</v>
      </c>
      <c r="H211" s="2" t="s">
        <v>79</v>
      </c>
      <c r="I211" s="2" t="str">
        <f>IFERROR(__xludf.DUMMYFUNCTION("GOOGLETRANSLATE(C211,""fr"",""en"")"),"I am very unhappy with this mutual insurance company, impossible to reach on the phone, I have been waiting for a refund for a month, I sent the request by recommended with AR and nothing !!!!!!! Since then, this is the first insurance that I am unhappy, "&amp;"to flee
Claudine Andreu R000L22164")</f>
        <v>I am very unhappy with this mutual insurance company, impossible to reach on the phone, I have been waiting for a refund for a month, I sent the request by recommended with AR and nothing !!!!!!! Since then, this is the first insurance that I am unhappy, to flee
Claudine Andreu R000L22164</v>
      </c>
    </row>
    <row r="212" ht="15.75" customHeight="1">
      <c r="B212" s="2" t="s">
        <v>668</v>
      </c>
      <c r="C212" s="2" t="s">
        <v>669</v>
      </c>
      <c r="D212" s="2" t="s">
        <v>550</v>
      </c>
      <c r="E212" s="2" t="s">
        <v>14</v>
      </c>
      <c r="F212" s="2" t="s">
        <v>15</v>
      </c>
      <c r="G212" s="2" t="s">
        <v>670</v>
      </c>
      <c r="H212" s="2" t="s">
        <v>92</v>
      </c>
      <c r="I212" s="2" t="str">
        <f>IFERROR(__xludf.DUMMYFUNCTION("GOOGLETRANSLATE(C212,""fr"",""en"")"),"Satisfied for 2 years, then at the end of my contract in 2020 CEGEMA blocks my dental reimbursements when I adjusted the monthly payment well and I was always covered by Cegema. I have been waiting for news for them since the end of January and I am very "&amp;"decreed by this attitude.")</f>
        <v>Satisfied for 2 years, then at the end of my contract in 2020 CEGEMA blocks my dental reimbursements when I adjusted the monthly payment well and I was always covered by Cegema. I have been waiting for news for them since the end of January and I am very decreed by this attitude.</v>
      </c>
    </row>
    <row r="213" ht="15.75" customHeight="1">
      <c r="B213" s="2" t="s">
        <v>671</v>
      </c>
      <c r="C213" s="2" t="s">
        <v>672</v>
      </c>
      <c r="D213" s="2" t="s">
        <v>550</v>
      </c>
      <c r="E213" s="2" t="s">
        <v>14</v>
      </c>
      <c r="F213" s="2" t="s">
        <v>15</v>
      </c>
      <c r="G213" s="2" t="s">
        <v>673</v>
      </c>
      <c r="H213" s="2" t="s">
        <v>92</v>
      </c>
      <c r="I213" s="2" t="str">
        <f>IFERROR(__xludf.DUMMYFUNCTION("GOOGLETRANSLATE(C213,""fr"",""en"")"),"I have been insured in Cegema for more than a year and I have received an increase in contribution going from € 118 to € 126.90 without explanation when we are in a covid period, therefore, we take no risk being vulnerable. Terminated after a year in regi"&amp;"stered letter with AR on 06/02, reception of the letter on 09/02. On my customer area they claim: terminated on 04/04 and they send me an email call for funds for a contribution of 39.07 remaining due. Impossible to have them on the phone neither at the h"&amp;"eadquarters nor the broker. Messages left on the site but they disdain you. It's a shame. My only appeal: opposition to the levy and I seek by legal means.")</f>
        <v>I have been insured in Cegema for more than a year and I have received an increase in contribution going from € 118 to € 126.90 without explanation when we are in a covid period, therefore, we take no risk being vulnerable. Terminated after a year in registered letter with AR on 06/02, reception of the letter on 09/02. On my customer area they claim: terminated on 04/04 and they send me an email call for funds for a contribution of 39.07 remaining due. Impossible to have them on the phone neither at the headquarters nor the broker. Messages left on the site but they disdain you. It's a shame. My only appeal: opposition to the levy and I seek by legal means.</v>
      </c>
    </row>
    <row r="214" ht="15.75" customHeight="1">
      <c r="B214" s="2" t="s">
        <v>674</v>
      </c>
      <c r="C214" s="2" t="s">
        <v>675</v>
      </c>
      <c r="D214" s="2" t="s">
        <v>550</v>
      </c>
      <c r="E214" s="2" t="s">
        <v>14</v>
      </c>
      <c r="F214" s="2" t="s">
        <v>15</v>
      </c>
      <c r="G214" s="2" t="s">
        <v>676</v>
      </c>
      <c r="H214" s="2" t="s">
        <v>92</v>
      </c>
      <c r="I214" s="2" t="str">
        <f>IFERROR(__xludf.DUMMYFUNCTION("GOOGLETRANSLATE(C214,""fr"",""en"")"),"Ditto I have been trying to reach them by phone, by email and this for 1 month. Always the same answering machine, no recall, no hospital care, no refund. Mutual to avoid at all costs. On the other hand, the samples are well taken and time and on time. Ve"&amp;"ry angry...")</f>
        <v>Ditto I have been trying to reach them by phone, by email and this for 1 month. Always the same answering machine, no recall, no hospital care, no refund. Mutual to avoid at all costs. On the other hand, the samples are well taken and time and on time. Very angry...</v>
      </c>
    </row>
    <row r="215" ht="15.75" customHeight="1">
      <c r="B215" s="2" t="s">
        <v>677</v>
      </c>
      <c r="C215" s="2" t="s">
        <v>678</v>
      </c>
      <c r="D215" s="2" t="s">
        <v>550</v>
      </c>
      <c r="E215" s="2" t="s">
        <v>14</v>
      </c>
      <c r="F215" s="2" t="s">
        <v>15</v>
      </c>
      <c r="G215" s="2" t="s">
        <v>95</v>
      </c>
      <c r="H215" s="2" t="s">
        <v>92</v>
      </c>
      <c r="I215" s="2" t="str">
        <f>IFERROR(__xludf.DUMMYFUNCTION("GOOGLETRANSLATE(C215,""fr"",""en"")"),"Small subsidiary at 100% Swisslife which is not at all up to what it claims: for 4 days I have been trying to reach them to obtain hospitalization care, (it's about thirty of 'Telephone calls) with always this answering machine whose message dates from fa"&amp;"ll 2020! And requests for a reminder that remain without effect! In short, they make fun of their insured, there is only the increase in their turnover and the contributions that motivate them. Since they do not deign to answer either the phone or the ema"&amp;"ils of customers, you can also leave a comment/complaint from the parent company.
The behavior of Cegema is unacceptable and simply scandalous, and I warned the broker who suggested this organization for me.")</f>
        <v>Small subsidiary at 100% Swisslife which is not at all up to what it claims: for 4 days I have been trying to reach them to obtain hospitalization care, (it's about thirty of 'Telephone calls) with always this answering machine whose message dates from fall 2020! And requests for a reminder that remain without effect! In short, they make fun of their insured, there is only the increase in their turnover and the contributions that motivate them. Since they do not deign to answer either the phone or the emails of customers, you can also leave a comment/complaint from the parent company.
The behavior of Cegema is unacceptable and simply scandalous, and I warned the broker who suggested this organization for me.</v>
      </c>
    </row>
    <row r="216" ht="15.75" customHeight="1">
      <c r="B216" s="2" t="s">
        <v>679</v>
      </c>
      <c r="C216" s="2" t="s">
        <v>680</v>
      </c>
      <c r="D216" s="2" t="s">
        <v>550</v>
      </c>
      <c r="E216" s="2" t="s">
        <v>14</v>
      </c>
      <c r="F216" s="2" t="s">
        <v>15</v>
      </c>
      <c r="G216" s="2" t="s">
        <v>681</v>
      </c>
      <c r="H216" s="2" t="s">
        <v>92</v>
      </c>
      <c r="I216" s="2" t="str">
        <f>IFERROR(__xludf.DUMMYFUNCTION("GOOGLETRANSLATE(C216,""fr"",""en"")"),"Hello. Mutual disrespectful of his insured. Impossible to reach them. We tell you that we call you back. But after a month ... I'm still waiting.")</f>
        <v>Hello. Mutual disrespectful of his insured. Impossible to reach them. We tell you that we call you back. But after a month ... I'm still waiting.</v>
      </c>
    </row>
    <row r="217" ht="15.75" customHeight="1">
      <c r="B217" s="2" t="s">
        <v>682</v>
      </c>
      <c r="C217" s="2" t="s">
        <v>683</v>
      </c>
      <c r="D217" s="2" t="s">
        <v>550</v>
      </c>
      <c r="E217" s="2" t="s">
        <v>14</v>
      </c>
      <c r="F217" s="2" t="s">
        <v>15</v>
      </c>
      <c r="G217" s="2" t="s">
        <v>684</v>
      </c>
      <c r="H217" s="2" t="s">
        <v>92</v>
      </c>
      <c r="I217" s="2" t="str">
        <f>IFERROR(__xludf.DUMMYFUNCTION("GOOGLETRANSLATE(C217,""fr"",""en"")"),"I am very disappointed with this mutual insurance company, impossible to reach them by phone, their recall system and well we do not remind you of the reimbursement level we tell you desolate abnormal deadline but it is not our problem and not to mention "&amp;"the agreement For the third party paying for the optics a period of 15 days and my optician still has no response. I would not advertise for this mutual and as soon as I can change I will not hesitate")</f>
        <v>I am very disappointed with this mutual insurance company, impossible to reach them by phone, their recall system and well we do not remind you of the reimbursement level we tell you desolate abnormal deadline but it is not our problem and not to mention the agreement For the third party paying for the optics a period of 15 days and my optician still has no response. I would not advertise for this mutual and as soon as I can change I will not hesitate</v>
      </c>
    </row>
    <row r="218" ht="15.75" customHeight="1">
      <c r="B218" s="2" t="s">
        <v>685</v>
      </c>
      <c r="C218" s="2" t="s">
        <v>686</v>
      </c>
      <c r="D218" s="2" t="s">
        <v>550</v>
      </c>
      <c r="E218" s="2" t="s">
        <v>14</v>
      </c>
      <c r="F218" s="2" t="s">
        <v>15</v>
      </c>
      <c r="G218" s="2" t="s">
        <v>687</v>
      </c>
      <c r="H218" s="2" t="s">
        <v>92</v>
      </c>
      <c r="I218" s="2" t="str">
        <f>IFERROR(__xludf.DUMMYFUNCTION("GOOGLETRANSLATE(C218,""fr"",""en"")"),"For 2 months and a half impossible to obtain my ophthalmal reimbursements be 50th and visit doctor dated January
Various email calls etc I will have to call on the mediator
Never again a contract with them
")</f>
        <v>For 2 months and a half impossible to obtain my ophthalmal reimbursements be 50th and visit doctor dated January
Various email calls etc I will have to call on the mediator
Never again a contract with them
</v>
      </c>
    </row>
    <row r="219" ht="15.75" customHeight="1">
      <c r="B219" s="2" t="s">
        <v>688</v>
      </c>
      <c r="C219" s="2" t="s">
        <v>689</v>
      </c>
      <c r="D219" s="2" t="s">
        <v>550</v>
      </c>
      <c r="E219" s="2" t="s">
        <v>14</v>
      </c>
      <c r="F219" s="2" t="s">
        <v>15</v>
      </c>
      <c r="G219" s="2" t="s">
        <v>690</v>
      </c>
      <c r="H219" s="2" t="s">
        <v>92</v>
      </c>
      <c r="I219" s="2" t="str">
        <f>IFERROR(__xludf.DUMMYFUNCTION("GOOGLETRANSLATE(C219,""fr"",""en"")"),"I have been waiting for dental care since February
No processing of my file despite reminders by email
Impossible to join them at tel
Scandal
I will terminate my contract with them
To collect the subscription each month they are not delayed")</f>
        <v>I have been waiting for dental care since February
No processing of my file despite reminders by email
Impossible to join them at tel
Scandal
I will terminate my contract with them
To collect the subscription each month they are not delayed</v>
      </c>
    </row>
    <row r="220" ht="15.75" customHeight="1">
      <c r="B220" s="2" t="s">
        <v>691</v>
      </c>
      <c r="C220" s="2" t="s">
        <v>692</v>
      </c>
      <c r="D220" s="2" t="s">
        <v>550</v>
      </c>
      <c r="E220" s="2" t="s">
        <v>14</v>
      </c>
      <c r="F220" s="2" t="s">
        <v>15</v>
      </c>
      <c r="G220" s="2" t="s">
        <v>690</v>
      </c>
      <c r="H220" s="2" t="s">
        <v>92</v>
      </c>
      <c r="I220" s="2" t="str">
        <f>IFERROR(__xludf.DUMMYFUNCTION("GOOGLETRANSLATE(C220,""fr"",""en"")"),"I fully agree with all the opinions I just read. Affiliated since the beginning of 2021, I also expect several reimbursements, always promised but never made although having claimed many times both by emails and by phone and to have sent several copies of"&amp;" the invoices. I have never known worse mutual. I do not recommend it to anyone who would be tempted to believe in the beautiful announcements of the approval and even to doubt to be reimbursed. ASHAMED !!!!!!!!!!!")</f>
        <v>I fully agree with all the opinions I just read. Affiliated since the beginning of 2021, I also expect several reimbursements, always promised but never made although having claimed many times both by emails and by phone and to have sent several copies of the invoices. I have never known worse mutual. I do not recommend it to anyone who would be tempted to believe in the beautiful announcements of the approval and even to doubt to be reimbursed. ASHAMED !!!!!!!!!!!</v>
      </c>
    </row>
    <row r="221" ht="15.75" customHeight="1">
      <c r="B221" s="2" t="s">
        <v>693</v>
      </c>
      <c r="C221" s="2" t="s">
        <v>694</v>
      </c>
      <c r="D221" s="2" t="s">
        <v>550</v>
      </c>
      <c r="E221" s="2" t="s">
        <v>14</v>
      </c>
      <c r="F221" s="2" t="s">
        <v>15</v>
      </c>
      <c r="G221" s="2" t="s">
        <v>695</v>
      </c>
      <c r="H221" s="2" t="s">
        <v>92</v>
      </c>
      <c r="I221" s="2" t="str">
        <f>IFERROR(__xludf.DUMMYFUNCTION("GOOGLETRANSLATE(C221,""fr"",""en"")"),"It is impossible to have an advisor, or even to have an answer to a question concerning a non -refund, when they are ISO9001. Above all, do not listen to these brokers who are only there for these mutuals. An advice! Do not take CEGEMA as a mutual! Before"&amp;" I was at Gras Savoye, no problem for having them.")</f>
        <v>It is impossible to have an advisor, or even to have an answer to a question concerning a non -refund, when they are ISO9001. Above all, do not listen to these brokers who are only there for these mutuals. An advice! Do not take CEGEMA as a mutual! Before I was at Gras Savoye, no problem for having them.</v>
      </c>
    </row>
    <row r="222" ht="15.75" customHeight="1">
      <c r="B222" s="2" t="s">
        <v>696</v>
      </c>
      <c r="C222" s="2" t="s">
        <v>697</v>
      </c>
      <c r="D222" s="2" t="s">
        <v>550</v>
      </c>
      <c r="E222" s="2" t="s">
        <v>14</v>
      </c>
      <c r="F222" s="2" t="s">
        <v>15</v>
      </c>
      <c r="G222" s="2" t="s">
        <v>698</v>
      </c>
      <c r="H222" s="2" t="s">
        <v>92</v>
      </c>
      <c r="I222" s="2" t="str">
        <f>IFERROR(__xludf.DUMMYFUNCTION("GOOGLETRANSLATE(C222,""fr"",""en"")"),"I am still waiting for the refund of care of January 05, 2021.
Mails, telephone calls, contacts via the Facebook page, nothing moves.
The invoice was sent 4 times, no response.
The registered letter will therefore leave next week, after it will be the "&amp;"referral to the mediator.
Inadmissible, I can no longer go to the doctor, as the reimbursement is long overdue.
")</f>
        <v>I am still waiting for the refund of care of January 05, 2021.
Mails, telephone calls, contacts via the Facebook page, nothing moves.
The invoice was sent 4 times, no response.
The registered letter will therefore leave next week, after it will be the referral to the mediator.
Inadmissible, I can no longer go to the doctor, as the reimbursement is long overdue.
</v>
      </c>
    </row>
    <row r="223" ht="15.75" customHeight="1">
      <c r="B223" s="2" t="s">
        <v>699</v>
      </c>
      <c r="C223" s="2" t="s">
        <v>700</v>
      </c>
      <c r="D223" s="2" t="s">
        <v>550</v>
      </c>
      <c r="E223" s="2" t="s">
        <v>14</v>
      </c>
      <c r="F223" s="2" t="s">
        <v>15</v>
      </c>
      <c r="G223" s="2" t="s">
        <v>337</v>
      </c>
      <c r="H223" s="2" t="s">
        <v>92</v>
      </c>
      <c r="I223" s="2" t="str">
        <f>IFERROR(__xludf.DUMMYFUNCTION("GOOGLETRANSLATE(C223,""fr"",""en"")"),"Impossible to reach whoever is on the phone, we are in March and I still have not received my payout third party certificate. I am very unhappy with this mutual")</f>
        <v>Impossible to reach whoever is on the phone, we are in March and I still have not received my payout third party certificate. I am very unhappy with this mutual</v>
      </c>
    </row>
    <row r="224" ht="15.75" customHeight="1">
      <c r="B224" s="2" t="s">
        <v>701</v>
      </c>
      <c r="C224" s="2" t="s">
        <v>702</v>
      </c>
      <c r="D224" s="2" t="s">
        <v>550</v>
      </c>
      <c r="E224" s="2" t="s">
        <v>14</v>
      </c>
      <c r="F224" s="2" t="s">
        <v>15</v>
      </c>
      <c r="G224" s="2" t="s">
        <v>703</v>
      </c>
      <c r="H224" s="2" t="s">
        <v>101</v>
      </c>
      <c r="I224" s="2" t="str">
        <f>IFERROR(__xludf.DUMMYFUNCTION("GOOGLETRANSLATE(C224,""fr"",""en"")"),"I am very disappointed with this mutual.
They are unreachable I have been waiting for dental expenses for more than a month and no response
")</f>
        <v>I am very disappointed with this mutual.
They are unreachable I have been waiting for dental expenses for more than a month and no response
</v>
      </c>
    </row>
    <row r="225" ht="15.75" customHeight="1">
      <c r="B225" s="2" t="s">
        <v>704</v>
      </c>
      <c r="C225" s="2" t="s">
        <v>705</v>
      </c>
      <c r="D225" s="2" t="s">
        <v>550</v>
      </c>
      <c r="E225" s="2" t="s">
        <v>14</v>
      </c>
      <c r="F225" s="2" t="s">
        <v>15</v>
      </c>
      <c r="G225" s="2" t="s">
        <v>706</v>
      </c>
      <c r="H225" s="2" t="s">
        <v>101</v>
      </c>
      <c r="I225" s="2" t="str">
        <f>IFERROR(__xludf.DUMMYFUNCTION("GOOGLETRANSLATE(C225,""fr"",""en"")"),"I have nothing to say about the UCR mutual, I am very happy that it is in terms of guarantees, reimbursements and contributions that I did not find in others")</f>
        <v>I have nothing to say about the UCR mutual, I am very happy that it is in terms of guarantees, reimbursements and contributions that I did not find in others</v>
      </c>
    </row>
    <row r="226" ht="15.75" customHeight="1">
      <c r="B226" s="2" t="s">
        <v>707</v>
      </c>
      <c r="C226" s="2" t="s">
        <v>708</v>
      </c>
      <c r="D226" s="2" t="s">
        <v>550</v>
      </c>
      <c r="E226" s="2" t="s">
        <v>14</v>
      </c>
      <c r="F226" s="2" t="s">
        <v>15</v>
      </c>
      <c r="G226" s="2" t="s">
        <v>709</v>
      </c>
      <c r="H226" s="2" t="s">
        <v>101</v>
      </c>
      <c r="I226" s="2" t="str">
        <f>IFERROR(__xludf.DUMMYFUNCTION("GOOGLETRANSLATE(C226,""fr"",""en"")"),"Hello, I had compared what was comparable and I am satisfied with the Cegema
I've been there for a few years.
Reasonable price.
speed of reimbursements.
Simple and responsive website.
benevolent people on the phone.
For the moment, I am satisfied.
")</f>
        <v>Hello, I had compared what was comparable and I am satisfied with the Cegema
I've been there for a few years.
Reasonable price.
speed of reimbursements.
Simple and responsive website.
benevolent people on the phone.
For the moment, I am satisfied.
</v>
      </c>
    </row>
    <row r="227" ht="15.75" customHeight="1">
      <c r="B227" s="2" t="s">
        <v>710</v>
      </c>
      <c r="C227" s="2" t="s">
        <v>711</v>
      </c>
      <c r="D227" s="2" t="s">
        <v>550</v>
      </c>
      <c r="E227" s="2" t="s">
        <v>14</v>
      </c>
      <c r="F227" s="2" t="s">
        <v>15</v>
      </c>
      <c r="G227" s="2" t="s">
        <v>340</v>
      </c>
      <c r="H227" s="2" t="s">
        <v>101</v>
      </c>
      <c r="I227" s="2" t="str">
        <f>IFERROR(__xludf.DUMMYFUNCTION("GOOGLETRANSLATE(C227,""fr"",""en"")"),"I do not recommend any response to email and by such a charming person who answers me I send your request a person will answer you. I'm still waiting.")</f>
        <v>I do not recommend any response to email and by such a charming person who answers me I send your request a person will answer you. I'm still waiting.</v>
      </c>
    </row>
    <row r="228" ht="15.75" customHeight="1">
      <c r="B228" s="2" t="s">
        <v>712</v>
      </c>
      <c r="C228" s="2" t="s">
        <v>713</v>
      </c>
      <c r="D228" s="2" t="s">
        <v>550</v>
      </c>
      <c r="E228" s="2" t="s">
        <v>14</v>
      </c>
      <c r="F228" s="2" t="s">
        <v>15</v>
      </c>
      <c r="G228" s="2" t="s">
        <v>340</v>
      </c>
      <c r="H228" s="2" t="s">
        <v>101</v>
      </c>
      <c r="I228" s="2" t="str">
        <f>IFERROR(__xludf.DUMMYFUNCTION("GOOGLETRANSLATE(C228,""fr"",""en"")"),"lamentable.
Impossible to reach an advisor, no recall.
I called 5 days in a row, promise to recall each time, never recalled, what a mess!
At the deadline, it will be good bye!
")</f>
        <v>lamentable.
Impossible to reach an advisor, no recall.
I called 5 days in a row, promise to recall each time, never recalled, what a mess!
At the deadline, it will be good bye!
</v>
      </c>
    </row>
    <row r="229" ht="15.75" customHeight="1">
      <c r="B229" s="2" t="s">
        <v>714</v>
      </c>
      <c r="C229" s="2" t="s">
        <v>715</v>
      </c>
      <c r="D229" s="2" t="s">
        <v>550</v>
      </c>
      <c r="E229" s="2" t="s">
        <v>14</v>
      </c>
      <c r="F229" s="2" t="s">
        <v>15</v>
      </c>
      <c r="G229" s="2" t="s">
        <v>716</v>
      </c>
      <c r="H229" s="2" t="s">
        <v>101</v>
      </c>
      <c r="I229" s="2" t="str">
        <f>IFERROR(__xludf.DUMMYFUNCTION("GOOGLETRANSLATE(C229,""fr"",""en"")"),"
 Flee brave people flee from all legs this complementary which is constantly increasing and without warning you
In the Cegema for four years .. always no teletransmission .. (must send your bills, otherwise nothing)
For a refund, 150 euros, I waited m"&amp;"ore than a month and obtained 10.76 super additional
For a reimbursement of 25 euros, waiting of more than three and a half months and thousands of FI in ""labyrinth to you discover .. I leave this ship flee, I tell you
")</f>
        <v>
 Flee brave people flee from all legs this complementary which is constantly increasing and without warning you
In the Cegema for four years .. always no teletransmission .. (must send your bills, otherwise nothing)
For a refund, 150 euros, I waited more than a month and obtained 10.76 super additional
For a reimbursement of 25 euros, waiting of more than three and a half months and thousands of FI in "labyrinth to you discover .. I leave this ship flee, I tell you
</v>
      </c>
    </row>
    <row r="230" ht="15.75" customHeight="1">
      <c r="B230" s="2" t="s">
        <v>717</v>
      </c>
      <c r="C230" s="2" t="s">
        <v>718</v>
      </c>
      <c r="D230" s="2" t="s">
        <v>550</v>
      </c>
      <c r="E230" s="2" t="s">
        <v>14</v>
      </c>
      <c r="F230" s="2" t="s">
        <v>15</v>
      </c>
      <c r="G230" s="2" t="s">
        <v>343</v>
      </c>
      <c r="H230" s="2" t="s">
        <v>101</v>
      </c>
      <c r="I230" s="2" t="str">
        <f>IFERROR(__xludf.DUMMYFUNCTION("GOOGLETRANSLATE(C230,""fr"",""en"")"),"When there is no remote transmission, it is as if you do not exist. The answers to your nonexistent questions, reimbursements after 20 days still nothing. I regret putting in this mutual. When you are harpooned, everything is great, speed of refund ... et"&amp;"c ... and in the end all the mutuals look alike, you must always claim when you do not fall against a wall!")</f>
        <v>When there is no remote transmission, it is as if you do not exist. The answers to your nonexistent questions, reimbursements after 20 days still nothing. I regret putting in this mutual. When you are harpooned, everything is great, speed of refund ... etc ... and in the end all the mutuals look alike, you must always claim when you do not fall against a wall!</v>
      </c>
    </row>
    <row r="231" ht="15.75" customHeight="1">
      <c r="B231" s="2" t="s">
        <v>719</v>
      </c>
      <c r="C231" s="2" t="s">
        <v>720</v>
      </c>
      <c r="D231" s="2" t="s">
        <v>550</v>
      </c>
      <c r="E231" s="2" t="s">
        <v>14</v>
      </c>
      <c r="F231" s="2" t="s">
        <v>15</v>
      </c>
      <c r="G231" s="2" t="s">
        <v>721</v>
      </c>
      <c r="H231" s="2" t="s">
        <v>114</v>
      </c>
      <c r="I231" s="2" t="str">
        <f>IFERROR(__xludf.DUMMYFUNCTION("GOOGLETRANSLATE(C231,""fr"",""en"")"),"Hello
I have contracted a mutual insurance company with Cegema Insurance since November 18, 2020 and since then, impossible to create my customer area. After dozens of attempts to contact them by phone, today, January 20, 2021,
Hourra !!! I had 2 advise"&amp;"d, incompetent and pressed, with whom, I still have not managed to open my account.
It was the price that attracted me, but after reading several unfavorable comments about this mutual, I see that they are truthful.
I look forward to the end of this yea"&amp;"r to terminate this contract.")</f>
        <v>Hello
I have contracted a mutual insurance company with Cegema Insurance since November 18, 2020 and since then, impossible to create my customer area. After dozens of attempts to contact them by phone, today, January 20, 2021,
Hourra !!! I had 2 advised, incompetent and pressed, with whom, I still have not managed to open my account.
It was the price that attracted me, but after reading several unfavorable comments about this mutual, I see that they are truthful.
I look forward to the end of this year to terminate this contract.</v>
      </c>
    </row>
    <row r="232" ht="15.75" customHeight="1">
      <c r="B232" s="2" t="s">
        <v>722</v>
      </c>
      <c r="C232" s="2" t="s">
        <v>723</v>
      </c>
      <c r="D232" s="2" t="s">
        <v>550</v>
      </c>
      <c r="E232" s="2" t="s">
        <v>14</v>
      </c>
      <c r="F232" s="2" t="s">
        <v>15</v>
      </c>
      <c r="G232" s="2" t="s">
        <v>724</v>
      </c>
      <c r="H232" s="2" t="s">
        <v>114</v>
      </c>
      <c r="I232" s="2" t="str">
        <f>IFERROR(__xludf.DUMMYFUNCTION("GOOGLETRANSLATE(C232,""fr"",""en"")"),"New insured since 01/2021 via 1 broker, I discover at my expense! Admittedly the ""carte blanche"" software is in maintenance (not to say broken down ...), but Cegema just like the broker, announces that it is not their PB and that to know the Opticians c"&amp;"oncerned (10 close to At home), I just have to take my pilgrim stick and do the latter's tour: Hello COVVI! Note that they had the information in hand for having given it to me before signing the contract: I only had to note it at that time !!!!! Case to "&amp;"follow.")</f>
        <v>New insured since 01/2021 via 1 broker, I discover at my expense! Admittedly the "carte blanche" software is in maintenance (not to say broken down ...), but Cegema just like the broker, announces that it is not their PB and that to know the Opticians concerned (10 close to At home), I just have to take my pilgrim stick and do the latter's tour: Hello COVVI! Note that they had the information in hand for having given it to me before signing the contract: I only had to note it at that time !!!!! Case to follow.</v>
      </c>
    </row>
    <row r="233" ht="15.75" customHeight="1">
      <c r="B233" s="2" t="s">
        <v>725</v>
      </c>
      <c r="C233" s="2" t="s">
        <v>726</v>
      </c>
      <c r="D233" s="2" t="s">
        <v>550</v>
      </c>
      <c r="E233" s="2" t="s">
        <v>14</v>
      </c>
      <c r="F233" s="2" t="s">
        <v>15</v>
      </c>
      <c r="G233" s="2" t="s">
        <v>727</v>
      </c>
      <c r="H233" s="2" t="s">
        <v>126</v>
      </c>
      <c r="I233" s="2" t="str">
        <f>IFERROR(__xludf.DUMMYFUNCTION("GOOGLETRANSLATE(C233,""fr"",""en"")"),"Hello,
I am of Swiss origin, born in Switzerland in Zürich. I live in Nice at 83. I am absolutely disappointed with this mutual, think of Switzerland seriously. I signed a vitanéor contract 2 175 %, with the Coutier Cégéma Compassur.
But after several"&amp;" calls, sending of message and documents requested with invoice from my dentist and the security reimbursement file at 70 %. I paid by check for € 2770 for care and a dentist prosthesis, given my vital card. From Nov. 2020, Compassurl has not reimbursed t"&amp;"he supplement!
It is unacceptable, I pay my contributions by direct debit every month!
Cordially
                              Eric Fontolliet
                         ")</f>
        <v>Hello,
I am of Swiss origin, born in Switzerland in Zürich. I live in Nice at 83. I am absolutely disappointed with this mutual, think of Switzerland seriously. I signed a vitanéor contract 2 175 %, with the Coutier Cégéma Compassur.
But after several calls, sending of message and documents requested with invoice from my dentist and the security reimbursement file at 70 %. I paid by check for € 2770 for care and a dentist prosthesis, given my vital card. From Nov. 2020, Compassurl has not reimbursed the supplement!
It is unacceptable, I pay my contributions by direct debit every month!
Cordially
                              Eric Fontolliet
                         </v>
      </c>
    </row>
    <row r="234" ht="15.75" customHeight="1">
      <c r="B234" s="2" t="s">
        <v>728</v>
      </c>
      <c r="C234" s="2" t="s">
        <v>729</v>
      </c>
      <c r="D234" s="2" t="s">
        <v>550</v>
      </c>
      <c r="E234" s="2" t="s">
        <v>14</v>
      </c>
      <c r="F234" s="2" t="s">
        <v>15</v>
      </c>
      <c r="G234" s="2" t="s">
        <v>727</v>
      </c>
      <c r="H234" s="2" t="s">
        <v>126</v>
      </c>
      <c r="I234" s="2" t="str">
        <f>IFERROR(__xludf.DUMMYFUNCTION("GOOGLETRANSLATE(C234,""fr"",""en"")"),"After forcing, I sign (by canceling the new contract) on 10/09 for 70.13 € monthly ... the 28/o9 2nd Courier CHANGE: 71, 71 € monthly ... 3rd mail: 81.71 € to adjust 01/12/21, then: € 71.71
    Sending 1mail: without answer ... 1st call: it's normal: tax"&amp;"es (but, they avoid talking about it, it's the surprise) what degree of honesty has this insurance ??? I change at the end of the year..I fear reimbursements flee this insurance")</f>
        <v>After forcing, I sign (by canceling the new contract) on 10/09 for 70.13 € monthly ... the 28/o9 2nd Courier CHANGE: 71, 71 € monthly ... 3rd mail: 81.71 € to adjust 01/12/21, then: € 71.71
    Sending 1mail: without answer ... 1st call: it's normal: taxes (but, they avoid talking about it, it's the surprise) what degree of honesty has this insurance ??? I change at the end of the year..I fear reimbursements flee this insurance</v>
      </c>
    </row>
    <row r="235" ht="15.75" customHeight="1">
      <c r="B235" s="2" t="s">
        <v>730</v>
      </c>
      <c r="C235" s="2" t="s">
        <v>731</v>
      </c>
      <c r="D235" s="2" t="s">
        <v>550</v>
      </c>
      <c r="E235" s="2" t="s">
        <v>14</v>
      </c>
      <c r="F235" s="2" t="s">
        <v>15</v>
      </c>
      <c r="G235" s="2" t="s">
        <v>732</v>
      </c>
      <c r="H235" s="2" t="s">
        <v>126</v>
      </c>
      <c r="I235" s="2" t="str">
        <f>IFERROR(__xludf.DUMMYFUNCTION("GOOGLETRANSLATE(C235,""fr"",""en"")"),"People without humanity we lost a loved one on 1 and November and we are asked to pay 7.80 euro for the day knowing that this person paid 239 euros per month by being taken a hundred percent for his illness ashamed to them")</f>
        <v>People without humanity we lost a loved one on 1 and November and we are asked to pay 7.80 euro for the day knowing that this person paid 239 euros per month by being taken a hundred percent for his illness ashamed to them</v>
      </c>
    </row>
    <row r="236" ht="15.75" customHeight="1">
      <c r="B236" s="2" t="s">
        <v>733</v>
      </c>
      <c r="C236" s="2" t="s">
        <v>734</v>
      </c>
      <c r="D236" s="2" t="s">
        <v>550</v>
      </c>
      <c r="E236" s="2" t="s">
        <v>14</v>
      </c>
      <c r="F236" s="2" t="s">
        <v>15</v>
      </c>
      <c r="G236" s="2" t="s">
        <v>137</v>
      </c>
      <c r="H236" s="2" t="s">
        <v>126</v>
      </c>
      <c r="I236" s="2" t="str">
        <f>IFERROR(__xludf.DUMMYFUNCTION("GOOGLETRANSLATE(C236,""fr"",""en"")"),"On reimbursements nothing to say for the pharmacy, on the other hand for dental costs despite a contribution for our couple which is around 200 € flush with the daisies. On the other hand we are at 3 weeks of waiting for a reimbursement of glasses. After "&amp;"telephoning several times, we have just received an email to tell us that they had taken into account our complaint. worse than civil servants.")</f>
        <v>On reimbursements nothing to say for the pharmacy, on the other hand for dental costs despite a contribution for our couple which is around 200 € flush with the daisies. On the other hand we are at 3 weeks of waiting for a reimbursement of glasses. After telephoning several times, we have just received an email to tell us that they had taken into account our complaint. worse than civil servants.</v>
      </c>
    </row>
    <row r="237" ht="15.75" customHeight="1">
      <c r="B237" s="2" t="s">
        <v>735</v>
      </c>
      <c r="C237" s="2" t="s">
        <v>736</v>
      </c>
      <c r="D237" s="2" t="s">
        <v>550</v>
      </c>
      <c r="E237" s="2" t="s">
        <v>14</v>
      </c>
      <c r="F237" s="2" t="s">
        <v>15</v>
      </c>
      <c r="G237" s="2" t="s">
        <v>737</v>
      </c>
      <c r="H237" s="2" t="s">
        <v>141</v>
      </c>
      <c r="I237" s="2" t="str">
        <f>IFERROR(__xludf.DUMMYFUNCTION("GOOGLETRANSLATE(C237,""fr"",""en"")"),"I just paid the 1st month of subscription, it is true that to have information on the mutual I sent an email, and indeed I received no response. Given all the negative opinions on this company, I immediately disputed this 1st levy and blocked the mandate "&amp;"for Cegema. I would not waste time with companies such as these and I am not there to fatten them. It is also true that it is impossible to find the site to connect to your customer account. Besides, I expect a refund visit doctor that I have not yet rece"&amp;"ived. I think it is best to subscribe in a large brand that is bugled up")</f>
        <v>I just paid the 1st month of subscription, it is true that to have information on the mutual I sent an email, and indeed I received no response. Given all the negative opinions on this company, I immediately disputed this 1st levy and blocked the mandate for Cegema. I would not waste time with companies such as these and I am not there to fatten them. It is also true that it is impossible to find the site to connect to your customer account. Besides, I expect a refund visit doctor that I have not yet received. I think it is best to subscribe in a large brand that is bugled up</v>
      </c>
    </row>
    <row r="238" ht="15.75" customHeight="1">
      <c r="B238" s="2" t="s">
        <v>738</v>
      </c>
      <c r="C238" s="2" t="s">
        <v>739</v>
      </c>
      <c r="D238" s="2" t="s">
        <v>550</v>
      </c>
      <c r="E238" s="2" t="s">
        <v>14</v>
      </c>
      <c r="F238" s="2" t="s">
        <v>15</v>
      </c>
      <c r="G238" s="2" t="s">
        <v>740</v>
      </c>
      <c r="H238" s="2" t="s">
        <v>141</v>
      </c>
      <c r="I238" s="2" t="str">
        <f>IFERROR(__xludf.DUMMYFUNCTION("GOOGLETRANSLATE(C238,""fr"",""en"")"),"I never received any refund from them !!! I have changed recently but I never had a repayment not the least! I felt flying. yellowed in the world wanted to be reimbursed from my doctor whenever I went.")</f>
        <v>I never received any refund from them !!! I have changed recently but I never had a repayment not the least! I felt flying. yellowed in the world wanted to be reimbursed from my doctor whenever I went.</v>
      </c>
    </row>
    <row r="239" ht="15.75" customHeight="1">
      <c r="B239" s="2" t="s">
        <v>741</v>
      </c>
      <c r="C239" s="2" t="s">
        <v>742</v>
      </c>
      <c r="D239" s="2" t="s">
        <v>550</v>
      </c>
      <c r="E239" s="2" t="s">
        <v>14</v>
      </c>
      <c r="F239" s="2" t="s">
        <v>15</v>
      </c>
      <c r="G239" s="2" t="s">
        <v>743</v>
      </c>
      <c r="H239" s="2" t="s">
        <v>167</v>
      </c>
      <c r="I239" s="2" t="str">
        <f>IFERROR(__xludf.DUMMYFUNCTION("GOOGLETRANSLATE(C239,""fr"",""en"")"),"
Listening insurance, competent staff, good value for money. Would not change a thing. Good day to the whole AG Conseil team What I particularly appreciate at Ag Conseil, it is the active follow -up of my advisor for documents, the quick responses that s"&amp;"he gives me. I really feel followed and I know that a regular exchange is possible, which reassures me.")</f>
        <v>
Listening insurance, competent staff, good value for money. Would not change a thing. Good day to the whole AG Conseil team What I particularly appreciate at Ag Conseil, it is the active follow -up of my advisor for documents, the quick responses that she gives me. I really feel followed and I know that a regular exchange is possible, which reassures me.</v>
      </c>
    </row>
    <row r="240" ht="15.75" customHeight="1">
      <c r="B240" s="2" t="s">
        <v>744</v>
      </c>
      <c r="C240" s="2" t="s">
        <v>745</v>
      </c>
      <c r="D240" s="2" t="s">
        <v>550</v>
      </c>
      <c r="E240" s="2" t="s">
        <v>14</v>
      </c>
      <c r="F240" s="2" t="s">
        <v>15</v>
      </c>
      <c r="G240" s="2" t="s">
        <v>746</v>
      </c>
      <c r="H240" s="2" t="s">
        <v>167</v>
      </c>
      <c r="I240" s="2" t="str">
        <f>IFERROR(__xludf.DUMMYFUNCTION("GOOGLETRANSLATE(C240,""fr"",""en"")"),"I have subscribed to a Cegema health mutual contract for 2020 through a brokerage firm. At first, I had a doubt about the reliability of the broker and Cegema in view of the opinions of their members. To date, I am reassured because they have always respo"&amp;"nded to my requests, by phone and email, with professionalism. None of the health professionals (pharmacy, radiology, hospital) never posed a problem for me to accept the card of this mutual.
I was able to reach, on several occasions, the services of Ceg"&amp;"ema in Villeneuve les Louvet and I was, each time, very well received and informed.")</f>
        <v>I have subscribed to a Cegema health mutual contract for 2020 through a brokerage firm. At first, I had a doubt about the reliability of the broker and Cegema in view of the opinions of their members. To date, I am reassured because they have always responded to my requests, by phone and email, with professionalism. None of the health professionals (pharmacy, radiology, hospital) never posed a problem for me to accept the card of this mutual.
I was able to reach, on several occasions, the services of Cegema in Villeneuve les Louvet and I was, each time, very well received and informed.</v>
      </c>
    </row>
    <row r="241" ht="15.75" customHeight="1">
      <c r="B241" s="2" t="s">
        <v>747</v>
      </c>
      <c r="C241" s="2" t="s">
        <v>748</v>
      </c>
      <c r="D241" s="2" t="s">
        <v>550</v>
      </c>
      <c r="E241" s="2" t="s">
        <v>14</v>
      </c>
      <c r="F241" s="2" t="s">
        <v>15</v>
      </c>
      <c r="G241" s="2" t="s">
        <v>367</v>
      </c>
      <c r="H241" s="2" t="s">
        <v>174</v>
      </c>
      <c r="I241" s="2" t="str">
        <f>IFERROR(__xludf.DUMMYFUNCTION("GOOGLETRANSLATE(C241,""fr"",""en"")"),"A mutual that does not respond to its members, is not a good mutual. In addition, the reimbursements are really minimal, compared to the saying of the prospector who fooled us. To be fleece !!!!")</f>
        <v>A mutual that does not respond to its members, is not a good mutual. In addition, the reimbursements are really minimal, compared to the saying of the prospector who fooled us. To be fleece !!!!</v>
      </c>
    </row>
    <row r="242" ht="15.75" customHeight="1">
      <c r="B242" s="2" t="s">
        <v>749</v>
      </c>
      <c r="C242" s="2" t="s">
        <v>750</v>
      </c>
      <c r="D242" s="2" t="s">
        <v>550</v>
      </c>
      <c r="E242" s="2" t="s">
        <v>14</v>
      </c>
      <c r="F242" s="2" t="s">
        <v>15</v>
      </c>
      <c r="G242" s="2" t="s">
        <v>751</v>
      </c>
      <c r="H242" s="2" t="s">
        <v>203</v>
      </c>
      <c r="I242" s="2" t="str">
        <f>IFERROR(__xludf.DUMMYFUNCTION("GOOGLETRANSLATE(C242,""fr"",""en"")"),"Hello
I had written a comment at mid September 2019 because after 15 days of membership of problems were starting to arrive. All year 2019 there were concerns: very late repayments, requesting supporting documents several times in the same month, and, mo"&amp;"re serious non -payment to the pharmacist of prescribed medicines. No later than today I ask if the change of my glasses will be taken care of because my view has suddenly changed following a cataract. CEGEMA in the Optician's prescription and quote for 3"&amp;" weeks. I still don't know if I'm going to be taken care of. To flee as soon as possible. I sent a letter with AR to signify the termination of my contract. Then finish the additional insurance I will do without the services of these profiteers because th"&amp;"e mutuals as such no longer exist. As proof, it is only insurance groups that sell us contracts. Try to read the article in the magazine Better Living Your Money N ° 439 of December 2018. I make this article available to whoever wants.
Cordially.")</f>
        <v>Hello
I had written a comment at mid September 2019 because after 15 days of membership of problems were starting to arrive. All year 2019 there were concerns: very late repayments, requesting supporting documents several times in the same month, and, more serious non -payment to the pharmacist of prescribed medicines. No later than today I ask if the change of my glasses will be taken care of because my view has suddenly changed following a cataract. CEGEMA in the Optician's prescription and quote for 3 weeks. I still don't know if I'm going to be taken care of. To flee as soon as possible. I sent a letter with AR to signify the termination of my contract. Then finish the additional insurance I will do without the services of these profiteers because the mutuals as such no longer exist. As proof, it is only insurance groups that sell us contracts. Try to read the article in the magazine Better Living Your Money N ° 439 of December 2018. I make this article available to whoever wants.
Cordially.</v>
      </c>
    </row>
    <row r="243" ht="15.75" customHeight="1">
      <c r="B243" s="2" t="s">
        <v>752</v>
      </c>
      <c r="C243" s="2" t="s">
        <v>753</v>
      </c>
      <c r="D243" s="2" t="s">
        <v>550</v>
      </c>
      <c r="E243" s="2" t="s">
        <v>14</v>
      </c>
      <c r="F243" s="2" t="s">
        <v>15</v>
      </c>
      <c r="G243" s="2" t="s">
        <v>754</v>
      </c>
      <c r="H243" s="2" t="s">
        <v>210</v>
      </c>
      <c r="I243" s="2" t="str">
        <f>IFERROR(__xludf.DUMMYFUNCTION("GOOGLETRANSLATE(C243,""fr"",""en"")"),"Follow -up of files too long calà made a month that I await my glasses")</f>
        <v>Follow -up of files too long calà made a month that I await my glasses</v>
      </c>
    </row>
    <row r="244" ht="15.75" customHeight="1">
      <c r="B244" s="2" t="s">
        <v>755</v>
      </c>
      <c r="C244" s="2" t="s">
        <v>756</v>
      </c>
      <c r="D244" s="2" t="s">
        <v>550</v>
      </c>
      <c r="E244" s="2" t="s">
        <v>14</v>
      </c>
      <c r="F244" s="2" t="s">
        <v>15</v>
      </c>
      <c r="G244" s="2" t="s">
        <v>757</v>
      </c>
      <c r="H244" s="2" t="s">
        <v>210</v>
      </c>
      <c r="I244" s="2" t="str">
        <f>IFERROR(__xludf.DUMMYFUNCTION("GOOGLETRANSLATE(C244,""fr"",""en"")"),"New tech of mutuals Broken Reduers They do everything and forgue you of the SOIS DISANS DOLUSING but dement in the 10 sheets of the CONTROL CONTRACT that Perconne does not read and dear for reimbursements continuous deceptions")</f>
        <v>New tech of mutuals Broken Reduers They do everything and forgue you of the SOIS DISANS DOLUSING but dement in the 10 sheets of the CONTROL CONTRACT that Perconne does not read and dear for reimbursements continuous deceptions</v>
      </c>
    </row>
    <row r="245" ht="15.75" customHeight="1">
      <c r="B245" s="2" t="s">
        <v>758</v>
      </c>
      <c r="C245" s="2" t="s">
        <v>759</v>
      </c>
      <c r="D245" s="2" t="s">
        <v>550</v>
      </c>
      <c r="E245" s="2" t="s">
        <v>14</v>
      </c>
      <c r="F245" s="2" t="s">
        <v>15</v>
      </c>
      <c r="G245" s="2" t="s">
        <v>760</v>
      </c>
      <c r="H245" s="2" t="s">
        <v>214</v>
      </c>
      <c r="I245" s="2" t="str">
        <f>IFERROR(__xludf.DUMMYFUNCTION("GOOGLETRANSLATE(C245,""fr"",""en"")"),"Very satisfied with everyone especially on the customer follow -up I took a senior contract for my father 2 years ago")</f>
        <v>Very satisfied with everyone especially on the customer follow -up I took a senior contract for my father 2 years ago</v>
      </c>
    </row>
    <row r="246" ht="15.75" customHeight="1">
      <c r="B246" s="2" t="s">
        <v>761</v>
      </c>
      <c r="C246" s="2" t="s">
        <v>762</v>
      </c>
      <c r="D246" s="2" t="s">
        <v>550</v>
      </c>
      <c r="E246" s="2" t="s">
        <v>14</v>
      </c>
      <c r="F246" s="2" t="s">
        <v>15</v>
      </c>
      <c r="G246" s="2" t="s">
        <v>763</v>
      </c>
      <c r="H246" s="2" t="s">
        <v>380</v>
      </c>
      <c r="I246" s="2" t="str">
        <f>IFERROR(__xludf.DUMMYFUNCTION("GOOGLETRANSLATE(C246,""fr"",""en"")"),"Having broken my contract at the end of 2019, Cegema did not reimburse me for costs of 11/12/19, they no longer even respond to Tel and do not respond to a registered letter with AR, you must be swollen to deprive a retirement a refund of radio and ultras"&amp;"ound")</f>
        <v>Having broken my contract at the end of 2019, Cegema did not reimburse me for costs of 11/12/19, they no longer even respond to Tel and do not respond to a registered letter with AR, you must be swollen to deprive a retirement a refund of radio and ultrasound</v>
      </c>
    </row>
    <row r="247" ht="15.75" customHeight="1">
      <c r="B247" s="2" t="s">
        <v>764</v>
      </c>
      <c r="C247" s="2" t="s">
        <v>765</v>
      </c>
      <c r="D247" s="2" t="s">
        <v>550</v>
      </c>
      <c r="E247" s="2" t="s">
        <v>14</v>
      </c>
      <c r="F247" s="2" t="s">
        <v>15</v>
      </c>
      <c r="G247" s="2" t="s">
        <v>766</v>
      </c>
      <c r="H247" s="2" t="s">
        <v>384</v>
      </c>
      <c r="I247" s="2" t="str">
        <f>IFERROR(__xludf.DUMMYFUNCTION("GOOGLETRANSLATE(C247,""fr"",""en"")"),"My husband and I have just joined the Cegema by Providency firm and we are delighted. The reimbursements are fast, all our hospital costs are at real costs
It is a carefree health mutual
")</f>
        <v>My husband and I have just joined the Cegema by Providency firm and we are delighted. The reimbursements are fast, all our hospital costs are at real costs
It is a carefree health mutual
</v>
      </c>
    </row>
    <row r="248" ht="15.75" customHeight="1">
      <c r="B248" s="2" t="s">
        <v>767</v>
      </c>
      <c r="C248" s="2" t="s">
        <v>768</v>
      </c>
      <c r="D248" s="2" t="s">
        <v>550</v>
      </c>
      <c r="E248" s="2" t="s">
        <v>14</v>
      </c>
      <c r="F248" s="2" t="s">
        <v>15</v>
      </c>
      <c r="G248" s="2" t="s">
        <v>769</v>
      </c>
      <c r="H248" s="2" t="s">
        <v>384</v>
      </c>
      <c r="I248" s="2" t="str">
        <f>IFERROR(__xludf.DUMMYFUNCTION("GOOGLETRANSLATE(C248,""fr"",""en"")"),"Very satisfied I had Mr Daniel alias very professional he took all the time to explain things to me
Finally I found my happiness after years of research
I recommend")</f>
        <v>Very satisfied I had Mr Daniel alias very professional he took all the time to explain things to me
Finally I found my happiness after years of research
I recommend</v>
      </c>
    </row>
    <row r="249" ht="15.75" customHeight="1">
      <c r="B249" s="2" t="s">
        <v>770</v>
      </c>
      <c r="C249" s="2" t="s">
        <v>771</v>
      </c>
      <c r="D249" s="2" t="s">
        <v>550</v>
      </c>
      <c r="E249" s="2" t="s">
        <v>14</v>
      </c>
      <c r="F249" s="2" t="s">
        <v>15</v>
      </c>
      <c r="G249" s="2" t="s">
        <v>772</v>
      </c>
      <c r="H249" s="2" t="s">
        <v>384</v>
      </c>
      <c r="I249" s="2" t="str">
        <f>IFERROR(__xludf.DUMMYFUNCTION("GOOGLETRANSLATE(C249,""fr"",""en"")"),"I took a contract with Cegema through a Lyon cabinet, Providycy, and I will replay strongly. Advisor to Lecoute, guarantees very adapted to my situation, in addition they take into account my ALDs and each time I ask for an info I give it to me without wo"&amp;"rries")</f>
        <v>I took a contract with Cegema through a Lyon cabinet, Providycy, and I will replay strongly. Advisor to Lecoute, guarantees very adapted to my situation, in addition they take into account my ALDs and each time I ask for an info I give it to me without worries</v>
      </c>
    </row>
    <row r="250" ht="15.75" customHeight="1">
      <c r="B250" s="2" t="s">
        <v>773</v>
      </c>
      <c r="C250" s="2" t="s">
        <v>774</v>
      </c>
      <c r="D250" s="2" t="s">
        <v>550</v>
      </c>
      <c r="E250" s="2" t="s">
        <v>14</v>
      </c>
      <c r="F250" s="2" t="s">
        <v>15</v>
      </c>
      <c r="G250" s="2" t="s">
        <v>775</v>
      </c>
      <c r="H250" s="2" t="s">
        <v>222</v>
      </c>
      <c r="I250" s="2" t="str">
        <f>IFERROR(__xludf.DUMMYFUNCTION("GOOGLETRANSLATE(C250,""fr"",""en"")"),"Hello
Difficult to contact this service, no email address and absent phone. I don't think I will renew my contract. The more the comment is forced and does not accept short answers. When the person calls he does not present himself and the diction Regard"&amp;"ing the email address is inaudible.")</f>
        <v>Hello
Difficult to contact this service, no email address and absent phone. I don't think I will renew my contract. The more the comment is forced and does not accept short answers. When the person calls he does not present himself and the diction Regarding the email address is inaudible.</v>
      </c>
    </row>
    <row r="251" ht="15.75" customHeight="1">
      <c r="B251" s="2" t="s">
        <v>776</v>
      </c>
      <c r="C251" s="2" t="s">
        <v>777</v>
      </c>
      <c r="D251" s="2" t="s">
        <v>550</v>
      </c>
      <c r="E251" s="2" t="s">
        <v>14</v>
      </c>
      <c r="F251" s="2" t="s">
        <v>15</v>
      </c>
      <c r="G251" s="2" t="s">
        <v>778</v>
      </c>
      <c r="H251" s="2" t="s">
        <v>222</v>
      </c>
      <c r="I251" s="2" t="str">
        <f>IFERROR(__xludf.DUMMYFUNCTION("GOOGLETRANSLATE(C251,""fr"",""en"")"),"Cegema offers its contracts through a broker my easy health to castelnau la lez which claims to be subsidiary of Swisslife and whose business practices are not correct
While I came for information
 The employee took a well -established argument for me a"&amp;"nd offered to take care of the termination of my current contract
Using an equivocal expression she made me sign a document without my knowing that I had just started for a year
I end up with a PS2 warranty with hospital reinforcement")</f>
        <v>Cegema offers its contracts through a broker my easy health to castelnau la lez which claims to be subsidiary of Swisslife and whose business practices are not correct
While I came for information
 The employee took a well -established argument for me and offered to take care of the termination of my current contract
Using an equivocal expression she made me sign a document without my knowing that I had just started for a year
I end up with a PS2 warranty with hospital reinforcement</v>
      </c>
    </row>
    <row r="252" ht="15.75" customHeight="1">
      <c r="B252" s="2" t="s">
        <v>779</v>
      </c>
      <c r="C252" s="2" t="s">
        <v>780</v>
      </c>
      <c r="D252" s="2" t="s">
        <v>550</v>
      </c>
      <c r="E252" s="2" t="s">
        <v>14</v>
      </c>
      <c r="F252" s="2" t="s">
        <v>15</v>
      </c>
      <c r="G252" s="2" t="s">
        <v>781</v>
      </c>
      <c r="H252" s="2" t="s">
        <v>423</v>
      </c>
      <c r="I252" s="2" t="str">
        <f>IFERROR(__xludf.DUMMYFUNCTION("GOOGLETRANSLATE(C252,""fr"",""en"")"),"Impressive to make me rber the advances of costs made to hospitals due to absence of link with the personal CEGEMA accomplice of employers and their orders so as not to pay x reminders 0 RBT")</f>
        <v>Impressive to make me rber the advances of costs made to hospitals due to absence of link with the personal CEGEMA accomplice of employers and their orders so as not to pay x reminders 0 RBT</v>
      </c>
    </row>
    <row r="253" ht="15.75" customHeight="1">
      <c r="B253" s="2" t="s">
        <v>782</v>
      </c>
      <c r="C253" s="2" t="s">
        <v>783</v>
      </c>
      <c r="D253" s="2" t="s">
        <v>550</v>
      </c>
      <c r="E253" s="2" t="s">
        <v>14</v>
      </c>
      <c r="F253" s="2" t="s">
        <v>15</v>
      </c>
      <c r="G253" s="2" t="s">
        <v>784</v>
      </c>
      <c r="H253" s="2" t="s">
        <v>446</v>
      </c>
      <c r="I253" s="2" t="str">
        <f>IFERROR(__xludf.DUMMYFUNCTION("GOOGLETRANSLATE(C253,""fr"",""en"")"),"Having refused their offer they took advantage of the electronic signature of the quote to get the contract accepted, and this despite the two ARs sent before the deadline for 14 days of detraction, well he draws on the bank account, but everything return"&amp;"ed to order with the AR references.")</f>
        <v>Having refused their offer they took advantage of the electronic signature of the quote to get the contract accepted, and this despite the two ARs sent before the deadline for 14 days of detraction, well he draws on the bank account, but everything returned to order with the AR references.</v>
      </c>
    </row>
    <row r="254" ht="15.75" customHeight="1">
      <c r="B254" s="2" t="s">
        <v>785</v>
      </c>
      <c r="C254" s="2" t="s">
        <v>786</v>
      </c>
      <c r="D254" s="2" t="s">
        <v>550</v>
      </c>
      <c r="E254" s="2" t="s">
        <v>14</v>
      </c>
      <c r="F254" s="2" t="s">
        <v>15</v>
      </c>
      <c r="G254" s="2" t="s">
        <v>787</v>
      </c>
      <c r="H254" s="2" t="s">
        <v>446</v>
      </c>
      <c r="I254" s="2" t="str">
        <f>IFERROR(__xludf.DUMMYFUNCTION("GOOGLETRANSLATE(C254,""fr"",""en"")"),"To avoid absolutely. We do not send you ATP, you are not warned of the monthly scandalous increase. Shapes.")</f>
        <v>To avoid absolutely. We do not send you ATP, you are not warned of the monthly scandalous increase. Shapes.</v>
      </c>
    </row>
    <row r="255" ht="15.75" customHeight="1">
      <c r="B255" s="2" t="s">
        <v>788</v>
      </c>
      <c r="C255" s="2" t="s">
        <v>789</v>
      </c>
      <c r="D255" s="2" t="s">
        <v>550</v>
      </c>
      <c r="E255" s="2" t="s">
        <v>14</v>
      </c>
      <c r="F255" s="2" t="s">
        <v>15</v>
      </c>
      <c r="G255" s="2" t="s">
        <v>790</v>
      </c>
      <c r="H255" s="2" t="s">
        <v>453</v>
      </c>
      <c r="I255" s="2" t="str">
        <f>IFERROR(__xludf.DUMMYFUNCTION("GOOGLETRANSLATE(C255,""fr"",""en"")")," Resiliation in time .... letter sent and termination carried out by another organization.
They refused the termination and lied to all the points
I received an order for paying the whole year with costs via intrum .... insurance that swindles the small"&amp;" retirement ........... while I have been customer for 9 years via a contract of group")</f>
        <v> Resiliation in time .... letter sent and termination carried out by another organization.
They refused the termination and lied to all the points
I received an order for paying the whole year with costs via intrum .... insurance that swindles the small retirement ........... while I have been customer for 9 years via a contract of group</v>
      </c>
    </row>
    <row r="256" ht="15.75" customHeight="1">
      <c r="B256" s="2" t="s">
        <v>791</v>
      </c>
      <c r="C256" s="2" t="s">
        <v>792</v>
      </c>
      <c r="D256" s="2" t="s">
        <v>550</v>
      </c>
      <c r="E256" s="2" t="s">
        <v>14</v>
      </c>
      <c r="F256" s="2" t="s">
        <v>15</v>
      </c>
      <c r="G256" s="2" t="s">
        <v>793</v>
      </c>
      <c r="H256" s="2" t="s">
        <v>252</v>
      </c>
      <c r="I256" s="2" t="str">
        <f>IFERROR(__xludf.DUMMYFUNCTION("GOOGLETRANSLATE(C256,""fr"",""en"")"),"I wish to share with you my positive opinion for this mutual that I find badly noted. I am completely satisfied with the choice we made for me
The advisor did his job well by finding me this pearl.")</f>
        <v>I wish to share with you my positive opinion for this mutual that I find badly noted. I am completely satisfied with the choice we made for me
The advisor did his job well by finding me this pearl.</v>
      </c>
    </row>
    <row r="257" ht="15.75" customHeight="1">
      <c r="B257" s="2" t="s">
        <v>794</v>
      </c>
      <c r="C257" s="2" t="s">
        <v>795</v>
      </c>
      <c r="D257" s="2" t="s">
        <v>550</v>
      </c>
      <c r="E257" s="2" t="s">
        <v>14</v>
      </c>
      <c r="F257" s="2" t="s">
        <v>15</v>
      </c>
      <c r="G257" s="2" t="s">
        <v>796</v>
      </c>
      <c r="H257" s="2" t="s">
        <v>277</v>
      </c>
      <c r="I257" s="2" t="str">
        <f>IFERROR(__xludf.DUMMYFUNCTION("GOOGLETRANSLATE(C257,""fr"",""en"")"),"Mutual health to flee. Very expensive contributions for little reimbursement. Always small hidden clauses in particular for annual packages.")</f>
        <v>Mutual health to flee. Very expensive contributions for little reimbursement. Always small hidden clauses in particular for annual packages.</v>
      </c>
    </row>
    <row r="258" ht="15.75" customHeight="1">
      <c r="B258" s="2" t="s">
        <v>797</v>
      </c>
      <c r="C258" s="2" t="s">
        <v>798</v>
      </c>
      <c r="D258" s="2" t="s">
        <v>550</v>
      </c>
      <c r="E258" s="2" t="s">
        <v>14</v>
      </c>
      <c r="F258" s="2" t="s">
        <v>15</v>
      </c>
      <c r="G258" s="2" t="s">
        <v>799</v>
      </c>
      <c r="H258" s="2" t="s">
        <v>284</v>
      </c>
      <c r="I258" s="2" t="str">
        <f>IFERROR(__xludf.DUMMYFUNCTION("GOOGLETRANSLATE(C258,""fr"",""en"")"),"After using a comparator we were contacted by an insurance broker. A careful examination of guarantees and services led us to take a health insurance contract. After a slightly chaotic start on the part of the broker but after a period of ""running"" ever"&amp;"ything is put in place and works satisfactorily.")</f>
        <v>After using a comparator we were contacted by an insurance broker. A careful examination of guarantees and services led us to take a health insurance contract. After a slightly chaotic start on the part of the broker but after a period of "running" everything is put in place and works satisfactorily.</v>
      </c>
    </row>
    <row r="259" ht="15.75" customHeight="1">
      <c r="B259" s="2" t="s">
        <v>800</v>
      </c>
      <c r="C259" s="2" t="s">
        <v>801</v>
      </c>
      <c r="D259" s="2" t="s">
        <v>550</v>
      </c>
      <c r="E259" s="2" t="s">
        <v>14</v>
      </c>
      <c r="F259" s="2" t="s">
        <v>15</v>
      </c>
      <c r="G259" s="2" t="s">
        <v>802</v>
      </c>
      <c r="H259" s="2" t="s">
        <v>803</v>
      </c>
      <c r="I259" s="2" t="str">
        <f>IFERROR(__xludf.DUMMYFUNCTION("GOOGLETRANSLATE(C259,""fr"",""en"")"),"If Cegema is not the cheapest, it is still a good mutual with which I have never had any reimbursement problems. The documents sent are clear and their site allows you to check the refunds. I can not complain. The questions sent by emails always call for "&amp;"a quick answer on their part. To be compared with other mutuals they are not the worst.")</f>
        <v>If Cegema is not the cheapest, it is still a good mutual with which I have never had any reimbursement problems. The documents sent are clear and their site allows you to check the refunds. I can not complain. The questions sent by emails always call for a quick answer on their part. To be compared with other mutuals they are not the worst.</v>
      </c>
    </row>
    <row r="260" ht="15.75" customHeight="1">
      <c r="B260" s="2" t="s">
        <v>804</v>
      </c>
      <c r="C260" s="2" t="s">
        <v>805</v>
      </c>
      <c r="D260" s="2" t="s">
        <v>550</v>
      </c>
      <c r="E260" s="2" t="s">
        <v>14</v>
      </c>
      <c r="F260" s="2" t="s">
        <v>15</v>
      </c>
      <c r="G260" s="2" t="s">
        <v>806</v>
      </c>
      <c r="H260" s="2" t="s">
        <v>807</v>
      </c>
      <c r="I260" s="2" t="str">
        <f>IFERROR(__xludf.DUMMYFUNCTION("GOOGLETRANSLATE(C260,""fr"",""en"")"),"For the late 6 days of a recommended to terminate a contract, CEGEMA refuses my termination and forces me to stay at home for another year. With a period of two months to respond to a complaint made by e-mail, CEGEMA makes the customer languish. I think t"&amp;"hey will wait until January 2018 to respond because it will be the anniversary of the contract and I could therefore not reverse for the termination which is already requested.")</f>
        <v>For the late 6 days of a recommended to terminate a contract, CEGEMA refuses my termination and forces me to stay at home for another year. With a period of two months to respond to a complaint made by e-mail, CEGEMA makes the customer languish. I think they will wait until January 2018 to respond because it will be the anniversary of the contract and I could therefore not reverse for the termination which is already requested.</v>
      </c>
    </row>
    <row r="261" ht="15.75" customHeight="1">
      <c r="B261" s="2" t="s">
        <v>808</v>
      </c>
      <c r="C261" s="2" t="s">
        <v>809</v>
      </c>
      <c r="D261" s="2" t="s">
        <v>550</v>
      </c>
      <c r="E261" s="2" t="s">
        <v>14</v>
      </c>
      <c r="F261" s="2" t="s">
        <v>15</v>
      </c>
      <c r="G261" s="2" t="s">
        <v>810</v>
      </c>
      <c r="H261" s="2" t="s">
        <v>499</v>
      </c>
      <c r="I261" s="2" t="str">
        <f>IFERROR(__xludf.DUMMYFUNCTION("GOOGLETRANSLATE(C261,""fr"",""en"")"),"I take this health mutual specially to be able to reimburse the costs of a spa treatment. The table of guarantees chosen said: Reimbursement of the cure at 125% + 100 € package. In all mutuals the package concerns transport and accommodation costs .... ex"&amp;"cept for CEGEMA which at the time of reimbursement of my transport costs (tolls + fuel) refuses to pay on the grounds that it is not accommodation costs (restriction they forgot to note guarantees in their information brochure).
I would add that I had to"&amp;" fight to get my third party paid 2017 card that I finally received in February (to compensate they sent it to me three times in a row ....)")</f>
        <v>I take this health mutual specially to be able to reimburse the costs of a spa treatment. The table of guarantees chosen said: Reimbursement of the cure at 125% + 100 € package. In all mutuals the package concerns transport and accommodation costs .... except for CEGEMA which at the time of reimbursement of my transport costs (tolls + fuel) refuses to pay on the grounds that it is not accommodation costs (restriction they forgot to note guarantees in their information brochure).
I would add that I had to fight to get my third party paid 2017 card that I finally received in February (to compensate they sent it to me three times in a row ....)</v>
      </c>
    </row>
    <row r="262" ht="15.75" customHeight="1">
      <c r="B262" s="2" t="s">
        <v>811</v>
      </c>
      <c r="C262" s="2" t="s">
        <v>812</v>
      </c>
      <c r="D262" s="2" t="s">
        <v>550</v>
      </c>
      <c r="E262" s="2" t="s">
        <v>14</v>
      </c>
      <c r="F262" s="2" t="s">
        <v>15</v>
      </c>
      <c r="G262" s="2" t="s">
        <v>525</v>
      </c>
      <c r="H262" s="2" t="s">
        <v>526</v>
      </c>
      <c r="I262" s="2" t="str">
        <f>IFERROR(__xludf.DUMMYFUNCTION("GOOGLETRANSLATE(C262,""fr"",""en"")"),"To flee .... We highlight the proximity ... We insist by putting his name his address except that the person is no longer in society. In addition I did not receive the documents within 15 days which forbids me not to follow up on my refusal to subscribe t"&amp;"o them. They are very bad times one said white the other says black and it is not me it is the other do not subscribe to masantefacile everything is lie ... and not listening at all. And liar ... everything is said I do not want the contract to effect of "&amp;"1/4/2017")</f>
        <v>To flee .... We highlight the proximity ... We insist by putting his name his address except that the person is no longer in society. In addition I did not receive the documents within 15 days which forbids me not to follow up on my refusal to subscribe to them. They are very bad times one said white the other says black and it is not me it is the other do not subscribe to masantefacile everything is lie ... and not listening at all. And liar ... everything is said I do not want the contract to effect of 1/4/2017</v>
      </c>
    </row>
    <row r="263" ht="15.75" customHeight="1">
      <c r="B263" s="2" t="s">
        <v>813</v>
      </c>
      <c r="C263" s="2" t="s">
        <v>814</v>
      </c>
      <c r="D263" s="2" t="s">
        <v>550</v>
      </c>
      <c r="E263" s="2" t="s">
        <v>14</v>
      </c>
      <c r="F263" s="2" t="s">
        <v>15</v>
      </c>
      <c r="G263" s="2" t="s">
        <v>815</v>
      </c>
      <c r="H263" s="2" t="s">
        <v>816</v>
      </c>
      <c r="I263" s="2" t="str">
        <f>IFERROR(__xludf.DUMMYFUNCTION("GOOGLETRANSLATE(C263,""fr"",""en"")"),"Please note they use a device to exempt from the Chatel law. They are of a particular bad faith. Before entering it, look at what may happen to you if one day you wanted to leave them.")</f>
        <v>Please note they use a device to exempt from the Chatel law. They are of a particular bad faith. Before entering it, look at what may happen to you if one day you wanted to leave them.</v>
      </c>
    </row>
    <row r="264" ht="15.75" customHeight="1">
      <c r="B264" s="2" t="s">
        <v>817</v>
      </c>
      <c r="C264" s="2" t="s">
        <v>818</v>
      </c>
      <c r="D264" s="2" t="s">
        <v>550</v>
      </c>
      <c r="E264" s="2" t="s">
        <v>14</v>
      </c>
      <c r="F264" s="2" t="s">
        <v>15</v>
      </c>
      <c r="G264" s="2" t="s">
        <v>819</v>
      </c>
      <c r="H264" s="2" t="s">
        <v>17</v>
      </c>
      <c r="I264" s="2" t="str">
        <f>IFERROR(__xludf.DUMMYFUNCTION("GOOGLETRANSLATE(C264,""fr"",""en"")"),"Hello, we are insurance broker in Nice and we offer our customers to be able to compare several mutuals live
Strong reimbursements on optical, dental, specialist and hospitalization positions.
Health care can be done in France or Monaco.
Request your"&amp;" free quote on our site http://mutuelle-sante-monaco.com
You can reach us by phone or directly at our agency in Nice.")</f>
        <v>Hello, we are insurance broker in Nice and we offer our customers to be able to compare several mutuals live
Strong reimbursements on optical, dental, specialist and hospitalization positions.
Health care can be done in France or Monaco.
Request your free quote on our site http://mutuelle-sante-monaco.com
You can reach us by phone or directly at our agency in Nice.</v>
      </c>
    </row>
    <row r="265" ht="15.75" customHeight="1">
      <c r="B265" s="2" t="s">
        <v>820</v>
      </c>
      <c r="C265" s="2" t="s">
        <v>821</v>
      </c>
      <c r="D265" s="2" t="s">
        <v>550</v>
      </c>
      <c r="E265" s="2" t="s">
        <v>14</v>
      </c>
      <c r="F265" s="2" t="s">
        <v>15</v>
      </c>
      <c r="G265" s="2" t="s">
        <v>822</v>
      </c>
      <c r="H265" s="2" t="s">
        <v>544</v>
      </c>
      <c r="I265" s="2" t="str">
        <f>IFERROR(__xludf.DUMMYFUNCTION("GOOGLETRANSLATE(C265,""fr"",""en"")"),"Prices for exorbitant widowing seniors for very low reimbursements")</f>
        <v>Prices for exorbitant widowing seniors for very low reimbursements</v>
      </c>
    </row>
    <row r="266" ht="15.75" customHeight="1">
      <c r="B266" s="2" t="s">
        <v>823</v>
      </c>
      <c r="C266" s="2" t="s">
        <v>824</v>
      </c>
      <c r="D266" s="2" t="s">
        <v>825</v>
      </c>
      <c r="E266" s="2" t="s">
        <v>14</v>
      </c>
      <c r="F266" s="2" t="s">
        <v>15</v>
      </c>
      <c r="G266" s="2" t="s">
        <v>826</v>
      </c>
      <c r="H266" s="2" t="s">
        <v>29</v>
      </c>
      <c r="I266" s="2" t="str">
        <f>IFERROR(__xludf.DUMMYFUNCTION("GOOGLETRANSLATE(C266,""fr"",""en"")"),"This practically compulsory business insurance is very expensive in relation to what it reimburses, it is a huge bureaucratic machine not so mutualist.")</f>
        <v>This practically compulsory business insurance is very expensive in relation to what it reimburses, it is a huge bureaucratic machine not so mutualist.</v>
      </c>
    </row>
    <row r="267" ht="15.75" customHeight="1">
      <c r="B267" s="2" t="s">
        <v>827</v>
      </c>
      <c r="C267" s="2" t="s">
        <v>828</v>
      </c>
      <c r="D267" s="2" t="s">
        <v>825</v>
      </c>
      <c r="E267" s="2" t="s">
        <v>14</v>
      </c>
      <c r="F267" s="2" t="s">
        <v>15</v>
      </c>
      <c r="G267" s="2" t="s">
        <v>829</v>
      </c>
      <c r="H267" s="2" t="s">
        <v>39</v>
      </c>
      <c r="I267" s="2" t="str">
        <f>IFERROR(__xludf.DUMMYFUNCTION("GOOGLETRANSLATE(C267,""fr"",""en"")"),"Hello, MGEN member since 1975, I have just left it since September 1.
Here are the reasons:
- Dear contribution for the reimbursements offered: € 123.40.
- Call platform from which need to rephrase your problem ...
- Pub it costs expensive….
- Contri"&amp;"bution of the non -teacher spouse attached to teaching cheaper than two married teachers ... ..
- The new mutual: € 76.50
Including orange stickers, exceeding 250%fees,
Better reimbursement of glasses,
Ditto for dental implants.
Individual room for 3"&amp;"5 € MGEN for 55 € for the news.")</f>
        <v>Hello, MGEN member since 1975, I have just left it since September 1.
Here are the reasons:
- Dear contribution for the reimbursements offered: € 123.40.
- Call platform from which need to rephrase your problem ...
- Pub it costs expensive….
- Contribution of the non -teacher spouse attached to teaching cheaper than two married teachers ... ..
- The new mutual: € 76.50
Including orange stickers, exceeding 250%fees,
Better reimbursement of glasses,
Ditto for dental implants.
Individual room for 35 € MGEN for 55 € for the news.</v>
      </c>
    </row>
    <row r="268" ht="15.75" customHeight="1">
      <c r="B268" s="2" t="s">
        <v>830</v>
      </c>
      <c r="C268" s="2" t="s">
        <v>831</v>
      </c>
      <c r="D268" s="2" t="s">
        <v>825</v>
      </c>
      <c r="E268" s="2" t="s">
        <v>14</v>
      </c>
      <c r="F268" s="2" t="s">
        <v>15</v>
      </c>
      <c r="G268" s="2" t="s">
        <v>832</v>
      </c>
      <c r="H268" s="2" t="s">
        <v>301</v>
      </c>
      <c r="I268" s="2" t="str">
        <f>IFERROR(__xludf.DUMMYFUNCTION("GOOGLETRANSLATE(C268,""fr"",""en"")"),"Insurance far too expensive and that it is never easy to contact. A website that leaves little room for spontaneous questions. Supervision of too rigid questions. Not adapted to specific situations.")</f>
        <v>Insurance far too expensive and that it is never easy to contact. A website that leaves little room for spontaneous questions. Supervision of too rigid questions. Not adapted to specific situations.</v>
      </c>
    </row>
    <row r="269" ht="15.75" customHeight="1">
      <c r="B269" s="2" t="s">
        <v>833</v>
      </c>
      <c r="C269" s="2" t="s">
        <v>834</v>
      </c>
      <c r="D269" s="2" t="s">
        <v>825</v>
      </c>
      <c r="E269" s="2" t="s">
        <v>14</v>
      </c>
      <c r="F269" s="2" t="s">
        <v>15</v>
      </c>
      <c r="G269" s="2" t="s">
        <v>835</v>
      </c>
      <c r="H269" s="2" t="s">
        <v>301</v>
      </c>
      <c r="I269" s="2" t="str">
        <f>IFERROR(__xludf.DUMMYFUNCTION("GOOGLETRANSLATE(C269,""fr"",""en"")"),"I strongly recommend going through the MGEN for a deposit or for borrower insurance. It's been 4 months since we signed with them and the file has still not succeeded. Advisers who answer the phone are most often unable to tell us where the file is. Nobod"&amp;"y never contacts us, it is to each of our calls that we are told a new document to provide, such paper to ask for such a place ... etc that never ends. Latest nugget: we were asked to completely redo the file from A to Z ... did he lose? We leave from scr"&amp;"atch after months of lost, still no house construction ... The Mgen is to flee absolutely!")</f>
        <v>I strongly recommend going through the MGEN for a deposit or for borrower insurance. It's been 4 months since we signed with them and the file has still not succeeded. Advisers who answer the phone are most often unable to tell us where the file is. Nobody never contacts us, it is to each of our calls that we are told a new document to provide, such paper to ask for such a place ... etc that never ends. Latest nugget: we were asked to completely redo the file from A to Z ... did he lose? We leave from scratch after months of lost, still no house construction ... The Mgen is to flee absolutely!</v>
      </c>
    </row>
    <row r="270" ht="15.75" customHeight="1">
      <c r="B270" s="2" t="s">
        <v>836</v>
      </c>
      <c r="C270" s="2" t="s">
        <v>837</v>
      </c>
      <c r="D270" s="2" t="s">
        <v>825</v>
      </c>
      <c r="E270" s="2" t="s">
        <v>14</v>
      </c>
      <c r="F270" s="2" t="s">
        <v>15</v>
      </c>
      <c r="G270" s="2" t="s">
        <v>838</v>
      </c>
      <c r="H270" s="2" t="s">
        <v>56</v>
      </c>
      <c r="I270" s="2" t="str">
        <f>IFERROR(__xludf.DUMMYFUNCTION("GOOGLETRANSLATE(C270,""fr"",""en"")"),"Caution costly mutual with deplorable administrative management (X interlocutors). I needed the assistance service following surgery to transport my children to the School. Although having anticipated my request, it was a real novel. Alternating overwhelm"&amp;"ed advisers who refer responsibility, dozens of minutes of waiting every time to hear me in the end ""you are entitled but we have no providers"" !! ?? ""Look for yourself Madame"", ""Already made sir but I found no one"" (I specify again that I leave an "&amp;"operation) .... ""I am sorry madam. In short, unacceptable. Unacceptable ... J AI contacted the school insurance of my children: in less than an hour, all transport was regulated until the end of the school year. Everything is said. I am looking for anoth"&amp;"er provident and I re -use MGEN contracts.")</f>
        <v>Caution costly mutual with deplorable administrative management (X interlocutors). I needed the assistance service following surgery to transport my children to the School. Although having anticipated my request, it was a real novel. Alternating overwhelmed advisers who refer responsibility, dozens of minutes of waiting every time to hear me in the end "you are entitled but we have no providers" !! ?? "Look for yourself Madame", "Already made sir but I found no one" (I specify again that I leave an operation) .... "I am sorry madam. In short, unacceptable. Unacceptable ... J AI contacted the school insurance of my children: in less than an hour, all transport was regulated until the end of the school year. Everything is said. I am looking for another provident and I re -use MGEN contracts.</v>
      </c>
    </row>
    <row r="271" ht="15.75" customHeight="1">
      <c r="B271" s="2" t="s">
        <v>839</v>
      </c>
      <c r="C271" s="2" t="s">
        <v>840</v>
      </c>
      <c r="D271" s="2" t="s">
        <v>825</v>
      </c>
      <c r="E271" s="2" t="s">
        <v>14</v>
      </c>
      <c r="F271" s="2" t="s">
        <v>15</v>
      </c>
      <c r="G271" s="2" t="s">
        <v>604</v>
      </c>
      <c r="H271" s="2" t="s">
        <v>56</v>
      </c>
      <c r="I271" s="2" t="str">
        <f>IFERROR(__xludf.DUMMYFUNCTION("GOOGLETRANSLATE(C271,""fr"",""en"")"),"Mgen and mutual insurance not very expensive but very uninteresting
COVVID VACCINATION: No way to obtain the QR code
No phone response
Message saying to address Amélie but I am not on Amélie since I am at MGEN !!!
So no possibility of obtaining the qr"&amp;"code!
Amazing!")</f>
        <v>Mgen and mutual insurance not very expensive but very uninteresting
COVVID VACCINATION: No way to obtain the QR code
No phone response
Message saying to address Amélie but I am not on Amélie since I am at MGEN !!!
So no possibility of obtaining the qrcode!
Amazing!</v>
      </c>
    </row>
    <row r="272" ht="15.75" customHeight="1">
      <c r="B272" s="2" t="s">
        <v>841</v>
      </c>
      <c r="C272" s="2" t="s">
        <v>842</v>
      </c>
      <c r="D272" s="2" t="s">
        <v>825</v>
      </c>
      <c r="E272" s="2" t="s">
        <v>14</v>
      </c>
      <c r="F272" s="2" t="s">
        <v>15</v>
      </c>
      <c r="G272" s="2" t="s">
        <v>68</v>
      </c>
      <c r="H272" s="2" t="s">
        <v>69</v>
      </c>
      <c r="I272" s="2" t="str">
        <f>IFERROR(__xludf.DUMMYFUNCTION("GOOGLETRANSLATE(C272,""fr"",""en"")"),"Horribly expensive ...... surely the most expensive on the market for services that are not superior., .... Note however a very good responsiveness")</f>
        <v>Horribly expensive ...... surely the most expensive on the market for services that are not superior., .... Note however a very good responsiveness</v>
      </c>
    </row>
    <row r="273" ht="15.75" customHeight="1">
      <c r="B273" s="2" t="s">
        <v>843</v>
      </c>
      <c r="C273" s="2" t="s">
        <v>844</v>
      </c>
      <c r="D273" s="2" t="s">
        <v>825</v>
      </c>
      <c r="E273" s="2" t="s">
        <v>14</v>
      </c>
      <c r="F273" s="2" t="s">
        <v>15</v>
      </c>
      <c r="G273" s="2" t="s">
        <v>625</v>
      </c>
      <c r="H273" s="2" t="s">
        <v>69</v>
      </c>
      <c r="I273" s="2" t="str">
        <f>IFERROR(__xludf.DUMMYFUNCTION("GOOGLETRANSLATE(C273,""fr"",""en"")"),"Same for notation! If I had been able to put zero that's what I would have done! File never up to date, ask the same things several times, always unavailable whether by such or to have an appointment it is misery, I feel a milk cow, just good to pay. Not "&amp;"to mention that the care becomes ridiculous. But where did the MGEN go from my beginnings ???")</f>
        <v>Same for notation! If I had been able to put zero that's what I would have done! File never up to date, ask the same things several times, always unavailable whether by such or to have an appointment it is misery, I feel a milk cow, just good to pay. Not to mention that the care becomes ridiculous. But where did the MGEN go from my beginnings ???</v>
      </c>
    </row>
    <row r="274" ht="15.75" customHeight="1">
      <c r="B274" s="2" t="s">
        <v>845</v>
      </c>
      <c r="C274" s="2" t="s">
        <v>846</v>
      </c>
      <c r="D274" s="2" t="s">
        <v>825</v>
      </c>
      <c r="E274" s="2" t="s">
        <v>14</v>
      </c>
      <c r="F274" s="2" t="s">
        <v>15</v>
      </c>
      <c r="G274" s="2" t="s">
        <v>847</v>
      </c>
      <c r="H274" s="2" t="s">
        <v>79</v>
      </c>
      <c r="I274" s="2" t="str">
        <f>IFERROR(__xludf.DUMMYFUNCTION("GOOGLETRANSLATE(C274,""fr"",""en"")"),"For 2 months I have been waiting for the fairly substantial reimbursement of dental care. Whenever I call I am told that the MGEN has lagged behind in the management of files and I am reassured by telling me that the management service is relaunched. I en"&amp;"d up despairing .... I cannot change my mutual because it is the business mutual.")</f>
        <v>For 2 months I have been waiting for the fairly substantial reimbursement of dental care. Whenever I call I am told that the MGEN has lagged behind in the management of files and I am reassured by telling me that the management service is relaunched. I end up despairing .... I cannot change my mutual because it is the business mutual.</v>
      </c>
    </row>
    <row r="275" ht="15.75" customHeight="1">
      <c r="B275" s="2" t="s">
        <v>848</v>
      </c>
      <c r="C275" s="2" t="s">
        <v>849</v>
      </c>
      <c r="D275" s="2" t="s">
        <v>825</v>
      </c>
      <c r="E275" s="2" t="s">
        <v>14</v>
      </c>
      <c r="F275" s="2" t="s">
        <v>15</v>
      </c>
      <c r="G275" s="2" t="s">
        <v>95</v>
      </c>
      <c r="H275" s="2" t="s">
        <v>92</v>
      </c>
      <c r="I275" s="2" t="str">
        <f>IFERROR(__xludf.DUMMYFUNCTION("GOOGLETRANSLATE(C275,""fr"",""en"")"),"I read the opinions and I agree: Dear mutual, chaotic reimbursements (I abandoned the idea of ​​understanding certain reimbursements, and even they do not know ...), sometimes very average reception, ineffective platform. ..
And the very unpleasant impre"&amp;"ssion for some time that we try to sell me something ....
All this with a magazine and brochures in Gogo. The magazine is also to die of laughter, so they have swollen ankles !!!
And finally, if there are many women in agencies, I never see it on 'event"&amp;"s' (with cocktail, I have no doubt) published in magazines, where managers appear.")</f>
        <v>I read the opinions and I agree: Dear mutual, chaotic reimbursements (I abandoned the idea of ​​understanding certain reimbursements, and even they do not know ...), sometimes very average reception, ineffective platform. ..
And the very unpleasant impression for some time that we try to sell me something ....
All this with a magazine and brochures in Gogo. The magazine is also to die of laughter, so they have swollen ankles !!!
And finally, if there are many women in agencies, I never see it on 'events' (with cocktail, I have no doubt) published in magazines, where managers appear.</v>
      </c>
    </row>
    <row r="276" ht="15.75" customHeight="1">
      <c r="B276" s="2" t="s">
        <v>850</v>
      </c>
      <c r="C276" s="2" t="s">
        <v>851</v>
      </c>
      <c r="D276" s="2" t="s">
        <v>825</v>
      </c>
      <c r="E276" s="2" t="s">
        <v>14</v>
      </c>
      <c r="F276" s="2" t="s">
        <v>15</v>
      </c>
      <c r="G276" s="2" t="s">
        <v>95</v>
      </c>
      <c r="H276" s="2" t="s">
        <v>92</v>
      </c>
      <c r="I276" s="2" t="str">
        <f>IFERROR(__xludf.DUMMYFUNCTION("GOOGLETRANSLATE(C276,""fr"",""en"")"),"If you are not in a hurry for your reimbursements go there.
Cala is 4 months since I expect hospitalization repaids as well as the birth premium. I call them twice a week but nothing helps despite the many complaints I have made. They only reimburse smal"&amp;"l sums.
Contribution level they are never late, reimbursement level is something else.
To flee !!!")</f>
        <v>If you are not in a hurry for your reimbursements go there.
Cala is 4 months since I expect hospitalization repaids as well as the birth premium. I call them twice a week but nothing helps despite the many complaints I have made. They only reimburse small sums.
Contribution level they are never late, reimbursement level is something else.
To flee !!!</v>
      </c>
    </row>
    <row r="277" ht="15.75" customHeight="1">
      <c r="B277" s="2" t="s">
        <v>852</v>
      </c>
      <c r="C277" s="2" t="s">
        <v>853</v>
      </c>
      <c r="D277" s="2" t="s">
        <v>825</v>
      </c>
      <c r="E277" s="2" t="s">
        <v>14</v>
      </c>
      <c r="F277" s="2" t="s">
        <v>15</v>
      </c>
      <c r="G277" s="2" t="s">
        <v>681</v>
      </c>
      <c r="H277" s="2" t="s">
        <v>92</v>
      </c>
      <c r="I277" s="2" t="str">
        <f>IFERROR(__xludf.DUMMYFUNCTION("GOOGLETRANSLATE(C277,""fr"",""en"")"),"Very good mutual insurance company for 35 years, nothing to reproach .... efficiency, responsiveness and interlocutors always reachable. No problem with the transmission of documents by internet.")</f>
        <v>Very good mutual insurance company for 35 years, nothing to reproach .... efficiency, responsiveness and interlocutors always reachable. No problem with the transmission of documents by internet.</v>
      </c>
    </row>
    <row r="278" ht="15.75" customHeight="1">
      <c r="B278" s="2" t="s">
        <v>854</v>
      </c>
      <c r="C278" s="2" t="s">
        <v>855</v>
      </c>
      <c r="D278" s="2" t="s">
        <v>825</v>
      </c>
      <c r="E278" s="2" t="s">
        <v>14</v>
      </c>
      <c r="F278" s="2" t="s">
        <v>15</v>
      </c>
      <c r="G278" s="2" t="s">
        <v>92</v>
      </c>
      <c r="H278" s="2" t="s">
        <v>92</v>
      </c>
      <c r="I278" s="2" t="str">
        <f>IFERROR(__xludf.DUMMYFUNCTION("GOOGLETRANSLATE(C278,""fr"",""en"")"),"This mutual which is imposed on me by my employer is just scandalous, no customer service, impossible to create their customer area on their platform, change of bank details not taken into account, reimbursements made on closed accounts, no response to em"&amp;"ails etc ... we are strolled from service to brief service it is a shame!")</f>
        <v>This mutual which is imposed on me by my employer is just scandalous, no customer service, impossible to create their customer area on their platform, change of bank details not taken into account, reimbursements made on closed accounts, no response to emails etc ... we are strolled from service to brief service it is a shame!</v>
      </c>
    </row>
    <row r="279" ht="15.75" customHeight="1">
      <c r="B279" s="2" t="s">
        <v>856</v>
      </c>
      <c r="C279" s="2" t="s">
        <v>857</v>
      </c>
      <c r="D279" s="2" t="s">
        <v>825</v>
      </c>
      <c r="E279" s="2" t="s">
        <v>14</v>
      </c>
      <c r="F279" s="2" t="s">
        <v>15</v>
      </c>
      <c r="G279" s="2" t="s">
        <v>858</v>
      </c>
      <c r="H279" s="2" t="s">
        <v>101</v>
      </c>
      <c r="I279" s="2" t="str">
        <f>IFERROR(__xludf.DUMMYFUNCTION("GOOGLETRANSLATE(C279,""fr"",""en"")"),"No. Lost documents, attending physician not taken into account for months despite several letters in rac ...
Mediocre reimbursements, expensive contributions and a service that leaves it particularly to be desired.
All the opposite of Maif, which is exp"&amp;"ensive but very effective")</f>
        <v>No. Lost documents, attending physician not taken into account for months despite several letters in rac ...
Mediocre reimbursements, expensive contributions and a service that leaves it particularly to be desired.
All the opposite of Maif, which is expensive but very effective</v>
      </c>
    </row>
    <row r="280" ht="15.75" customHeight="1">
      <c r="B280" s="2" t="s">
        <v>859</v>
      </c>
      <c r="C280" s="2" t="s">
        <v>860</v>
      </c>
      <c r="D280" s="2" t="s">
        <v>825</v>
      </c>
      <c r="E280" s="2" t="s">
        <v>14</v>
      </c>
      <c r="F280" s="2" t="s">
        <v>15</v>
      </c>
      <c r="G280" s="2" t="s">
        <v>340</v>
      </c>
      <c r="H280" s="2" t="s">
        <v>101</v>
      </c>
      <c r="I280" s="2" t="str">
        <f>IFERROR(__xludf.DUMMYFUNCTION("GOOGLETRANSLATE(C280,""fr"",""en"")"),"I can't put less than a star. I was operated on for cancer in November 2020, I had the invoice on December 21, 2020 and immediately sent to the MGEN. Still no refund two months later. They are not able to give a deadline. In the meantime, with the excess "&amp;"fees (which they had undertaken to pay) I had to pay from my pocket 1600 €. When the vital card comes into play, it goes but as soon as you have to send an invoice for fee supplements, alternative or other medicines, nothing goes! No information, no conti"&amp;"nuation is given to complaints. It would seem that our emails are not even read because I have had no response to my reminders since the implementation of the new personal space. I think I contact a lawyer.
TO FLEE !")</f>
        <v>I can't put less than a star. I was operated on for cancer in November 2020, I had the invoice on December 21, 2020 and immediately sent to the MGEN. Still no refund two months later. They are not able to give a deadline. In the meantime, with the excess fees (which they had undertaken to pay) I had to pay from my pocket 1600 €. When the vital card comes into play, it goes but as soon as you have to send an invoice for fee supplements, alternative or other medicines, nothing goes! No information, no continuation is given to complaints. It would seem that our emails are not even read because I have had no response to my reminders since the implementation of the new personal space. I think I contact a lawyer.
TO FLEE !</v>
      </c>
    </row>
    <row r="281" ht="15.75" customHeight="1">
      <c r="B281" s="2" t="s">
        <v>861</v>
      </c>
      <c r="C281" s="2" t="s">
        <v>862</v>
      </c>
      <c r="D281" s="2" t="s">
        <v>825</v>
      </c>
      <c r="E281" s="2" t="s">
        <v>14</v>
      </c>
      <c r="F281" s="2" t="s">
        <v>15</v>
      </c>
      <c r="G281" s="2" t="s">
        <v>340</v>
      </c>
      <c r="H281" s="2" t="s">
        <v>101</v>
      </c>
      <c r="I281" s="2" t="str">
        <f>IFERROR(__xludf.DUMMYFUNCTION("GOOGLETRANSLATE(C281,""fr"",""en"")"),"MGEN costs very expensive, per month it is the budget of one of the most expensive insurance, for the year 2020 I had 2 work stoppages due to health concerns, we are in February 2021 and none refund was not paid to me.
I only receive letters with a file "&amp;"to be completed, this file is already completed and sent, each time the Mgen writes with a different address on these letters. It's just unacceptable !!!")</f>
        <v>MGEN costs very expensive, per month it is the budget of one of the most expensive insurance, for the year 2020 I had 2 work stoppages due to health concerns, we are in February 2021 and none refund was not paid to me.
I only receive letters with a file to be completed, this file is already completed and sent, each time the Mgen writes with a different address on these letters. It's just unacceptable !!!</v>
      </c>
    </row>
    <row r="282" ht="15.75" customHeight="1">
      <c r="B282" s="2" t="s">
        <v>863</v>
      </c>
      <c r="C282" s="2" t="s">
        <v>864</v>
      </c>
      <c r="D282" s="2" t="s">
        <v>825</v>
      </c>
      <c r="E282" s="2" t="s">
        <v>14</v>
      </c>
      <c r="F282" s="2" t="s">
        <v>15</v>
      </c>
      <c r="G282" s="2" t="s">
        <v>865</v>
      </c>
      <c r="H282" s="2" t="s">
        <v>101</v>
      </c>
      <c r="I282" s="2" t="str">
        <f>IFERROR(__xludf.DUMMYFUNCTION("GOOGLETRANSLATE(C282,""fr"",""en"")"),"Always concerns. Regularizations, non -paid allowances, lost files, constantly concerns when I am in depression and it is not already easy. Now a huge refund to make them in relation to a qualification. In short to flee I advise against. Incredible deadli"&amp;"nes")</f>
        <v>Always concerns. Regularizations, non -paid allowances, lost files, constantly concerns when I am in depression and it is not already easy. Now a huge refund to make them in relation to a qualification. In short to flee I advise against. Incredible deadlines</v>
      </c>
    </row>
    <row r="283" ht="15.75" customHeight="1">
      <c r="B283" s="2" t="s">
        <v>866</v>
      </c>
      <c r="C283" s="2" t="s">
        <v>867</v>
      </c>
      <c r="D283" s="2" t="s">
        <v>825</v>
      </c>
      <c r="E283" s="2" t="s">
        <v>14</v>
      </c>
      <c r="F283" s="2" t="s">
        <v>15</v>
      </c>
      <c r="G283" s="2" t="s">
        <v>104</v>
      </c>
      <c r="H283" s="2" t="s">
        <v>101</v>
      </c>
      <c r="I283" s="2" t="str">
        <f>IFERROR(__xludf.DUMMYFUNCTION("GOOGLETRANSLATE(C283,""fr"",""en"")"),"Refunds that are not related to our contributions. Even their employees manage to be uncomfortable when they are reported. Besides, the latter have a wages of misery, just see the positions of employees or former employees (so where do our contributions g"&amp;"o?).
Teacher colleagues do not hesitate to compare, the values ​​of the MGEN are no longer what they were (moreover an organization which contacts me every month to sell me a new product, for me, it is not a mutual).")</f>
        <v>Refunds that are not related to our contributions. Even their employees manage to be uncomfortable when they are reported. Besides, the latter have a wages of misery, just see the positions of employees or former employees (so where do our contributions go?).
Teacher colleagues do not hesitate to compare, the values ​​of the MGEN are no longer what they were (moreover an organization which contacts me every month to sell me a new product, for me, it is not a mutual).</v>
      </c>
    </row>
    <row r="284" ht="15.75" customHeight="1">
      <c r="B284" s="2" t="s">
        <v>868</v>
      </c>
      <c r="C284" s="2" t="s">
        <v>869</v>
      </c>
      <c r="D284" s="2" t="s">
        <v>825</v>
      </c>
      <c r="E284" s="2" t="s">
        <v>14</v>
      </c>
      <c r="F284" s="2" t="s">
        <v>15</v>
      </c>
      <c r="G284" s="2" t="s">
        <v>104</v>
      </c>
      <c r="H284" s="2" t="s">
        <v>101</v>
      </c>
      <c r="I284" s="2" t="str">
        <f>IFERROR(__xludf.DUMMYFUNCTION("GOOGLETRANSLATE(C284,""fr"",""en"")"),"The MGEN shows incompetence at the high point, absurd explanations and which + is contradictory given by interlocutors, always different each time, and absolutely not master their subject, sometimes going so far as to contradict and even incriminate their"&amp;" own colleague, contacted before. Pfff ...! Lamentable!
What to say about unwarmed promises, like these dates of transfer which prove completely erroneous, see fallacious, which let you hope in vain, touch a service and complete a file however simple to "&amp;"settle ... as long as the staff of the Mgen really wants to take the trouble!")</f>
        <v>The MGEN shows incompetence at the high point, absurd explanations and which + is contradictory given by interlocutors, always different each time, and absolutely not master their subject, sometimes going so far as to contradict and even incriminate their own colleague, contacted before. Pfff ...! Lamentable!
What to say about unwarmed promises, like these dates of transfer which prove completely erroneous, see fallacious, which let you hope in vain, touch a service and complete a file however simple to settle ... as long as the staff of the Mgen really wants to take the trouble!</v>
      </c>
    </row>
    <row r="285" ht="15.75" customHeight="1">
      <c r="B285" s="2" t="s">
        <v>870</v>
      </c>
      <c r="C285" s="2" t="s">
        <v>871</v>
      </c>
      <c r="D285" s="2" t="s">
        <v>825</v>
      </c>
      <c r="E285" s="2" t="s">
        <v>14</v>
      </c>
      <c r="F285" s="2" t="s">
        <v>15</v>
      </c>
      <c r="G285" s="2" t="s">
        <v>872</v>
      </c>
      <c r="H285" s="2" t="s">
        <v>114</v>
      </c>
      <c r="I285" s="2" t="str">
        <f>IFERROR(__xludf.DUMMYFUNCTION("GOOGLETRANSLATE(C285,""fr"",""en"")"),"A member for over 25 years, I am very disappointed with this mutual. I am also looking for another mutual. The ultimate indignation is the calculation of daily allowances following a work stoppage greater than 90 days for my husband. The calculation is op"&amp;"aque and does not correspond to advertising seen on television or on paper: 27% of the salary !!!! It's wrong! Impossible to have a clear writing of this calculation. The Mgen has lost its mutualist soul. I strongly advise against it and yet I believe in "&amp;"the spirit of mutualism !!!")</f>
        <v>A member for over 25 years, I am very disappointed with this mutual. I am also looking for another mutual. The ultimate indignation is the calculation of daily allowances following a work stoppage greater than 90 days for my husband. The calculation is opaque and does not correspond to advertising seen on television or on paper: 27% of the salary !!!! It's wrong! Impossible to have a clear writing of this calculation. The Mgen has lost its mutualist soul. I strongly advise against it and yet I believe in the spirit of mutualism !!!</v>
      </c>
    </row>
    <row r="286" ht="15.75" customHeight="1">
      <c r="B286" s="2" t="s">
        <v>873</v>
      </c>
      <c r="C286" s="2" t="s">
        <v>874</v>
      </c>
      <c r="D286" s="2" t="s">
        <v>825</v>
      </c>
      <c r="E286" s="2" t="s">
        <v>14</v>
      </c>
      <c r="F286" s="2" t="s">
        <v>15</v>
      </c>
      <c r="G286" s="2" t="s">
        <v>721</v>
      </c>
      <c r="H286" s="2" t="s">
        <v>114</v>
      </c>
      <c r="I286" s="2" t="str">
        <f>IFERROR(__xludf.DUMMYFUNCTION("GOOGLETRANSLATE(C286,""fr"",""en"")"),"Incompetent and unreachable, impossible to use the mutual in order to redo a pair of telescope because of a possible computer problem, what would it be in case of an emergency !!! ?????")</f>
        <v>Incompetent and unreachable, impossible to use the mutual in order to redo a pair of telescope because of a possible computer problem, what would it be in case of an emergency !!! ?????</v>
      </c>
    </row>
    <row r="287" ht="15.75" customHeight="1">
      <c r="B287" s="2" t="s">
        <v>875</v>
      </c>
      <c r="C287" s="2" t="s">
        <v>876</v>
      </c>
      <c r="D287" s="2" t="s">
        <v>825</v>
      </c>
      <c r="E287" s="2" t="s">
        <v>14</v>
      </c>
      <c r="F287" s="2" t="s">
        <v>15</v>
      </c>
      <c r="G287" s="2" t="s">
        <v>877</v>
      </c>
      <c r="H287" s="2" t="s">
        <v>114</v>
      </c>
      <c r="I287" s="2" t="str">
        <f>IFERROR(__xludf.DUMMYFUNCTION("GOOGLETRANSLATE(C287,""fr"",""en"")"),"Hello, MGEN member for 43 years, I have a prescription of orthopedic soles. I am retired ""reference"" formula. On their site, under this section, I read that my soles (€ 120) will be reimbursed at 60% by Social Security and 40% by MGEN. So I guess they d"&amp;"on't go - fortunately! - Nothing cost me. For caution, before ordering these soles in the podology cabinet, I send the quote to the MGEN (totally unreachable by phone at 3676 the national number; I tried almost 20 times, at any time, for 2 days) by Mail. "&amp;"I receive the answer the next day: by means of scientists, the MGEN answers me: ""SS + MGEN 230%management, or € 33.19/sole"", so a little more than € 66 in total! 100% !!
So no soles for me! (incomplete small retirement)
I could not change my glasses t"&amp;"o change last year, although my sight changed! I would have had more than 150 € in charge.
Nor have a single room (€ 20) reimbursed for ambulatory hospitalization 4 years ago!
While quite the opposite is promised on their advertisements and publications"&amp;"!
Thank you, the Mgen ...!")</f>
        <v>Hello, MGEN member for 43 years, I have a prescription of orthopedic soles. I am retired "reference" formula. On their site, under this section, I read that my soles (€ 120) will be reimbursed at 60% by Social Security and 40% by MGEN. So I guess they don't go - fortunately! - Nothing cost me. For caution, before ordering these soles in the podology cabinet, I send the quote to the MGEN (totally unreachable by phone at 3676 the national number; I tried almost 20 times, at any time, for 2 days) by Mail. I receive the answer the next day: by means of scientists, the MGEN answers me: "SS + MGEN 230%management, or € 33.19/sole", so a little more than € 66 in total! 100% !!
So no soles for me! (incomplete small retirement)
I could not change my glasses to change last year, although my sight changed! I would have had more than 150 € in charge.
Nor have a single room (€ 20) reimbursed for ambulatory hospitalization 4 years ago!
While quite the opposite is promised on their advertisements and publications!
Thank you, the Mgen ...!</v>
      </c>
    </row>
    <row r="288" ht="15.75" customHeight="1">
      <c r="B288" s="2" t="s">
        <v>878</v>
      </c>
      <c r="C288" s="2" t="s">
        <v>879</v>
      </c>
      <c r="D288" s="2" t="s">
        <v>825</v>
      </c>
      <c r="E288" s="2" t="s">
        <v>14</v>
      </c>
      <c r="F288" s="2" t="s">
        <v>15</v>
      </c>
      <c r="G288" s="2" t="s">
        <v>880</v>
      </c>
      <c r="H288" s="2" t="s">
        <v>114</v>
      </c>
      <c r="I288" s="2" t="str">
        <f>IFERROR(__xludf.DUMMYFUNCTION("GOOGLETRANSLATE(C288,""fr"",""en"")"),"Deplorable! To flee! of absolute incompetence and without any respect or empathy for his insured.
On sick leave for more than three months, they have found a way to turn my daily allowances on an old closed -enclosed account since .... 6 years !!!!! too "&amp;"strong !!!!
That it does not hold it I try desperately to solve the problem for almost three weeks by calling every two days on their platform with all the time another interlocutor to whom everything must be re -explained ..... for nothing when I Am sic"&amp;"k and little in condition .... but they swing royally !!!
Finally it took more than three weeks so that they donate the amount on the right account, my personal account (the one on which they all reimburse me acts ..... we can see the super communication"&amp;" between services !! ! Because to get an enclosed account for 6 years when they have always had my bank details ... you have to do it all the same). Oufffff I say to myself here is a big thorn of the foot removed and now it's good, I will be able to blow "&amp;"....
Well no .... look forward because a week later, at the time of the second payment, I give it to you in a thousand ...... but you are not going to believe it .... they pour on again on This old account ....... and we come back to the same point ... c"&amp;"all on their platform and ..... more than waiting for them to deign again to modify the payment on my account ... . In the meantime, my samples fall and I am in the MMM .... in addition to being sick !!!!
Since it will surely put even more than three wee"&amp;"ks before they deign to pay me the money on my account. And wait .... never two without three ... I think I'm going to be entitled next month and the following .....
So I say thank you MGEN and especially run away ..... such incompetent I have rarely see"&amp;"n .... would really be necessary to denounce them because instead of helping people when they are sick as is supposed From this name, they push them even more ... I say bravo! And no way to join the services concerned is abheating")</f>
        <v>Deplorable! To flee! of absolute incompetence and without any respect or empathy for his insured.
On sick leave for more than three months, they have found a way to turn my daily allowances on an old closed -enclosed account since .... 6 years !!!!! too strong !!!!
That it does not hold it I try desperately to solve the problem for almost three weeks by calling every two days on their platform with all the time another interlocutor to whom everything must be re -explained ..... for nothing when I Am sick and little in condition .... but they swing royally !!!
Finally it took more than three weeks so that they donate the amount on the right account, my personal account (the one on which they all reimburse me acts ..... we can see the super communication between services !! ! Because to get an enclosed account for 6 years when they have always had my bank details ... you have to do it all the same). Oufffff I say to myself here is a big thorn of the foot removed and now it's good, I will be able to blow ....
Well no .... look forward because a week later, at the time of the second payment, I give it to you in a thousand ...... but you are not going to believe it .... they pour on again on This old account ....... and we come back to the same point ... call on their platform and ..... more than waiting for them to deign again to modify the payment on my account ... . In the meantime, my samples fall and I am in the MMM .... in addition to being sick !!!!
Since it will surely put even more than three weeks before they deign to pay me the money on my account. And wait .... never two without three ... I think I'm going to be entitled next month and the following .....
So I say thank you MGEN and especially run away ..... such incompetent I have rarely seen .... would really be necessary to denounce them because instead of helping people when they are sick as is supposed From this name, they push them even more ... I say bravo! And no way to join the services concerned is abheating</v>
      </c>
    </row>
    <row r="289" ht="15.75" customHeight="1">
      <c r="B289" s="2" t="s">
        <v>881</v>
      </c>
      <c r="C289" s="2" t="s">
        <v>882</v>
      </c>
      <c r="D289" s="2" t="s">
        <v>825</v>
      </c>
      <c r="E289" s="2" t="s">
        <v>14</v>
      </c>
      <c r="F289" s="2" t="s">
        <v>15</v>
      </c>
      <c r="G289" s="2" t="s">
        <v>883</v>
      </c>
      <c r="H289" s="2" t="s">
        <v>126</v>
      </c>
      <c r="I289" s="2" t="str">
        <f>IFERROR(__xludf.DUMMYFUNCTION("GOOGLETRANSLATE(C289,""fr"",""en"")"),"Difficult to reach, long to respond and minimum reimbursement even by taking the most expensive options.
We are in a bureaucratic relationship and not considered a customer")</f>
        <v>Difficult to reach, long to respond and minimum reimbursement even by taking the most expensive options.
We are in a bureaucratic relationship and not considered a customer</v>
      </c>
    </row>
    <row r="290" ht="15.75" customHeight="1">
      <c r="B290" s="2" t="s">
        <v>884</v>
      </c>
      <c r="C290" s="2" t="s">
        <v>885</v>
      </c>
      <c r="D290" s="2" t="s">
        <v>825</v>
      </c>
      <c r="E290" s="2" t="s">
        <v>14</v>
      </c>
      <c r="F290" s="2" t="s">
        <v>15</v>
      </c>
      <c r="G290" s="2" t="s">
        <v>886</v>
      </c>
      <c r="H290" s="2" t="s">
        <v>126</v>
      </c>
      <c r="I290" s="2" t="str">
        <f>IFERROR(__xludf.DUMMYFUNCTION("GOOGLETRANSLATE(C290,""fr"",""en"")"),"Each time I am out of the hat. Sending mail within 10 days for a part that would be missing but in fact no, I call customer service ... Deplorable, we come across hysterics or on incompetent poorly shunned ... Help as if I had that this to do ... for very"&amp;" high contributions ...")</f>
        <v>Each time I am out of the hat. Sending mail within 10 days for a part that would be missing but in fact no, I call customer service ... Deplorable, we come across hysterics or on incompetent poorly shunned ... Help as if I had that this to do ... for very high contributions ...</v>
      </c>
    </row>
    <row r="291" ht="15.75" customHeight="1">
      <c r="B291" s="2" t="s">
        <v>887</v>
      </c>
      <c r="C291" s="2" t="s">
        <v>888</v>
      </c>
      <c r="D291" s="2" t="s">
        <v>825</v>
      </c>
      <c r="E291" s="2" t="s">
        <v>14</v>
      </c>
      <c r="F291" s="2" t="s">
        <v>15</v>
      </c>
      <c r="G291" s="2" t="s">
        <v>889</v>
      </c>
      <c r="H291" s="2" t="s">
        <v>126</v>
      </c>
      <c r="I291" s="2" t="str">
        <f>IFERROR(__xludf.DUMMYFUNCTION("GOOGLETRANSLATE(C291,""fr"",""en"")"),"This is MGEN provident.
December 21 and still awaiting the salary supplement for the month of November.
Ok there are problems related to the virus, teleworking, absences for sickness in their body, but when you relaunch at least 10 times and live al"&amp;"one, you find yourself in a catastrophic situation.
Thank you to the MGEN which will allow me to spend unforgettable holidays")</f>
        <v>This is MGEN provident.
December 21 and still awaiting the salary supplement for the month of November.
Ok there are problems related to the virus, teleworking, absences for sickness in their body, but when you relaunch at least 10 times and live alone, you find yourself in a catastrophic situation.
Thank you to the MGEN which will allow me to spend unforgettable holidays</v>
      </c>
    </row>
    <row r="292" ht="15.75" customHeight="1">
      <c r="B292" s="2" t="s">
        <v>890</v>
      </c>
      <c r="C292" s="2" t="s">
        <v>891</v>
      </c>
      <c r="D292" s="2" t="s">
        <v>825</v>
      </c>
      <c r="E292" s="2" t="s">
        <v>14</v>
      </c>
      <c r="F292" s="2" t="s">
        <v>15</v>
      </c>
      <c r="G292" s="2" t="s">
        <v>732</v>
      </c>
      <c r="H292" s="2" t="s">
        <v>126</v>
      </c>
      <c r="I292" s="2" t="str">
        <f>IFERROR(__xludf.DUMMYFUNCTION("GOOGLETRANSLATE(C292,""fr"",""en"")"),"Distressing! Impossible to have the ITT reimbursement service. Only telephone platforms that make reminders in the various services. There is never a follow -up given ... We receive an automatic message which stipulates that we will have an answer within "&amp;"12 days ... and we receive absolutely nothing 12 days later! It is distressing and even sometimes humiliating to be obliged to constantly recall and to obtain no answer! How sad. I am in the management of a college, I have always advised new teachers to t"&amp;"ake MGEN ... I will now dissuade them. I sent my file to a lawyer so that it is the intermediary with the MGEN. I am not proceeding, this is the first time. I am really disillusioned. 10 months that it lasts. Good luck to all.")</f>
        <v>Distressing! Impossible to have the ITT reimbursement service. Only telephone platforms that make reminders in the various services. There is never a follow -up given ... We receive an automatic message which stipulates that we will have an answer within 12 days ... and we receive absolutely nothing 12 days later! It is distressing and even sometimes humiliating to be obliged to constantly recall and to obtain no answer! How sad. I am in the management of a college, I have always advised new teachers to take MGEN ... I will now dissuade them. I sent my file to a lawyer so that it is the intermediary with the MGEN. I am not proceeding, this is the first time. I am really disillusioned. 10 months that it lasts. Good luck to all.</v>
      </c>
    </row>
    <row r="293" ht="15.75" customHeight="1">
      <c r="B293" s="2" t="s">
        <v>892</v>
      </c>
      <c r="C293" s="2" t="s">
        <v>893</v>
      </c>
      <c r="D293" s="2" t="s">
        <v>825</v>
      </c>
      <c r="E293" s="2" t="s">
        <v>14</v>
      </c>
      <c r="F293" s="2" t="s">
        <v>15</v>
      </c>
      <c r="G293" s="2" t="s">
        <v>894</v>
      </c>
      <c r="H293" s="2" t="s">
        <v>126</v>
      </c>
      <c r="I293" s="2" t="str">
        <f>IFERROR(__xludf.DUMMYFUNCTION("GOOGLETRANSLATE(C293,""fr"",""en"")"),"It is undoubtedly not the cheapest mutual but as the amount of the subscription varies according to your income; This remains fair. In addition, it should be recognized that there is no profusion of contracts where we get lost in the reimbursement percent"&amp;"ages according to the chosen category. It is much clearer compared to the multiple other mutuals.
For my part, everything is rather correct: no problem since I am at MGEN, everything is reimbursed in time, the quick appointments with certainly waiting ti"&amp;"mes for certain specialties at the MGEN Health Center ( Dermato, rheumato and ophthalmo). Competent and rather kind staff. Tatillon on invoices: Do not forget to check if the ""adjusted"" indication is mentioned. Tatillon also at the Pasteur Paris 15 heal"&amp;"th center: warn if delay or absence otherwise we point to ""red""!
So I am surprised by all these very negative comments overall. I realize that for the majority of other mutuals or private insurance comments are not very positive either. Note that MGEN "&amp;"is intrinsically linked to social security decisions. If the security refuses the care it will be the same for the mutual. And if you know a cheaper mutual, really cheaper and also more covering, give me the link!")</f>
        <v>It is undoubtedly not the cheapest mutual but as the amount of the subscription varies according to your income; This remains fair. In addition, it should be recognized that there is no profusion of contracts where we get lost in the reimbursement percentages according to the chosen category. It is much clearer compared to the multiple other mutuals.
For my part, everything is rather correct: no problem since I am at MGEN, everything is reimbursed in time, the quick appointments with certainly waiting times for certain specialties at the MGEN Health Center ( Dermato, rheumato and ophthalmo). Competent and rather kind staff. Tatillon on invoices: Do not forget to check if the "adjusted" indication is mentioned. Tatillon also at the Pasteur Paris 15 health center: warn if delay or absence otherwise we point to "red"!
So I am surprised by all these very negative comments overall. I realize that for the majority of other mutuals or private insurance comments are not very positive either. Note that MGEN is intrinsically linked to social security decisions. If the security refuses the care it will be the same for the mutual. And if you know a cheaper mutual, really cheaper and also more covering, give me the link!</v>
      </c>
    </row>
    <row r="294" ht="15.75" customHeight="1">
      <c r="B294" s="2" t="s">
        <v>895</v>
      </c>
      <c r="C294" s="2" t="s">
        <v>896</v>
      </c>
      <c r="D294" s="2" t="s">
        <v>825</v>
      </c>
      <c r="E294" s="2" t="s">
        <v>14</v>
      </c>
      <c r="F294" s="2" t="s">
        <v>15</v>
      </c>
      <c r="G294" s="2" t="s">
        <v>364</v>
      </c>
      <c r="H294" s="2" t="s">
        <v>141</v>
      </c>
      <c r="I294" s="2" t="str">
        <f>IFERROR(__xludf.DUMMYFUNCTION("GOOGLETRANSLATE(C294,""fr"",""en"")"),"Good mutual, available quickly, listening, reactive, fairly fast reimbursement I strongly advise, the reimbursements are up to my expectations")</f>
        <v>Good mutual, available quickly, listening, reactive, fairly fast reimbursement I strongly advise, the reimbursements are up to my expectations</v>
      </c>
    </row>
    <row r="295" ht="15.75" customHeight="1">
      <c r="B295" s="2" t="s">
        <v>897</v>
      </c>
      <c r="C295" s="2" t="s">
        <v>898</v>
      </c>
      <c r="D295" s="2" t="s">
        <v>825</v>
      </c>
      <c r="E295" s="2" t="s">
        <v>14</v>
      </c>
      <c r="F295" s="2" t="s">
        <v>15</v>
      </c>
      <c r="G295" s="2" t="s">
        <v>899</v>
      </c>
      <c r="H295" s="2" t="s">
        <v>167</v>
      </c>
      <c r="I295" s="2" t="str">
        <f>IFERROR(__xludf.DUMMYFUNCTION("GOOGLETRANSLATE(C295,""fr"",""en"")"),"I pay more than 100 euros per month, the reimbursement is more than average: 416 euros on a dental apparatus of 1900 euros .... Teaching civil servant, no choice of my mutual .... Catastrophe ... This is how the government sees his teachers !! If he could"&amp;" negotiate an advantageous mutual as in the private ... I take !!
")</f>
        <v>I pay more than 100 euros per month, the reimbursement is more than average: 416 euros on a dental apparatus of 1900 euros .... Teaching civil servant, no choice of my mutual .... Catastrophe ... This is how the government sees his teachers !! If he could negotiate an advantageous mutual as in the private ... I take !!
</v>
      </c>
    </row>
    <row r="296" ht="15.75" customHeight="1">
      <c r="B296" s="2" t="s">
        <v>900</v>
      </c>
      <c r="C296" s="2" t="s">
        <v>901</v>
      </c>
      <c r="D296" s="2" t="s">
        <v>825</v>
      </c>
      <c r="E296" s="2" t="s">
        <v>14</v>
      </c>
      <c r="F296" s="2" t="s">
        <v>15</v>
      </c>
      <c r="G296" s="2" t="s">
        <v>902</v>
      </c>
      <c r="H296" s="2" t="s">
        <v>167</v>
      </c>
      <c r="I296" s="2" t="str">
        <f>IFERROR(__xludf.DUMMYFUNCTION("GOOGLETRANSLATE(C296,""fr"",""en"")"),"Lessing less and less close to members, a lot of investment in advertising but reimbursements at RAS SUMPS, it is lamentable.
Nonexistent mediation service managed by an ""independent"" group but the MGEN lets the time pass and do not respond.
On the sa"&amp;"me reimbursement file after several disputes and mediation I obtained 3 different responses but no review of the file!")</f>
        <v>Lessing less and less close to members, a lot of investment in advertising but reimbursements at RAS SUMPS, it is lamentable.
Nonexistent mediation service managed by an "independent" group but the MGEN lets the time pass and do not respond.
On the same reimbursement file after several disputes and mediation I obtained 3 different responses but no review of the file!</v>
      </c>
    </row>
    <row r="297" ht="15.75" customHeight="1">
      <c r="B297" s="2" t="s">
        <v>903</v>
      </c>
      <c r="C297" s="2" t="s">
        <v>904</v>
      </c>
      <c r="D297" s="2" t="s">
        <v>825</v>
      </c>
      <c r="E297" s="2" t="s">
        <v>14</v>
      </c>
      <c r="F297" s="2" t="s">
        <v>15</v>
      </c>
      <c r="G297" s="2" t="s">
        <v>199</v>
      </c>
      <c r="H297" s="2" t="s">
        <v>196</v>
      </c>
      <c r="I297" s="2" t="str">
        <f>IFERROR(__xludf.DUMMYFUNCTION("GOOGLETRANSLATE(C297,""fr"",""en"")"),"Some MGEN services, included in my offer, are now managed by a partner: RMA insurance ... We have heard a lot about the sprawling and ineffective French administration for a few months. French mutuals are much stronger in terms of tentacles: we get togeth"&amp;"er, we create satellites, we get richer on the back of ""members"" milk cows. This RMA partner whose services are known since available on the internet, for example allows to affirm that the hospitalization/immobilization pack, allowing to benefit from ho"&amp;"me help after hospitalization, and which I asked for my return from hospital, was not 10 hours as indicated in their documentation, but 6 a.m. By dint of insisting, I was told that, as I lived as a couple, my spouse could help me (sic) and that the pack w"&amp;"ent from 10 hours of home help at 6am !!!! By specifying my degree of handicap, as well as that of my husband, and without any medical certificate, this pack returned as if by magic at 10 a.m. That the MGEN makes fun of its members is unworthy of a mutual"&amp;", while defeating itself since the decision -maker is no longer the MGEN but its satellite RMA ...")</f>
        <v>Some MGEN services, included in my offer, are now managed by a partner: RMA insurance ... We have heard a lot about the sprawling and ineffective French administration for a few months. French mutuals are much stronger in terms of tentacles: we get together, we create satellites, we get richer on the back of "members" milk cows. This RMA partner whose services are known since available on the internet, for example allows to affirm that the hospitalization/immobilization pack, allowing to benefit from home help after hospitalization, and which I asked for my return from hospital, was not 10 hours as indicated in their documentation, but 6 a.m. By dint of insisting, I was told that, as I lived as a couple, my spouse could help me (sic) and that the pack went from 10 hours of home help at 6am !!!! By specifying my degree of handicap, as well as that of my husband, and without any medical certificate, this pack returned as if by magic at 10 a.m. That the MGEN makes fun of its members is unworthy of a mutual, while defeating itself since the decision -maker is no longer the MGEN but its satellite RMA ...</v>
      </c>
    </row>
    <row r="298" ht="15.75" customHeight="1">
      <c r="B298" s="2" t="s">
        <v>905</v>
      </c>
      <c r="C298" s="2" t="s">
        <v>906</v>
      </c>
      <c r="D298" s="2" t="s">
        <v>825</v>
      </c>
      <c r="E298" s="2" t="s">
        <v>14</v>
      </c>
      <c r="F298" s="2" t="s">
        <v>15</v>
      </c>
      <c r="G298" s="2" t="s">
        <v>907</v>
      </c>
      <c r="H298" s="2" t="s">
        <v>196</v>
      </c>
      <c r="I298" s="2" t="str">
        <f>IFERROR(__xludf.DUMMYFUNCTION("GOOGLETRANSLATE(C298,""fr"",""en"")"),"At MGEN for several decades, I have been more and more worried about the future: high prices, very medium reimbursements and what about telephone advisers !!! Total incompetence, lack of kindness, ready -made responses .... no response to letters sent to "&amp;"my section !!! a website where it is very difficult to ask a question !! Yet mails received to sell the press , cinema places and so on ....
Reading the many negative comments, it is surprising that the administrators do not react, I thought I was an iso"&amp;"lated case.
")</f>
        <v>At MGEN for several decades, I have been more and more worried about the future: high prices, very medium reimbursements and what about telephone advisers !!! Total incompetence, lack of kindness, ready -made responses .... no response to letters sent to my section !!! a website where it is very difficult to ask a question !! Yet mails received to sell the press , cinema places and so on ....
Reading the many negative comments, it is surprising that the administrators do not react, I thought I was an isolated case.
</v>
      </c>
    </row>
    <row r="299" ht="15.75" customHeight="1">
      <c r="B299" s="2" t="s">
        <v>908</v>
      </c>
      <c r="C299" s="2" t="s">
        <v>909</v>
      </c>
      <c r="D299" s="2" t="s">
        <v>825</v>
      </c>
      <c r="E299" s="2" t="s">
        <v>14</v>
      </c>
      <c r="F299" s="2" t="s">
        <v>15</v>
      </c>
      <c r="G299" s="2" t="s">
        <v>910</v>
      </c>
      <c r="H299" s="2" t="s">
        <v>196</v>
      </c>
      <c r="I299" s="2" t="str">
        <f>IFERROR(__xludf.DUMMYFUNCTION("GOOGLETRANSLATE(C299,""fr"",""en"")"),"69 -year -old couple (my retired and main assured officialr wife) and 75 years (me as a affiliate member), we pay € 2,118 per year or € 176.75 per month for the MGEN Reference formula. My wife has been a member for four decades. For 3 years, contributions"&amp;" have increased by 5 % per year. The prices are prohibitive, while the reimbursement guarantees are (very) mediocre.
Last example, a few weeks ago: my wife, main assured, submitted to the MGEN a quote for dental prostheses in the amount of € 5,000 ... "&amp;"and the MGEN reimburses only 22 % of the expense, or 1,100 € ( and the security € 150). Under these conditions, one wonders what is the interest of complementary health?
I do not mention the service to the customer (sorry for the member), everyone know"&amp;"s that the quality of the relationship is legendary (irony) at the MGEN
Contrary to what it can be said here and there, the complementary part of the MGEN is not compulsory for civil servants of the Ministry of National Education (to be distinguished f"&amp;"rom compulsory social security managed by MGEN).
If you are a civil servant with income above average (typically a category A or an aggregated teacher or an end -of -career certified), it is preferable to go and see elsewhere because the contributions "&amp;"are a function of your income (with equivalent coverage) . If you have savings, you can even dispense with paying additional health that will never reimburse major expenses (dental prostheses at 5 or 10 k € for example).
The MGEN may be interesting for"&amp;" young civil servants under the age of 40 with children. As soon as you retire, run away from Mgen, and for good reason, retirees pay for young people.
We can recall that article 1964 of the Civil Code provides that insurance is ""random contract (...)"&amp;" whose effects, as for the advantages and losses, either for all parties, or for one or more of They depend on an uncertain event. »»
When we look more closely, only the big health risk (eg, cancer, long -term conditions, accidents requiring hospitalizat"&amp;"ion) are truly uncertain events.
This * big * risk is provided by Social Security.
The complementary health insurance only provides * small * recurrent and predictable health expense (current city care, consultations with MG or a sector specialist, gl"&amp;"asses, etc.)
The small health risk is not strictly speaking an uncertain event that would justify taking out insurance.
It is useful to recall that Social Security finances 78.1 % of health spending in France, complementary organizations 13.4 % and th"&amp;"e share remaining in households is 7 % (source Ministry of Health in 2018).
Social security is not a deception (it is not perfect but it ensures the most important risk cited above, cancer, ALD etc.), on the other hand the complementary health of which"&amp;" the MGEN is a legal deception. The complementary-healthy play on the fear of getting sick.
By definition, a complementary health organization will never pay more than what the insured has contributed.
Self-assurance (ensuring yourself) is justified i"&amp;"f you are an ant and you can save without difficulty (even 50 € per month); If you are a pierced basket, take a complementary health insurance (while knowing that it is a legal deception) by avoiding the MGEN.
")</f>
        <v>69 -year -old couple (my retired and main assured officialr wife) and 75 years (me as a affiliate member), we pay € 2,118 per year or € 176.75 per month for the MGEN Reference formula. My wife has been a member for four decades. For 3 years, contributions have increased by 5 % per year. The prices are prohibitive, while the reimbursement guarantees are (very) mediocre.
Last example, a few weeks ago: my wife, main assured, submitted to the MGEN a quote for dental prostheses in the amount of € 5,000 ... and the MGEN reimburses only 22 % of the expense, or 1,100 € ( and the security € 150). Under these conditions, one wonders what is the interest of complementary health?
I do not mention the service to the customer (sorry for the member), everyone knows that the quality of the relationship is legendary (irony) at the MGEN
Contrary to what it can be said here and there, the complementary part of the MGEN is not compulsory for civil servants of the Ministry of National Education (to be distinguished from compulsory social security managed by MGEN).
If you are a civil servant with income above average (typically a category A or an aggregated teacher or an end -of -career certified), it is preferable to go and see elsewhere because the contributions are a function of your income (with equivalent coverage) . If you have savings, you can even dispense with paying additional health that will never reimburse major expenses (dental prostheses at 5 or 10 k € for example).
The MGEN may be interesting for young civil servants under the age of 40 with children. As soon as you retire, run away from Mgen, and for good reason, retirees pay for young people.
We can recall that article 1964 of the Civil Code provides that insurance is "random contract (...) whose effects, as for the advantages and losses, either for all parties, or for one or more of They depend on an uncertain event. »»
When we look more closely, only the big health risk (eg, cancer, long -term conditions, accidents requiring hospitalization) are truly uncertain events.
This * big * risk is provided by Social Security.
The complementary health insurance only provides * small * recurrent and predictable health expense (current city care, consultations with MG or a sector specialist, glasses, etc.)
The small health risk is not strictly speaking an uncertain event that would justify taking out insurance.
It is useful to recall that Social Security finances 78.1 % of health spending in France, complementary organizations 13.4 % and the share remaining in households is 7 % (source Ministry of Health in 2018).
Social security is not a deception (it is not perfect but it ensures the most important risk cited above, cancer, ALD etc.), on the other hand the complementary health of which the MGEN is a legal deception. The complementary-healthy play on the fear of getting sick.
By definition, a complementary health organization will never pay more than what the insured has contributed.
Self-assurance (ensuring yourself) is justified if you are an ant and you can save without difficulty (even 50 € per month); If you are a pierced basket, take a complementary health insurance (while knowing that it is a legal deception) by avoiding the MGEN.
</v>
      </c>
    </row>
    <row r="300" ht="15.75" customHeight="1">
      <c r="B300" s="2" t="s">
        <v>911</v>
      </c>
      <c r="C300" s="2" t="s">
        <v>912</v>
      </c>
      <c r="D300" s="2" t="s">
        <v>825</v>
      </c>
      <c r="E300" s="2" t="s">
        <v>14</v>
      </c>
      <c r="F300" s="2" t="s">
        <v>15</v>
      </c>
      <c r="G300" s="2" t="s">
        <v>913</v>
      </c>
      <c r="H300" s="2" t="s">
        <v>196</v>
      </c>
      <c r="I300" s="2" t="str">
        <f>IFERROR(__xludf.DUMMYFUNCTION("GOOGLETRANSLATE(C300,""fr"",""en"")"),"Despite the merger with the MGET, I thought I had a significant drop in subscription.
Refunds are less supported on certain services such as optics.
I am assured in full.")</f>
        <v>Despite the merger with the MGET, I thought I had a significant drop in subscription.
Refunds are less supported on certain services such as optics.
I am assured in full.</v>
      </c>
    </row>
    <row r="301" ht="15.75" customHeight="1">
      <c r="B301" s="2" t="s">
        <v>914</v>
      </c>
      <c r="C301" s="2" t="s">
        <v>915</v>
      </c>
      <c r="D301" s="2" t="s">
        <v>825</v>
      </c>
      <c r="E301" s="2" t="s">
        <v>14</v>
      </c>
      <c r="F301" s="2" t="s">
        <v>15</v>
      </c>
      <c r="G301" s="2" t="s">
        <v>916</v>
      </c>
      <c r="H301" s="2" t="s">
        <v>196</v>
      </c>
      <c r="I301" s="2" t="str">
        <f>IFERROR(__xludf.DUMMYFUNCTION("GOOGLETRANSLATE(C301,""fr"",""en"")"),"Mutual to flee. Lack of organization, little seriousness, that problems since I registered, that is to say 7 months. I do not recommend at all !")</f>
        <v>Mutual to flee. Lack of organization, little seriousness, that problems since I registered, that is to say 7 months. I do not recommend at all !</v>
      </c>
    </row>
    <row r="302" ht="15.75" customHeight="1">
      <c r="B302" s="2" t="s">
        <v>917</v>
      </c>
      <c r="C302" s="2" t="s">
        <v>918</v>
      </c>
      <c r="D302" s="2" t="s">
        <v>825</v>
      </c>
      <c r="E302" s="2" t="s">
        <v>14</v>
      </c>
      <c r="F302" s="2" t="s">
        <v>15</v>
      </c>
      <c r="G302" s="2" t="s">
        <v>754</v>
      </c>
      <c r="H302" s="2" t="s">
        <v>210</v>
      </c>
      <c r="I302" s="2" t="str">
        <f>IFERROR(__xludf.DUMMYFUNCTION("GOOGLETRANSLATE(C302,""fr"",""en"")"),"When my wife died, it is impossible to contact the Mgen du Var. Closure of his internet space, refusal of my recommended letters, person on the phone or email, obligation to go through social networks to claim to have an answer.")</f>
        <v>When my wife died, it is impossible to contact the Mgen du Var. Closure of his internet space, refusal of my recommended letters, person on the phone or email, obligation to go through social networks to claim to have an answer.</v>
      </c>
    </row>
    <row r="303" ht="15.75" customHeight="1">
      <c r="B303" s="2" t="s">
        <v>919</v>
      </c>
      <c r="C303" s="2" t="s">
        <v>920</v>
      </c>
      <c r="D303" s="2" t="s">
        <v>825</v>
      </c>
      <c r="E303" s="2" t="s">
        <v>14</v>
      </c>
      <c r="F303" s="2" t="s">
        <v>15</v>
      </c>
      <c r="G303" s="2" t="s">
        <v>921</v>
      </c>
      <c r="H303" s="2" t="s">
        <v>210</v>
      </c>
      <c r="I303" s="2" t="str">
        <f>IFERROR(__xludf.DUMMYFUNCTION("GOOGLETRANSLATE(C303,""fr"",""en"")"),"Incapables")</f>
        <v>Incapables</v>
      </c>
    </row>
    <row r="304" ht="15.75" customHeight="1">
      <c r="B304" s="2" t="s">
        <v>922</v>
      </c>
      <c r="C304" s="2" t="s">
        <v>923</v>
      </c>
      <c r="D304" s="2" t="s">
        <v>825</v>
      </c>
      <c r="E304" s="2" t="s">
        <v>14</v>
      </c>
      <c r="F304" s="2" t="s">
        <v>15</v>
      </c>
      <c r="G304" s="2" t="s">
        <v>924</v>
      </c>
      <c r="H304" s="2" t="s">
        <v>210</v>
      </c>
      <c r="I304" s="2" t="str">
        <f>IFERROR(__xludf.DUMMYFUNCTION("GOOGLETRANSLATE(C304,""fr"",""en"")"),"Flee this mutual which is very inexpensive. Personnel not competent and unwelcoming
Extremely long reimbursement period (ditto for a dental quote which reached me after 2 months ...)
Direction impossible to reach to demonstrate his disgruntled
Mutual"&amp;" not modern and too much access to his past. She has not yet understood that people inquire before subscribing a mutual. To listen to them there is no better than the mgen ...")</f>
        <v>Flee this mutual which is very inexpensive. Personnel not competent and unwelcoming
Extremely long reimbursement period (ditto for a dental quote which reached me after 2 months ...)
Direction impossible to reach to demonstrate his disgruntled
Mutual not modern and too much access to his past. She has not yet understood that people inquire before subscribing a mutual. To listen to them there is no better than the mgen ...</v>
      </c>
    </row>
    <row r="305" ht="15.75" customHeight="1">
      <c r="B305" s="2" t="s">
        <v>925</v>
      </c>
      <c r="C305" s="2" t="s">
        <v>926</v>
      </c>
      <c r="D305" s="2" t="s">
        <v>825</v>
      </c>
      <c r="E305" s="2" t="s">
        <v>14</v>
      </c>
      <c r="F305" s="2" t="s">
        <v>15</v>
      </c>
      <c r="G305" s="2" t="s">
        <v>924</v>
      </c>
      <c r="H305" s="2" t="s">
        <v>210</v>
      </c>
      <c r="I305" s="2" t="str">
        <f>IFERROR(__xludf.DUMMYFUNCTION("GOOGLETRANSLATE(C305,""fr"",""en"")"),"I have been there for a little over a year and I am starting to regret having joined.")</f>
        <v>I have been there for a little over a year and I am starting to regret having joined.</v>
      </c>
    </row>
    <row r="306" ht="15.75" customHeight="1">
      <c r="B306" s="2" t="s">
        <v>927</v>
      </c>
      <c r="C306" s="2" t="s">
        <v>928</v>
      </c>
      <c r="D306" s="2" t="s">
        <v>825</v>
      </c>
      <c r="E306" s="2" t="s">
        <v>14</v>
      </c>
      <c r="F306" s="2" t="s">
        <v>15</v>
      </c>
      <c r="G306" s="2" t="s">
        <v>924</v>
      </c>
      <c r="H306" s="2" t="s">
        <v>210</v>
      </c>
      <c r="I306" s="2" t="str">
        <f>IFERROR(__xludf.DUMMYFUNCTION("GOOGLETRANSLATE(C306,""fr"",""en"")"),"I stayed for 1 year at the MGEN but this fu one year of suffering and galley. I thought that in 2020 health reimbursements were simple and quick (being at home in security and mutual)
But the MGEN manages to ask me for security accounts (from their home)"&amp;" to reimburse me the mutual (from their home) .....
They systematically lose papers (osteo invoices sent 3 times).
A website that dates from the ""Middle Ages"". You have to be damn twisted to apply for the renewal of vital card by internet that must be"&amp;" printed and bring in hand specific to the MGEN (when they are open) ......
I think the webmasters have remained at the minitels.")</f>
        <v>I stayed for 1 year at the MGEN but this fu one year of suffering and galley. I thought that in 2020 health reimbursements were simple and quick (being at home in security and mutual)
But the MGEN manages to ask me for security accounts (from their home) to reimburse me the mutual (from their home) .....
They systematically lose papers (osteo invoices sent 3 times).
A website that dates from the "Middle Ages". You have to be damn twisted to apply for the renewal of vital card by internet that must be printed and bring in hand specific to the MGEN (when they are open) ......
I think the webmasters have remained at the minitels.</v>
      </c>
    </row>
    <row r="307" ht="15.75" customHeight="1">
      <c r="B307" s="2" t="s">
        <v>929</v>
      </c>
      <c r="C307" s="2" t="s">
        <v>930</v>
      </c>
      <c r="D307" s="2" t="s">
        <v>825</v>
      </c>
      <c r="E307" s="2" t="s">
        <v>14</v>
      </c>
      <c r="F307" s="2" t="s">
        <v>15</v>
      </c>
      <c r="G307" s="2" t="s">
        <v>376</v>
      </c>
      <c r="H307" s="2" t="s">
        <v>210</v>
      </c>
      <c r="I307" s="2" t="str">
        <f>IFERROR(__xludf.DUMMYFUNCTION("GOOGLETRANSLATE(C307,""fr"",""en"")"),"June 2020 The MGEN of Clermont-Ferrand is closed until June 29 !!! She will reopen on June 30 for closing again on July 13 !!! No kidding! The 3676 is constantly busy, no one responds! No one takes care of the mail! scandalous!!!")</f>
        <v>June 2020 The MGEN of Clermont-Ferrand is closed until June 29 !!! She will reopen on June 30 for closing again on July 13 !!! No kidding! The 3676 is constantly busy, no one responds! No one takes care of the mail! scandalous!!!</v>
      </c>
    </row>
    <row r="308" ht="15.75" customHeight="1">
      <c r="B308" s="2" t="s">
        <v>931</v>
      </c>
      <c r="C308" s="2" t="s">
        <v>932</v>
      </c>
      <c r="D308" s="2" t="s">
        <v>825</v>
      </c>
      <c r="E308" s="2" t="s">
        <v>14</v>
      </c>
      <c r="F308" s="2" t="s">
        <v>15</v>
      </c>
      <c r="G308" s="2" t="s">
        <v>933</v>
      </c>
      <c r="H308" s="2" t="s">
        <v>210</v>
      </c>
      <c r="I308" s="2" t="str">
        <f>IFERROR(__xludf.DUMMYFUNCTION("GOOGLETRANSLATE(C308,""fr"",""en"")"),"Flee this mutual insurance manienne wage c is very expensive pipeau too expensive ... unreachable")</f>
        <v>Flee this mutual insurance manienne wage c is very expensive pipeau too expensive ... unreachable</v>
      </c>
    </row>
    <row r="309" ht="15.75" customHeight="1">
      <c r="B309" s="2" t="s">
        <v>934</v>
      </c>
      <c r="C309" s="2" t="s">
        <v>935</v>
      </c>
      <c r="D309" s="2" t="s">
        <v>825</v>
      </c>
      <c r="E309" s="2" t="s">
        <v>14</v>
      </c>
      <c r="F309" s="2" t="s">
        <v>15</v>
      </c>
      <c r="G309" s="2" t="s">
        <v>936</v>
      </c>
      <c r="H309" s="2" t="s">
        <v>214</v>
      </c>
      <c r="I309" s="2" t="str">
        <f>IFERROR(__xludf.DUMMYFUNCTION("GOOGLETRANSLATE(C309,""fr"",""en"")"),"MGEN, mutual alas compulsory for employees of national education ...! Allows yourself to reimburse only half of the offer provided for the quote (approved by them, of course!) ...
Unimaginable!
Let me explain: my dental care, 2 mobile devices, started i"&amp;"n December 2019 only, after being forced to wait because of significant time.
The quote was approved by them in November 2019.
The working time of preparation, development, and realization, being important, ended in January 2020.
A pretext of reimburse"&amp;"ment -50%...: the 2020 prices have changed (reduced!)
Having a weak retirement, what mutual aid can this mutual give me?
These care was straddling the 2 years, by coincidence and importance of work, the date of the quote which allowed me to decide shoul"&amp;"d be taken into account ... !!! It's logic ! What is it for!
I am convinced that many cases must be similar to mine.
Apparently, MGEN's doctrine is ""indifference"" ...
Do not count on the MGEN to help you? ...
To meditate...
")</f>
        <v>MGEN, mutual alas compulsory for employees of national education ...! Allows yourself to reimburse only half of the offer provided for the quote (approved by them, of course!) ...
Unimaginable!
Let me explain: my dental care, 2 mobile devices, started in December 2019 only, after being forced to wait because of significant time.
The quote was approved by them in November 2019.
The working time of preparation, development, and realization, being important, ended in January 2020.
A pretext of reimbursement -50%...: the 2020 prices have changed (reduced!)
Having a weak retirement, what mutual aid can this mutual give me?
These care was straddling the 2 years, by coincidence and importance of work, the date of the quote which allowed me to decide should be taken into account ... !!! It's logic ! What is it for!
I am convinced that many cases must be similar to mine.
Apparently, MGEN's doctrine is "indifference" ...
Do not count on the MGEN to help you? ...
To meditate...
</v>
      </c>
    </row>
    <row r="310" ht="15.75" customHeight="1">
      <c r="B310" s="2" t="s">
        <v>937</v>
      </c>
      <c r="C310" s="2" t="s">
        <v>938</v>
      </c>
      <c r="D310" s="2" t="s">
        <v>825</v>
      </c>
      <c r="E310" s="2" t="s">
        <v>14</v>
      </c>
      <c r="F310" s="2" t="s">
        <v>15</v>
      </c>
      <c r="G310" s="2" t="s">
        <v>939</v>
      </c>
      <c r="H310" s="2" t="s">
        <v>214</v>
      </c>
      <c r="I310" s="2" t="str">
        <f>IFERROR(__xludf.DUMMYFUNCTION("GOOGLETRANSLATE(C310,""fr"",""en"")"),"Very bad mutual that is expensive, with low -end guarantees. In terms of advisers (both on the phone and agency) they are incompetent. I have been 10 years old and since 2016 and an increase in prices I left. Many wrongly think that he will not find bette"&amp;"r elsewhere. While it is worse than the Mgen which is complicated ..... (the Mgen is classified 113 IEME MUTUAL on 120) to make worse fall under the feat of the feat")</f>
        <v>Very bad mutual that is expensive, with low -end guarantees. In terms of advisers (both on the phone and agency) they are incompetent. I have been 10 years old and since 2016 and an increase in prices I left. Many wrongly think that he will not find better elsewhere. While it is worse than the Mgen which is complicated ..... (the Mgen is classified 113 IEME MUTUAL on 120) to make worse fall under the feat of the feat</v>
      </c>
    </row>
    <row r="311" ht="15.75" customHeight="1">
      <c r="B311" s="2" t="s">
        <v>940</v>
      </c>
      <c r="C311" s="2" t="s">
        <v>941</v>
      </c>
      <c r="D311" s="2" t="s">
        <v>825</v>
      </c>
      <c r="E311" s="2" t="s">
        <v>14</v>
      </c>
      <c r="F311" s="2" t="s">
        <v>15</v>
      </c>
      <c r="G311" s="2" t="s">
        <v>942</v>
      </c>
      <c r="H311" s="2" t="s">
        <v>214</v>
      </c>
      <c r="I311" s="2" t="str">
        <f>IFERROR(__xludf.DUMMYFUNCTION("GOOGLETRANSLATE(C311,""fr"",""en"")"),"As an I have subscribed to the MGEN and it was the worst decision I made. Previously at Groupama with reimbursements for fee exceeding because I am followed for health problems and drugs, I am no longer reimbursed by the MGEN for fee overruns and 15%stick"&amp;"ers.
The advisor certified me that I will be better reimbursed (because mutual a lot more expensive than Groupama) and that I would have none dependent.
I was deliberately lied to make a contract (and again I refused insurance in the event of death that"&amp;" MGEN absolutely wanted to sell me)
I leave this mutual as soon as possible because a lot of lies, beautiful words and beautiful speeches but the reality is all other")</f>
        <v>As an I have subscribed to the MGEN and it was the worst decision I made. Previously at Groupama with reimbursements for fee exceeding because I am followed for health problems and drugs, I am no longer reimbursed by the MGEN for fee overruns and 15%stickers.
The advisor certified me that I will be better reimbursed (because mutual a lot more expensive than Groupama) and that I would have none dependent.
I was deliberately lied to make a contract (and again I refused insurance in the event of death that MGEN absolutely wanted to sell me)
I leave this mutual as soon as possible because a lot of lies, beautiful words and beautiful speeches but the reality is all other</v>
      </c>
    </row>
    <row r="312" ht="15.75" customHeight="1">
      <c r="B312" s="2" t="s">
        <v>943</v>
      </c>
      <c r="C312" s="2" t="s">
        <v>944</v>
      </c>
      <c r="D312" s="2" t="s">
        <v>825</v>
      </c>
      <c r="E312" s="2" t="s">
        <v>14</v>
      </c>
      <c r="F312" s="2" t="s">
        <v>15</v>
      </c>
      <c r="G312" s="2" t="s">
        <v>945</v>
      </c>
      <c r="H312" s="2" t="s">
        <v>218</v>
      </c>
      <c r="I312" s="2" t="str">
        <f>IFERROR(__xludf.DUMMYFUNCTION("GOOGLETRANSLATE(C312,""fr"",""en"")"),"Too expensive for very average health guarantees. Foresight but impossible to set them up. You must not be on work stops for the additional salary because it is almost impossible to obtain")</f>
        <v>Too expensive for very average health guarantees. Foresight but impossible to set them up. You must not be on work stops for the additional salary because it is almost impossible to obtain</v>
      </c>
    </row>
    <row r="313" ht="15.75" customHeight="1">
      <c r="B313" s="2" t="s">
        <v>946</v>
      </c>
      <c r="C313" s="2" t="s">
        <v>947</v>
      </c>
      <c r="D313" s="2" t="s">
        <v>825</v>
      </c>
      <c r="E313" s="2" t="s">
        <v>14</v>
      </c>
      <c r="F313" s="2" t="s">
        <v>15</v>
      </c>
      <c r="G313" s="2" t="s">
        <v>763</v>
      </c>
      <c r="H313" s="2" t="s">
        <v>380</v>
      </c>
      <c r="I313" s="2" t="str">
        <f>IFERROR(__xludf.DUMMYFUNCTION("GOOGLETRANSLATE(C313,""fr"",""en"")"),"hello
I have recently retired from the National Eduction. I still have a dependent child. I want to leave MGEN. Who can advise me for another mutual. The mage recommended on this site does not accept retirees.
Thanks in advance;")</f>
        <v>hello
I have recently retired from the National Eduction. I still have a dependent child. I want to leave MGEN. Who can advise me for another mutual. The mage recommended on this site does not accept retirees.
Thanks in advance;</v>
      </c>
    </row>
    <row r="314" ht="15.75" customHeight="1">
      <c r="B314" s="2" t="s">
        <v>948</v>
      </c>
      <c r="C314" s="2" t="s">
        <v>949</v>
      </c>
      <c r="D314" s="2" t="s">
        <v>825</v>
      </c>
      <c r="E314" s="2" t="s">
        <v>14</v>
      </c>
      <c r="F314" s="2" t="s">
        <v>15</v>
      </c>
      <c r="G314" s="2" t="s">
        <v>950</v>
      </c>
      <c r="H314" s="2" t="s">
        <v>384</v>
      </c>
      <c r="I314" s="2" t="str">
        <f>IFERROR(__xludf.DUMMYFUNCTION("GOOGLETRANSLATE(C314,""fr"",""en"")"),"Very bad mutual: continuous degradation of reimbursements; No monitoring of changes in health services; MGEN budget spent in enormous communication costs. Mutual")</f>
        <v>Very bad mutual: continuous degradation of reimbursements; No monitoring of changes in health services; MGEN budget spent in enormous communication costs. Mutual</v>
      </c>
    </row>
    <row r="315" ht="15.75" customHeight="1">
      <c r="B315" s="2" t="s">
        <v>951</v>
      </c>
      <c r="C315" s="2" t="s">
        <v>952</v>
      </c>
      <c r="D315" s="2" t="s">
        <v>825</v>
      </c>
      <c r="E315" s="2" t="s">
        <v>14</v>
      </c>
      <c r="F315" s="2" t="s">
        <v>15</v>
      </c>
      <c r="G315" s="2" t="s">
        <v>228</v>
      </c>
      <c r="H315" s="2" t="s">
        <v>222</v>
      </c>
      <c r="I315" s="2" t="str">
        <f>IFERROR(__xludf.DUMMYFUNCTION("GOOGLETRANSLATE(C315,""fr"",""en"")"),"The MGEN has continued to increase its prices for Pietre Quality services. I was supposed to receive a failure every year, he is not sent. You have to pure it. The Telephonic Service does not properly manage the files. I finally changed for another mutual"&amp;" that offers much better and cheaper services. It is a shame that we are forced to remain affiliated to the social security at home")</f>
        <v>The MGEN has continued to increase its prices for Pietre Quality services. I was supposed to receive a failure every year, he is not sent. You have to pure it. The Telephonic Service does not properly manage the files. I finally changed for another mutual that offers much better and cheaper services. It is a shame that we are forced to remain affiliated to the social security at home</v>
      </c>
    </row>
    <row r="316" ht="15.75" customHeight="1">
      <c r="B316" s="2" t="s">
        <v>953</v>
      </c>
      <c r="C316" s="2" t="s">
        <v>954</v>
      </c>
      <c r="D316" s="2" t="s">
        <v>825</v>
      </c>
      <c r="E316" s="2" t="s">
        <v>14</v>
      </c>
      <c r="F316" s="2" t="s">
        <v>15</v>
      </c>
      <c r="G316" s="2" t="s">
        <v>955</v>
      </c>
      <c r="H316" s="2" t="s">
        <v>232</v>
      </c>
      <c r="I316" s="2" t="str">
        <f>IFERROR(__xludf.DUMMYFUNCTION("GOOGLETRANSLATE(C316,""fr"",""en"")"),"I just retired and I seriously plan to change mutual, while I have been at MGEN since 1976.
Prohibitive contributions, I should contribute 220 euros per month, for uncompromising reimbursement.
I am looking for right now and I have no trouble findin"&amp;"g at half the price for better services.
Without forgetting various advertisements in the media funded by our contributions ...
I await any arguments to change my mind as well as other mutuals which give satisfaction (I am currently looking at Mutua"&amp;"lia side).")</f>
        <v>I just retired and I seriously plan to change mutual, while I have been at MGEN since 1976.
Prohibitive contributions, I should contribute 220 euros per month, for uncompromising reimbursement.
I am looking for right now and I have no trouble finding at half the price for better services.
Without forgetting various advertisements in the media funded by our contributions ...
I await any arguments to change my mind as well as other mutuals which give satisfaction (I am currently looking at Mutualia side).</v>
      </c>
    </row>
    <row r="317" ht="15.75" customHeight="1">
      <c r="B317" s="2" t="s">
        <v>956</v>
      </c>
      <c r="C317" s="2" t="s">
        <v>957</v>
      </c>
      <c r="D317" s="2" t="s">
        <v>825</v>
      </c>
      <c r="E317" s="2" t="s">
        <v>14</v>
      </c>
      <c r="F317" s="2" t="s">
        <v>15</v>
      </c>
      <c r="G317" s="2" t="s">
        <v>958</v>
      </c>
      <c r="H317" s="2" t="s">
        <v>959</v>
      </c>
      <c r="I317" s="2" t="str">
        <f>IFERROR(__xludf.DUMMYFUNCTION("GOOGLETRANSLATE(C317,""fr"",""en"")"),"Null, low refunds for maximum prices. My husband in the private pay cheaper and is better reimbursed.")</f>
        <v>Null, low refunds for maximum prices. My husband in the private pay cheaper and is better reimbursed.</v>
      </c>
    </row>
    <row r="318" ht="15.75" customHeight="1">
      <c r="B318" s="2" t="s">
        <v>960</v>
      </c>
      <c r="C318" s="2" t="s">
        <v>961</v>
      </c>
      <c r="D318" s="2" t="s">
        <v>825</v>
      </c>
      <c r="E318" s="2" t="s">
        <v>14</v>
      </c>
      <c r="F318" s="2" t="s">
        <v>15</v>
      </c>
      <c r="G318" s="2" t="s">
        <v>958</v>
      </c>
      <c r="H318" s="2" t="s">
        <v>959</v>
      </c>
      <c r="I318" s="2" t="str">
        <f>IFERROR(__xludf.DUMMYFUNCTION("GOOGLETRANSLATE(C318,""fr"",""en"")"),"For a long time at the MGEN, degradation of the values ​​and incompetence of the interlocutors, I speak for the new section on which I depend, that of the Yvelines.")</f>
        <v>For a long time at the MGEN, degradation of the values ​​and incompetence of the interlocutors, I speak for the new section on which I depend, that of the Yvelines.</v>
      </c>
    </row>
    <row r="319" ht="15.75" customHeight="1">
      <c r="B319" s="2" t="s">
        <v>962</v>
      </c>
      <c r="C319" s="2" t="s">
        <v>963</v>
      </c>
      <c r="D319" s="2" t="s">
        <v>825</v>
      </c>
      <c r="E319" s="2" t="s">
        <v>14</v>
      </c>
      <c r="F319" s="2" t="s">
        <v>15</v>
      </c>
      <c r="G319" s="2" t="s">
        <v>964</v>
      </c>
      <c r="H319" s="2" t="s">
        <v>959</v>
      </c>
      <c r="I319" s="2" t="str">
        <f>IFERROR(__xludf.DUMMYFUNCTION("GOOGLETRANSLATE(C319,""fr"",""en"")"),"The catastrophe ; Worse, it's not possible, in addition it is very expensive and the reimbursements are null! to flee absolutely! I strongly advise against!
They don't even know who they are talking about and they roll you in the flour! In the end the in"&amp;"formation they give you is false!")</f>
        <v>The catastrophe ; Worse, it's not possible, in addition it is very expensive and the reimbursements are null! to flee absolutely! I strongly advise against!
They don't even know who they are talking about and they roll you in the flour! In the end the information they give you is false!</v>
      </c>
    </row>
    <row r="320" ht="15.75" customHeight="1">
      <c r="B320" s="2" t="s">
        <v>965</v>
      </c>
      <c r="C320" s="2" t="s">
        <v>966</v>
      </c>
      <c r="D320" s="2" t="s">
        <v>825</v>
      </c>
      <c r="E320" s="2" t="s">
        <v>14</v>
      </c>
      <c r="F320" s="2" t="s">
        <v>15</v>
      </c>
      <c r="G320" s="2" t="s">
        <v>967</v>
      </c>
      <c r="H320" s="2" t="s">
        <v>423</v>
      </c>
      <c r="I320" s="2" t="str">
        <f>IFERROR(__xludf.DUMMYFUNCTION("GOOGLETRANSLATE(C320,""fr"",""en"")"),"The worst mutual in the world! 2 months to make quotes. It is unacceptable ! Customer service deserves good training in politeness. This is unheard of !")</f>
        <v>The worst mutual in the world! 2 months to make quotes. It is unacceptable ! Customer service deserves good training in politeness. This is unheard of !</v>
      </c>
    </row>
    <row r="321" ht="15.75" customHeight="1">
      <c r="B321" s="2" t="s">
        <v>968</v>
      </c>
      <c r="C321" s="2" t="s">
        <v>969</v>
      </c>
      <c r="D321" s="2" t="s">
        <v>825</v>
      </c>
      <c r="E321" s="2" t="s">
        <v>14</v>
      </c>
      <c r="F321" s="2" t="s">
        <v>15</v>
      </c>
      <c r="G321" s="2" t="s">
        <v>970</v>
      </c>
      <c r="H321" s="2" t="s">
        <v>236</v>
      </c>
      <c r="I321" s="2" t="str">
        <f>IFERROR(__xludf.DUMMYFUNCTION("GOOGLETRANSLATE(C321,""fr"",""en"")"),"Mutual that makes you waste time for dental quotes, you have to wait 3 weeks for an answer and not the right one.")</f>
        <v>Mutual that makes you waste time for dental quotes, you have to wait 3 weeks for an answer and not the right one.</v>
      </c>
    </row>
    <row r="322" ht="15.75" customHeight="1">
      <c r="B322" s="2" t="s">
        <v>971</v>
      </c>
      <c r="C322" s="2" t="s">
        <v>972</v>
      </c>
      <c r="D322" s="2" t="s">
        <v>825</v>
      </c>
      <c r="E322" s="2" t="s">
        <v>14</v>
      </c>
      <c r="F322" s="2" t="s">
        <v>15</v>
      </c>
      <c r="G322" s="2" t="s">
        <v>973</v>
      </c>
      <c r="H322" s="2" t="s">
        <v>236</v>
      </c>
      <c r="I322" s="2" t="str">
        <f>IFERROR(__xludf.DUMMYFUNCTION("GOOGLETRANSLATE(C322,""fr"",""en"")"),"Provident, null with regard to the payment period. Paid on April 10 for the period from February 18 to March 31 and to date no response for the period in April")</f>
        <v>Provident, null with regard to the payment period. Paid on April 10 for the period from February 18 to March 31 and to date no response for the period in April</v>
      </c>
    </row>
    <row r="323" ht="15.75" customHeight="1">
      <c r="B323" s="2" t="s">
        <v>974</v>
      </c>
      <c r="C323" s="2" t="s">
        <v>975</v>
      </c>
      <c r="D323" s="2" t="s">
        <v>825</v>
      </c>
      <c r="E323" s="2" t="s">
        <v>14</v>
      </c>
      <c r="F323" s="2" t="s">
        <v>15</v>
      </c>
      <c r="G323" s="2" t="s">
        <v>976</v>
      </c>
      <c r="H323" s="2" t="s">
        <v>442</v>
      </c>
      <c r="I323" s="2" t="str">
        <f>IFERROR(__xludf.DUMMYFUNCTION("GOOGLETRANSLATE(C323,""fr"",""en"")"),"Liars ! It is high time to launch an online petition to denounce this misleading humiliating mutual!")</f>
        <v>Liars ! It is high time to launch an online petition to denounce this misleading humiliating mutual!</v>
      </c>
    </row>
    <row r="324" ht="15.75" customHeight="1">
      <c r="B324" s="2" t="s">
        <v>977</v>
      </c>
      <c r="C324" s="2" t="s">
        <v>978</v>
      </c>
      <c r="D324" s="2" t="s">
        <v>825</v>
      </c>
      <c r="E324" s="2" t="s">
        <v>14</v>
      </c>
      <c r="F324" s="2" t="s">
        <v>15</v>
      </c>
      <c r="G324" s="2" t="s">
        <v>979</v>
      </c>
      <c r="H324" s="2" t="s">
        <v>442</v>
      </c>
      <c r="I324" s="2" t="str">
        <f>IFERROR(__xludf.DUMMYFUNCTION("GOOGLETRANSLATE(C324,""fr"",""en"")"),"This mutual is a shame for teachers who are mowed like calves. After more than 30 min on the phone, we can hang up on you")</f>
        <v>This mutual is a shame for teachers who are mowed like calves. After more than 30 min on the phone, we can hang up on you</v>
      </c>
    </row>
    <row r="325" ht="15.75" customHeight="1">
      <c r="B325" s="2" t="s">
        <v>980</v>
      </c>
      <c r="C325" s="2" t="s">
        <v>981</v>
      </c>
      <c r="D325" s="2" t="s">
        <v>825</v>
      </c>
      <c r="E325" s="2" t="s">
        <v>14</v>
      </c>
      <c r="F325" s="2" t="s">
        <v>15</v>
      </c>
      <c r="G325" s="2" t="s">
        <v>449</v>
      </c>
      <c r="H325" s="2" t="s">
        <v>446</v>
      </c>
      <c r="I325" s="2" t="str">
        <f>IFERROR(__xludf.DUMMYFUNCTION("GOOGLETRANSLATE(C325,""fr"",""en"")"),"Mutual fairly costly 10 euros no month quality of the exceucrable service loss of files mismanagement of files several interlocutors therefore followed bad")</f>
        <v>Mutual fairly costly 10 euros no month quality of the exceucrable service loss of files mismanagement of files several interlocutors therefore followed bad</v>
      </c>
    </row>
    <row r="326" ht="15.75" customHeight="1">
      <c r="B326" s="2" t="s">
        <v>982</v>
      </c>
      <c r="C326" s="2" t="s">
        <v>983</v>
      </c>
      <c r="D326" s="2" t="s">
        <v>825</v>
      </c>
      <c r="E326" s="2" t="s">
        <v>14</v>
      </c>
      <c r="F326" s="2" t="s">
        <v>15</v>
      </c>
      <c r="G326" s="2" t="s">
        <v>984</v>
      </c>
      <c r="H326" s="2" t="s">
        <v>446</v>
      </c>
      <c r="I326" s="2" t="str">
        <f>IFERROR(__xludf.DUMMYFUNCTION("GOOGLETRANSLATE(C326,""fr"",""en"")"),"I have just been operated on and the surgeon and anesthesiologist took 1 exceeding of 3,900 euros)
Zero Euro reimbursement!
It is scandalous and inadmissible.
TO AVOID.")</f>
        <v>I have just been operated on and the surgeon and anesthesiologist took 1 exceeding of 3,900 euros)
Zero Euro reimbursement!
It is scandalous and inadmissible.
TO AVOID.</v>
      </c>
    </row>
    <row r="327" ht="15.75" customHeight="1">
      <c r="B327" s="2" t="s">
        <v>985</v>
      </c>
      <c r="C327" s="2" t="s">
        <v>986</v>
      </c>
      <c r="D327" s="2" t="s">
        <v>825</v>
      </c>
      <c r="E327" s="2" t="s">
        <v>14</v>
      </c>
      <c r="F327" s="2" t="s">
        <v>15</v>
      </c>
      <c r="G327" s="2" t="s">
        <v>987</v>
      </c>
      <c r="H327" s="2" t="s">
        <v>453</v>
      </c>
      <c r="I327" s="2" t="str">
        <f>IFERROR(__xludf.DUMMYFUNCTION("GOOGLETRANSLATE(C327,""fr"",""en"")"),"Notic incompetent! I have been fighting for more than two years so that my daughters appear on my mutual part (they do not appear there because of an error on their part at the start) and I call every month but Nothing is done. I moved and I was assured t"&amp;"hat we were going to take care of it. I've been waiting for a month. I pay 300 euros per month for 4 people and no one is able to solve a poor problem when it would be if there was a real problem? Above all, do not join this mutual!")</f>
        <v>Notic incompetent! I have been fighting for more than two years so that my daughters appear on my mutual part (they do not appear there because of an error on their part at the start) and I call every month but Nothing is done. I moved and I was assured that we were going to take care of it. I've been waiting for a month. I pay 300 euros per month for 4 people and no one is able to solve a poor problem when it would be if there was a real problem? Above all, do not join this mutual!</v>
      </c>
    </row>
    <row r="328" ht="15.75" customHeight="1">
      <c r="B328" s="2" t="s">
        <v>988</v>
      </c>
      <c r="C328" s="2" t="s">
        <v>989</v>
      </c>
      <c r="D328" s="2" t="s">
        <v>825</v>
      </c>
      <c r="E328" s="2" t="s">
        <v>14</v>
      </c>
      <c r="F328" s="2" t="s">
        <v>15</v>
      </c>
      <c r="G328" s="2" t="s">
        <v>990</v>
      </c>
      <c r="H328" s="2" t="s">
        <v>457</v>
      </c>
      <c r="I328" s="2" t="str">
        <f>IFERROR(__xludf.DUMMYFUNCTION("GOOGLETRANSLATE(C328,""fr"",""en"")"),"MGEN A scandal even in retirement homes. Argent nerve of war for the MGEN more chronic meeting than efficiency on the ground for 39 years")</f>
        <v>MGEN A scandal even in retirement homes. Argent nerve of war for the MGEN more chronic meeting than efficiency on the ground for 39 years</v>
      </c>
    </row>
    <row r="329" ht="15.75" customHeight="1">
      <c r="B329" s="2" t="s">
        <v>991</v>
      </c>
      <c r="C329" s="2" t="s">
        <v>992</v>
      </c>
      <c r="D329" s="2" t="s">
        <v>825</v>
      </c>
      <c r="E329" s="2" t="s">
        <v>14</v>
      </c>
      <c r="F329" s="2" t="s">
        <v>15</v>
      </c>
      <c r="G329" s="2" t="s">
        <v>993</v>
      </c>
      <c r="H329" s="2" t="s">
        <v>467</v>
      </c>
      <c r="I329" s="2" t="str">
        <f>IFERROR(__xludf.DUMMYFUNCTION("GOOGLETRANSLATE(C329,""fr"",""en"")"),"Failure computer system, the MGEN reimburses health professionals instead of repaying the patient who made the advance of the costs, then the MGEN refuses to recognize his error, specialist in computer problems of remote transmission, notorious bad faith,"&amp;" everything to displease , unable to solve the problems of the insured even when we bring evidence, by dint of recovering insured people on all sides, the MGEN is exceeded, the computer systems telescop, in fact it is the MGEN which makes us sick. . By di"&amp;"nt of incompetence")</f>
        <v>Failure computer system, the MGEN reimburses health professionals instead of repaying the patient who made the advance of the costs, then the MGEN refuses to recognize his error, specialist in computer problems of remote transmission, notorious bad faith, everything to displease , unable to solve the problems of the insured even when we bring evidence, by dint of recovering insured people on all sides, the MGEN is exceeded, the computer systems telescop, in fact it is the MGEN which makes us sick. . By dint of incompetence</v>
      </c>
    </row>
    <row r="330" ht="15.75" customHeight="1">
      <c r="B330" s="2" t="s">
        <v>994</v>
      </c>
      <c r="C330" s="2" t="s">
        <v>995</v>
      </c>
      <c r="D330" s="2" t="s">
        <v>825</v>
      </c>
      <c r="E330" s="2" t="s">
        <v>14</v>
      </c>
      <c r="F330" s="2" t="s">
        <v>15</v>
      </c>
      <c r="G330" s="2" t="s">
        <v>996</v>
      </c>
      <c r="H330" s="2" t="s">
        <v>997</v>
      </c>
      <c r="I330" s="2" t="str">
        <f>IFERROR(__xludf.DUMMYFUNCTION("GOOGLETRANSLATE(C330,""fr"",""en"")"),"Former state official before decentralization, we were transferred without advice from MGET to MGEN. Nothing will change the result of pitiful reimbursement, treatment protocol for orthodontics for my broken son, 700 euros in reimbursement not taken care "&amp;"of.
And now, not renewed recognition in ALD recognized since 2010.
Without counting a contribution of 140 euros per month, at this price, we expect reimbursements and quality services!
Even osteopathy is no longer reimbursed.
Shameful and disrespectfu"&amp;"l mutual
It's decided, I don't stay in this mutual pseudo.")</f>
        <v>Former state official before decentralization, we were transferred without advice from MGET to MGEN. Nothing will change the result of pitiful reimbursement, treatment protocol for orthodontics for my broken son, 700 euros in reimbursement not taken care of.
And now, not renewed recognition in ALD recognized since 2010.
Without counting a contribution of 140 euros per month, at this price, we expect reimbursements and quality services!
Even osteopathy is no longer reimbursed.
Shameful and disrespectful mutual
It's decided, I don't stay in this mutual pseudo.</v>
      </c>
    </row>
    <row r="331" ht="15.75" customHeight="1">
      <c r="B331" s="2" t="s">
        <v>998</v>
      </c>
      <c r="C331" s="2" t="s">
        <v>999</v>
      </c>
      <c r="D331" s="2" t="s">
        <v>825</v>
      </c>
      <c r="E331" s="2" t="s">
        <v>14</v>
      </c>
      <c r="F331" s="2" t="s">
        <v>15</v>
      </c>
      <c r="G331" s="2" t="s">
        <v>1000</v>
      </c>
      <c r="H331" s="2" t="s">
        <v>1001</v>
      </c>
      <c r="I331" s="2" t="str">
        <f>IFERROR(__xludf.DUMMYFUNCTION("GOOGLETRANSLATE(C331,""fr"",""en"")"),"Are capable of losing in the space of 4 months, losing pay sheets, contracts and a declaration of pregnancy ....
To end up being mistaken on the dates of maternity holidays and therefore to make lost money by retorting that the receipt is never wrong ..."&amp;"
")</f>
        <v>Are capable of losing in the space of 4 months, losing pay sheets, contracts and a declaration of pregnancy ....
To end up being mistaken on the dates of maternity holidays and therefore to make lost money by retorting that the receipt is never wrong ...
</v>
      </c>
    </row>
    <row r="332" ht="15.75" customHeight="1">
      <c r="B332" s="2" t="s">
        <v>1002</v>
      </c>
      <c r="C332" s="2" t="s">
        <v>1003</v>
      </c>
      <c r="D332" s="2" t="s">
        <v>825</v>
      </c>
      <c r="E332" s="2" t="s">
        <v>14</v>
      </c>
      <c r="F332" s="2" t="s">
        <v>15</v>
      </c>
      <c r="G332" s="2" t="s">
        <v>1004</v>
      </c>
      <c r="H332" s="2" t="s">
        <v>1001</v>
      </c>
      <c r="I332" s="2" t="str">
        <f>IFERROR(__xludf.DUMMYFUNCTION("GOOGLETRANSLATE(C332,""fr"",""en"")"),"A shame, even seriously ill you have to fight with the Mgen to assert our rights, they always find an excuse not to reimburse and their delays are extremely long !!! Do not take their assurances of deces because they will seek not to pay it to you")</f>
        <v>A shame, even seriously ill you have to fight with the Mgen to assert our rights, they always find an excuse not to reimburse and their delays are extremely long !!! Do not take their assurances of deces because they will seek not to pay it to you</v>
      </c>
    </row>
    <row r="333" ht="15.75" customHeight="1">
      <c r="B333" s="2" t="s">
        <v>1005</v>
      </c>
      <c r="C333" s="2" t="s">
        <v>1006</v>
      </c>
      <c r="D333" s="2" t="s">
        <v>825</v>
      </c>
      <c r="E333" s="2" t="s">
        <v>14</v>
      </c>
      <c r="F333" s="2" t="s">
        <v>15</v>
      </c>
      <c r="G333" s="2" t="s">
        <v>1007</v>
      </c>
      <c r="H333" s="2" t="s">
        <v>256</v>
      </c>
      <c r="I333" s="2" t="str">
        <f>IFERROR(__xludf.DUMMYFUNCTION("GOOGLETRANSLATE(C333,""fr"",""en"")"),"I recently resigned from this mutual insurance company after 40 years of subscription, about 60,000 euros in updated expenses. It seems to me that the subscription sitting on the income of the member is a generous communist intention but misguided because"&amp;" in my case since 9 years 10,000 euros annually had not paid me and by court decision allocated to my basic alimony. For her part, she paid her own mutual. I asked at the time of the change in my status that it is taken into account of this cost and this "&amp;"reality. The mutual has refused so I left. She continues me today for non -compliance with the resignation period and claims 280 euros. It must be said that in 40 years of subscription I have never received the slightest document which informs me of this "&amp;"obligation when the maif sends me the info every year. So this mean attempt to scratch a little more completely disgusts me.")</f>
        <v>I recently resigned from this mutual insurance company after 40 years of subscription, about 60,000 euros in updated expenses. It seems to me that the subscription sitting on the income of the member is a generous communist intention but misguided because in my case since 9 years 10,000 euros annually had not paid me and by court decision allocated to my basic alimony. For her part, she paid her own mutual. I asked at the time of the change in my status that it is taken into account of this cost and this reality. The mutual has refused so I left. She continues me today for non -compliance with the resignation period and claims 280 euros. It must be said that in 40 years of subscription I have never received the slightest document which informs me of this obligation when the maif sends me the info every year. So this mean attempt to scratch a little more completely disgusts me.</v>
      </c>
    </row>
    <row r="334" ht="15.75" customHeight="1">
      <c r="B334" s="2" t="s">
        <v>1008</v>
      </c>
      <c r="C334" s="2" t="s">
        <v>1009</v>
      </c>
      <c r="D334" s="2" t="s">
        <v>825</v>
      </c>
      <c r="E334" s="2" t="s">
        <v>14</v>
      </c>
      <c r="F334" s="2" t="s">
        <v>15</v>
      </c>
      <c r="G334" s="2" t="s">
        <v>1010</v>
      </c>
      <c r="H334" s="2" t="s">
        <v>256</v>
      </c>
      <c r="I334" s="2" t="str">
        <f>IFERROR(__xludf.DUMMYFUNCTION("GOOGLETRANSLATE(C334,""fr"",""en"")"),"It is already difficult to manage a person in total dependence that is forced to place in nursing homes but when the mutual puts bad will and has nothing to do it is even more complicated!")</f>
        <v>It is already difficult to manage a person in total dependence that is forced to place in nursing homes but when the mutual puts bad will and has nothing to do it is even more complicated!</v>
      </c>
    </row>
    <row r="335" ht="15.75" customHeight="1">
      <c r="B335" s="2" t="s">
        <v>1011</v>
      </c>
      <c r="C335" s="2" t="s">
        <v>1012</v>
      </c>
      <c r="D335" s="2" t="s">
        <v>825</v>
      </c>
      <c r="E335" s="2" t="s">
        <v>14</v>
      </c>
      <c r="F335" s="2" t="s">
        <v>15</v>
      </c>
      <c r="G335" s="2" t="s">
        <v>1013</v>
      </c>
      <c r="H335" s="2" t="s">
        <v>260</v>
      </c>
      <c r="I335" s="2" t="str">
        <f>IFERROR(__xludf.DUMMYFUNCTION("GOOGLETRANSLATE(C335,""fr"",""en"")"),"Do not subscribe to this complementary health! A shame ! No compensation on the € 600 due! All this for thyroid cancer !!! In addition to the disease, today we have to face the problem of paying wages! Since January the only reachable service explains onl"&amp;"y ""we are going to make a complaint"", nothing happens. Scandalous. Not to mention the quality of exchange, much more than mediocre. Above all, do not subscribe to this mutual. Incompetent service. Legal recourse")</f>
        <v>Do not subscribe to this complementary health! A shame ! No compensation on the € 600 due! All this for thyroid cancer !!! In addition to the disease, today we have to face the problem of paying wages! Since January the only reachable service explains only "we are going to make a complaint", nothing happens. Scandalous. Not to mention the quality of exchange, much more than mediocre. Above all, do not subscribe to this mutual. Incompetent service. Legal recourse</v>
      </c>
    </row>
    <row r="336" ht="15.75" customHeight="1">
      <c r="B336" s="2" t="s">
        <v>1014</v>
      </c>
      <c r="C336" s="2" t="s">
        <v>1015</v>
      </c>
      <c r="D336" s="2" t="s">
        <v>825</v>
      </c>
      <c r="E336" s="2" t="s">
        <v>14</v>
      </c>
      <c r="F336" s="2" t="s">
        <v>15</v>
      </c>
      <c r="G336" s="2" t="s">
        <v>1016</v>
      </c>
      <c r="H336" s="2" t="s">
        <v>260</v>
      </c>
      <c r="I336" s="2" t="str">
        <f>IFERROR(__xludf.DUMMYFUNCTION("GOOGLETRANSLATE(C336,""fr"",""en"")"),"Very good mutual, unlike other opinions.
In the event of hospitalization no advance of costs or procedures and forecast level of many services. Orthodontics well reimbursed (450th!) To have done research is very interesting
")</f>
        <v>Very good mutual, unlike other opinions.
In the event of hospitalization no advance of costs or procedures and forecast level of many services. Orthodontics well reimbursed (450th!) To have done research is very interesting
</v>
      </c>
    </row>
    <row r="337" ht="15.75" customHeight="1">
      <c r="B337" s="2" t="s">
        <v>1017</v>
      </c>
      <c r="C337" s="2" t="s">
        <v>1018</v>
      </c>
      <c r="D337" s="2" t="s">
        <v>825</v>
      </c>
      <c r="E337" s="2" t="s">
        <v>14</v>
      </c>
      <c r="F337" s="2" t="s">
        <v>15</v>
      </c>
      <c r="G337" s="2" t="s">
        <v>259</v>
      </c>
      <c r="H337" s="2" t="s">
        <v>260</v>
      </c>
      <c r="I337" s="2" t="str">
        <f>IFERROR(__xludf.DUMMYFUNCTION("GOOGLETRANSLATE(C337,""fr"",""en"")"),"A mutual that treats its reimbursements 1 month late is really lamentable! I called this morning to find out or was my reimbursement of prosthesis of April 17, today May 7, I am told that I am currently dealing with the requests of April 6 !! Who are we l"&amp;"aughing at? Is that the quality of service announced by the MGEN? Is that the seriousness of this mutual? For a contribution of € 72 per month, we are not really loti after 40 years of presence. My observation: you need nothing, adheres to the Mgen, other"&amp;"wise go your way")</f>
        <v>A mutual that treats its reimbursements 1 month late is really lamentable! I called this morning to find out or was my reimbursement of prosthesis of April 17, today May 7, I am told that I am currently dealing with the requests of April 6 !! Who are we laughing at? Is that the quality of service announced by the MGEN? Is that the seriousness of this mutual? For a contribution of € 72 per month, we are not really loti after 40 years of presence. My observation: you need nothing, adheres to the Mgen, otherwise go your way</v>
      </c>
    </row>
    <row r="338" ht="15.75" customHeight="1">
      <c r="B338" s="2" t="s">
        <v>1019</v>
      </c>
      <c r="C338" s="2" t="s">
        <v>1020</v>
      </c>
      <c r="D338" s="2" t="s">
        <v>825</v>
      </c>
      <c r="E338" s="2" t="s">
        <v>14</v>
      </c>
      <c r="F338" s="2" t="s">
        <v>15</v>
      </c>
      <c r="G338" s="2" t="s">
        <v>1021</v>
      </c>
      <c r="H338" s="2" t="s">
        <v>264</v>
      </c>
      <c r="I338" s="2" t="str">
        <f>IFERROR(__xludf.DUMMYFUNCTION("GOOGLETRANSLATE(C338,""fr"",""en"")"),"4 ECPA Pearson 2 Test of Logics then Association of Words Grammar test and spelling
Latable presentation company at the footsteps on the other hand tests very taken seriously and qualifying.
HR does not even take the time or courtesy even less decency t"&amp;"o wait for the end of the presentation of the company (because the they do it after the test ... understand that can) to give the results especially S ' They are playoffs to get out quickly.
Only question: do you have other tracks?
4 people recruite"&amp;"d from fixed -term contracts of 7 months or more eliminated no question of having the results of the tests because they are destroyed (that's what they say anyway) if not in the average we are going If we correspond perfectly to the requested position bec"&amp;"ause we cannot derogate from it the HR.
In short, to avoid only make fixed -term contracts sometimes a CDI carefully chosen from the charter of diversity they appeared it signed.
National Education obliges very imbued with them and when human and we"&amp;"ll I do not know where he is not at the center of the concerns of the recruitment process is sure.
")</f>
        <v>4 ECPA Pearson 2 Test of Logics then Association of Words Grammar test and spelling
Latable presentation company at the footsteps on the other hand tests very taken seriously and qualifying.
HR does not even take the time or courtesy even less decency to wait for the end of the presentation of the company (because the they do it after the test ... understand that can) to give the results especially S ' They are playoffs to get out quickly.
Only question: do you have other tracks?
4 people recruited from fixed -term contracts of 7 months or more eliminated no question of having the results of the tests because they are destroyed (that's what they say anyway) if not in the average we are going If we correspond perfectly to the requested position because we cannot derogate from it the HR.
In short, to avoid only make fixed -term contracts sometimes a CDI carefully chosen from the charter of diversity they appeared it signed.
National Education obliges very imbued with them and when human and well I do not know where he is not at the center of the concerns of the recruitment process is sure.
</v>
      </c>
    </row>
    <row r="339" ht="15.75" customHeight="1">
      <c r="B339" s="2" t="s">
        <v>1022</v>
      </c>
      <c r="C339" s="2" t="s">
        <v>1023</v>
      </c>
      <c r="D339" s="2" t="s">
        <v>825</v>
      </c>
      <c r="E339" s="2" t="s">
        <v>14</v>
      </c>
      <c r="F339" s="2" t="s">
        <v>15</v>
      </c>
      <c r="G339" s="2" t="s">
        <v>263</v>
      </c>
      <c r="H339" s="2" t="s">
        <v>264</v>
      </c>
      <c r="I339" s="2" t="str">
        <f>IFERROR(__xludf.DUMMYFUNCTION("GOOGLETRANSLATE(C339,""fr"",""en"")"),"I have been a young teacher and have been at MGEN since the start of the school year in September 2017. During the 1st appointment I was announced a first price which was € 5 lower from the one that I was finally asked to pay! In addition since January 20"&amp;"18 I have to pay more than € 14 more per month because I would be 30 years old in December and that it works by landing. No info was given to me during my appointment at the office of Saint Denis. I find these practices odious, for me it is really to dece"&amp;"ive the customer. I am therefore preparing my termination contract because 50 €/month for someone in good health it does not suit me at all !!")</f>
        <v>I have been a young teacher and have been at MGEN since the start of the school year in September 2017. During the 1st appointment I was announced a first price which was € 5 lower from the one that I was finally asked to pay! In addition since January 2018 I have to pay more than € 14 more per month because I would be 30 years old in December and that it works by landing. No info was given to me during my appointment at the office of Saint Denis. I find these practices odious, for me it is really to deceive the customer. I am therefore preparing my termination contract because 50 €/month for someone in good health it does not suit me at all !!</v>
      </c>
    </row>
    <row r="340" ht="15.75" customHeight="1">
      <c r="B340" s="2" t="s">
        <v>1024</v>
      </c>
      <c r="C340" s="2" t="s">
        <v>1025</v>
      </c>
      <c r="D340" s="2" t="s">
        <v>825</v>
      </c>
      <c r="E340" s="2" t="s">
        <v>14</v>
      </c>
      <c r="F340" s="2" t="s">
        <v>15</v>
      </c>
      <c r="G340" s="2" t="s">
        <v>482</v>
      </c>
      <c r="H340" s="2" t="s">
        <v>277</v>
      </c>
      <c r="I340" s="2" t="str">
        <f>IFERROR(__xludf.DUMMYFUNCTION("GOOGLETRANSLATE(C340,""fr"",""en"")"),"Bjr I am at the Mgen and Meconent of their services they lost all my reimbursement papers of glasses yet the mail happened well with another leaf of rebuilding, they never found anything, it lasted 2 months I have given everything at all, my Optian tells "&amp;"me that they are used to this fact !!!! When I write an email I have no response or 3 weeks after and which does not result the problem !!! mutual to flee I have no news of a refund for my husband for a month")</f>
        <v>Bjr I am at the Mgen and Meconent of their services they lost all my reimbursement papers of glasses yet the mail happened well with another leaf of rebuilding, they never found anything, it lasted 2 months I have given everything at all, my Optian tells me that they are used to this fact !!!! When I write an email I have no response or 3 weeks after and which does not result the problem !!! mutual to flee I have no news of a refund for my husband for a month</v>
      </c>
    </row>
    <row r="341" ht="15.75" customHeight="1">
      <c r="B341" s="2" t="s">
        <v>1026</v>
      </c>
      <c r="C341" s="2" t="s">
        <v>1027</v>
      </c>
      <c r="D341" s="2" t="s">
        <v>825</v>
      </c>
      <c r="E341" s="2" t="s">
        <v>14</v>
      </c>
      <c r="F341" s="2" t="s">
        <v>15</v>
      </c>
      <c r="G341" s="2" t="s">
        <v>1028</v>
      </c>
      <c r="H341" s="2" t="s">
        <v>277</v>
      </c>
      <c r="I341" s="2" t="str">
        <f>IFERROR(__xludf.DUMMYFUNCTION("GOOGLETRANSLATE(C341,""fr"",""en"")"),"Hello,
When I was a young teacher, I had another mutual, on the advice of more experienced colleagues, I had to join the MGEN, which I did.
I am not satisfied with their services, especially for optics and dental.
In addition, it is completely opaque, "&amp;"they increased the prices on January 1, 2018 without warning their customers, them lesson lessons on solidarity, mercantilism of other mutuals. The rate went from 3.11 % to 3.18 %
In addition, I do not understand on what amount, they are based to calcula"&amp;"te the subscription.
")</f>
        <v>Hello,
When I was a young teacher, I had another mutual, on the advice of more experienced colleagues, I had to join the MGEN, which I did.
I am not satisfied with their services, especially for optics and dental.
In addition, it is completely opaque, they increased the prices on January 1, 2018 without warning their customers, them lesson lessons on solidarity, mercantilism of other mutuals. The rate went from 3.11 % to 3.18 %
In addition, I do not understand on what amount, they are based to calculate the subscription.
</v>
      </c>
    </row>
    <row r="342" ht="15.75" customHeight="1">
      <c r="B342" s="2" t="s">
        <v>1029</v>
      </c>
      <c r="C342" s="2" t="s">
        <v>1030</v>
      </c>
      <c r="D342" s="2" t="s">
        <v>825</v>
      </c>
      <c r="E342" s="2" t="s">
        <v>14</v>
      </c>
      <c r="F342" s="2" t="s">
        <v>15</v>
      </c>
      <c r="G342" s="2" t="s">
        <v>1031</v>
      </c>
      <c r="H342" s="2" t="s">
        <v>284</v>
      </c>
      <c r="I342" s="2" t="str">
        <f>IFERROR(__xludf.DUMMYFUNCTION("GOOGLETRANSLATE(C342,""fr"",""en"")"),"Hello, run away far from this mutual
I am director of a school in EN Somalia. I wanted to keep the Mgen because I had stayed to join Mamadou my lover and the little ones of the school. Mgen put me on straw. They made me pay dearly for my contributions. T"&amp;"oday I have been waiting for more than 2 years (!!) of a descaling! In addition I asked them to help me bring in the little schoolchildren but they did not answer me. So I'm waiting and the little Somalians are waiting to come to France because we think t"&amp;"here are not enough in France.")</f>
        <v>Hello, run away far from this mutual
I am director of a school in EN Somalia. I wanted to keep the Mgen because I had stayed to join Mamadou my lover and the little ones of the school. Mgen put me on straw. They made me pay dearly for my contributions. Today I have been waiting for more than 2 years (!!) of a descaling! In addition I asked them to help me bring in the little schoolchildren but they did not answer me. So I'm waiting and the little Somalians are waiting to come to France because we think there are not enough in France.</v>
      </c>
    </row>
    <row r="343" ht="15.75" customHeight="1">
      <c r="B343" s="2" t="s">
        <v>1032</v>
      </c>
      <c r="C343" s="2" t="s">
        <v>1033</v>
      </c>
      <c r="D343" s="2" t="s">
        <v>825</v>
      </c>
      <c r="E343" s="2" t="s">
        <v>14</v>
      </c>
      <c r="F343" s="2" t="s">
        <v>15</v>
      </c>
      <c r="G343" s="2" t="s">
        <v>1034</v>
      </c>
      <c r="H343" s="2" t="s">
        <v>284</v>
      </c>
      <c r="I343" s="2" t="str">
        <f>IFERROR(__xludf.DUMMYFUNCTION("GOOGLETRANSLATE(C343,""fr"",""en"")"),"Flee if you hold your mental health ...
I have been asking for my care reimbursements for months without success, after multitudes calls, emails and letters. I can not stand it anymore. Whenever I have a interlocutor on the phone (when I manage to have s"&amp;"omeone!) I am told anything, the speeches are different depending on the person I can have on the phone ! : ""We did not receive your mail"" / ""We lost your rib"" / ""You did not send in the right service"" / ""You would have to return your documents"" /"&amp;" ""There was a remote transmission problem ""...etc. This list is not exhaustive of course.
However, I point out that I am Mgen Filia and that everything is subcontracted by B2V/BCAC: incompetent first choice!
Previously I was at Harmonie Mutuelle a"&amp;"nd I was satisfied ... Unfortunately we can no longer choose!
")</f>
        <v>Flee if you hold your mental health ...
I have been asking for my care reimbursements for months without success, after multitudes calls, emails and letters. I can not stand it anymore. Whenever I have a interlocutor on the phone (when I manage to have someone!) I am told anything, the speeches are different depending on the person I can have on the phone ! : "We did not receive your mail" / "We lost your rib" / "You did not send in the right service" / "You would have to return your documents" / "There was a remote transmission problem "...etc. This list is not exhaustive of course.
However, I point out that I am Mgen Filia and that everything is subcontracted by B2V/BCAC: incompetent first choice!
Previously I was at Harmonie Mutuelle and I was satisfied ... Unfortunately we can no longer choose!
</v>
      </c>
    </row>
    <row r="344" ht="15.75" customHeight="1">
      <c r="B344" s="2" t="s">
        <v>1035</v>
      </c>
      <c r="C344" s="2" t="s">
        <v>1036</v>
      </c>
      <c r="D344" s="2" t="s">
        <v>825</v>
      </c>
      <c r="E344" s="2" t="s">
        <v>14</v>
      </c>
      <c r="F344" s="2" t="s">
        <v>15</v>
      </c>
      <c r="G344" s="2" t="s">
        <v>802</v>
      </c>
      <c r="H344" s="2" t="s">
        <v>803</v>
      </c>
      <c r="I344" s="2" t="str">
        <f>IFERROR(__xludf.DUMMYFUNCTION("GOOGLETRANSLATE(C344,""fr"",""en"")"),"Bad faith and incompetence of this organization that of course, I will leave.")</f>
        <v>Bad faith and incompetence of this organization that of course, I will leave.</v>
      </c>
    </row>
    <row r="345" ht="15.75" customHeight="1">
      <c r="B345" s="2" t="s">
        <v>1037</v>
      </c>
      <c r="C345" s="2" t="s">
        <v>1038</v>
      </c>
      <c r="D345" s="2" t="s">
        <v>825</v>
      </c>
      <c r="E345" s="2" t="s">
        <v>14</v>
      </c>
      <c r="F345" s="2" t="s">
        <v>15</v>
      </c>
      <c r="G345" s="2" t="s">
        <v>1039</v>
      </c>
      <c r="H345" s="2" t="s">
        <v>495</v>
      </c>
      <c r="I345" s="2" t="str">
        <f>IFERROR(__xludf.DUMMYFUNCTION("GOOGLETRANSLATE(C345,""fr"",""en"")"),"Having a complementary health contract at the MGEN, I write this opinion to be known, that concerning me, the prices are very interesting and the guarantees relevant. Finally, a mutual that properly reimburses optical costs. The advisers are available and"&amp;" competent (both by telephone and agency). I recommend the MGEN in complementary health, without hesitation.")</f>
        <v>Having a complementary health contract at the MGEN, I write this opinion to be known, that concerning me, the prices are very interesting and the guarantees relevant. Finally, a mutual that properly reimburses optical costs. The advisers are available and competent (both by telephone and agency). I recommend the MGEN in complementary health, without hesitation.</v>
      </c>
    </row>
    <row r="346" ht="15.75" customHeight="1">
      <c r="B346" s="2" t="s">
        <v>1040</v>
      </c>
      <c r="C346" s="2" t="s">
        <v>1041</v>
      </c>
      <c r="D346" s="2" t="s">
        <v>825</v>
      </c>
      <c r="E346" s="2" t="s">
        <v>14</v>
      </c>
      <c r="F346" s="2" t="s">
        <v>15</v>
      </c>
      <c r="G346" s="2" t="s">
        <v>1042</v>
      </c>
      <c r="H346" s="2" t="s">
        <v>495</v>
      </c>
      <c r="I346" s="2" t="str">
        <f>IFERROR(__xludf.DUMMYFUNCTION("GOOGLETRANSLATE(C346,""fr"",""en"")"),"I asked, several months ago, an allocation request ""Help the mutualist helping"". In front of the papers to be filled (even completed, other formalities and so on) I have abandoned the project having the impression of doing alms. Which must funny the aff"&amp;"airs of the mutual that makes attractive offers but that does not hold them.")</f>
        <v>I asked, several months ago, an allocation request "Help the mutualist helping". In front of the papers to be filled (even completed, other formalities and so on) I have abandoned the project having the impression of doing alms. Which must funny the affairs of the mutual that makes attractive offers but that does not hold them.</v>
      </c>
    </row>
    <row r="347" ht="15.75" customHeight="1">
      <c r="B347" s="2" t="s">
        <v>1043</v>
      </c>
      <c r="C347" s="2" t="s">
        <v>1044</v>
      </c>
      <c r="D347" s="2" t="s">
        <v>825</v>
      </c>
      <c r="E347" s="2" t="s">
        <v>14</v>
      </c>
      <c r="F347" s="2" t="s">
        <v>15</v>
      </c>
      <c r="G347" s="2" t="s">
        <v>1045</v>
      </c>
      <c r="H347" s="2" t="s">
        <v>495</v>
      </c>
      <c r="I347" s="2" t="str">
        <f>IFERROR(__xludf.DUMMYFUNCTION("GOOGLETRANSLATE(C347,""fr"",""en"")"),"Very bureaucratic operation, ineffective website. Non -transparent decontentation of establishments and health professionals")</f>
        <v>Very bureaucratic operation, ineffective website. Non -transparent decontentation of establishments and health professionals</v>
      </c>
    </row>
    <row r="348" ht="15.75" customHeight="1">
      <c r="B348" s="2" t="s">
        <v>1046</v>
      </c>
      <c r="C348" s="2" t="s">
        <v>1047</v>
      </c>
      <c r="D348" s="2" t="s">
        <v>825</v>
      </c>
      <c r="E348" s="2" t="s">
        <v>14</v>
      </c>
      <c r="F348" s="2" t="s">
        <v>15</v>
      </c>
      <c r="G348" s="2" t="s">
        <v>1048</v>
      </c>
      <c r="H348" s="2" t="s">
        <v>1049</v>
      </c>
      <c r="I348" s="2" t="str">
        <f>IFERROR(__xludf.DUMMYFUNCTION("GOOGLETRANSLATE(C348,""fr"",""en"")"),"Member of the MGEN since I entered the EN J VE see the service deteriorate and the prices reaching summits. The relationship to the member lacks transparency with amounts of reimbursements which vary without clear information, a refusal of the dialogue in"&amp;" the event of protest and very high prices for minimum care.")</f>
        <v>Member of the MGEN since I entered the EN J VE see the service deteriorate and the prices reaching summits. The relationship to the member lacks transparency with amounts of reimbursements which vary without clear information, a refusal of the dialogue in the event of protest and very high prices for minimum care.</v>
      </c>
    </row>
    <row r="349" ht="15.75" customHeight="1">
      <c r="B349" s="2" t="s">
        <v>1050</v>
      </c>
      <c r="C349" s="2" t="s">
        <v>1051</v>
      </c>
      <c r="D349" s="2" t="s">
        <v>825</v>
      </c>
      <c r="E349" s="2" t="s">
        <v>14</v>
      </c>
      <c r="F349" s="2" t="s">
        <v>15</v>
      </c>
      <c r="G349" s="2" t="s">
        <v>1052</v>
      </c>
      <c r="H349" s="2" t="s">
        <v>499</v>
      </c>
      <c r="I349" s="2" t="str">
        <f>IFERROR(__xludf.DUMMYFUNCTION("GOOGLETRANSLATE(C349,""fr"",""en"")"),"Mgen Mutual to flee !! In 3 months no answer to my questions despite the reminders every week, between emails and telephone.")</f>
        <v>Mgen Mutual to flee !! In 3 months no answer to my questions despite the reminders every week, between emails and telephone.</v>
      </c>
    </row>
    <row r="350" ht="15.75" customHeight="1">
      <c r="B350" s="2" t="s">
        <v>1053</v>
      </c>
      <c r="C350" s="2" t="s">
        <v>1054</v>
      </c>
      <c r="D350" s="2" t="s">
        <v>825</v>
      </c>
      <c r="E350" s="2" t="s">
        <v>14</v>
      </c>
      <c r="F350" s="2" t="s">
        <v>15</v>
      </c>
      <c r="G350" s="2" t="s">
        <v>1055</v>
      </c>
      <c r="H350" s="2" t="s">
        <v>499</v>
      </c>
      <c r="I350" s="2" t="str">
        <f>IFERROR(__xludf.DUMMYFUNCTION("GOOGLETRANSLATE(C350,""fr"",""en"")"),"very strong to attract new supervisors, very long to honor their contracts")</f>
        <v>very strong to attract new supervisors, very long to honor their contracts</v>
      </c>
    </row>
    <row r="351" ht="15.75" customHeight="1">
      <c r="B351" s="2" t="s">
        <v>1056</v>
      </c>
      <c r="C351" s="2" t="s">
        <v>1057</v>
      </c>
      <c r="D351" s="2" t="s">
        <v>825</v>
      </c>
      <c r="E351" s="2" t="s">
        <v>14</v>
      </c>
      <c r="F351" s="2" t="s">
        <v>15</v>
      </c>
      <c r="G351" s="2" t="s">
        <v>1058</v>
      </c>
      <c r="H351" s="2" t="s">
        <v>1059</v>
      </c>
      <c r="I351" s="2" t="str">
        <f>IFERROR(__xludf.DUMMYFUNCTION("GOOGLETRANSLATE(C351,""fr"",""en"")"),"Nothing. I was at the MGET since 2013 which merged with MNT and MGEN. The MGET for my reimbursements tells me that I am not or no longer a member !!! I'm going to move there and it will heat")</f>
        <v>Nothing. I was at the MGET since 2013 which merged with MNT and MGEN. The MGET for my reimbursements tells me that I am not or no longer a member !!! I'm going to move there and it will heat</v>
      </c>
    </row>
    <row r="352" ht="15.75" customHeight="1">
      <c r="B352" s="2" t="s">
        <v>1060</v>
      </c>
      <c r="C352" s="2" t="s">
        <v>1061</v>
      </c>
      <c r="D352" s="2" t="s">
        <v>825</v>
      </c>
      <c r="E352" s="2" t="s">
        <v>14</v>
      </c>
      <c r="F352" s="2" t="s">
        <v>15</v>
      </c>
      <c r="G352" s="2" t="s">
        <v>1062</v>
      </c>
      <c r="H352" s="2" t="s">
        <v>516</v>
      </c>
      <c r="I352" s="2" t="str">
        <f>IFERROR(__xludf.DUMMYFUNCTION("GOOGLETRANSLATE(C352,""fr"",""en"")"),"I am very disappointed with the MGEN. Since I am there I had not had any problems concerning republishment, and now for 2 years following heavy health problems I have been going on there to obtain my reimbursements which are essential to me to continue to"&amp;" have A decent life. The unreachable telephone service, unless you have 1 hour to lose during the end of the unanswered. Refunds are still late or never happens if you don't call. This is frankly not practical when you have a lot of health costs and a sma"&amp;"ll salary. I therefore do not recommend the MGEN, because this mutual is seriously lacking in professionalism and rigor.")</f>
        <v>I am very disappointed with the MGEN. Since I am there I had not had any problems concerning republishment, and now for 2 years following heavy health problems I have been going on there to obtain my reimbursements which are essential to me to continue to have A decent life. The unreachable telephone service, unless you have 1 hour to lose during the end of the unanswered. Refunds are still late or never happens if you don't call. This is frankly not practical when you have a lot of health costs and a small salary. I therefore do not recommend the MGEN, because this mutual is seriously lacking in professionalism and rigor.</v>
      </c>
    </row>
    <row r="353" ht="15.75" customHeight="1">
      <c r="B353" s="2" t="s">
        <v>1063</v>
      </c>
      <c r="C353" s="2" t="s">
        <v>1064</v>
      </c>
      <c r="D353" s="2" t="s">
        <v>825</v>
      </c>
      <c r="E353" s="2" t="s">
        <v>14</v>
      </c>
      <c r="F353" s="2" t="s">
        <v>15</v>
      </c>
      <c r="G353" s="2" t="s">
        <v>1065</v>
      </c>
      <c r="H353" s="2" t="s">
        <v>526</v>
      </c>
      <c r="I353" s="2" t="str">
        <f>IFERROR(__xludf.DUMMYFUNCTION("GOOGLETRANSLATE(C353,""fr"",""en"")"),"I have been at MGEN since the age of 18. At that time, the MGEN was a real mutual, united and attentive to the members. Retired, MGEN disappoints me. I gave them a check (industrial payment) of € 45.26 on the last 10/16. They lost it, but they addressed s"&amp;"everal recovery letters to me and then a registered letter with AR, full of threats, including passing in court (!). They found the check in January and I gave my written agreement for collection. Since then, he has not been cashed: I will soon receive re"&amp;"minders and threats!
There are many losses, ridiculous dental reimbursements, answers to messages sent often off topic.")</f>
        <v>I have been at MGEN since the age of 18. At that time, the MGEN was a real mutual, united and attentive to the members. Retired, MGEN disappoints me. I gave them a check (industrial payment) of € 45.26 on the last 10/16. They lost it, but they addressed several recovery letters to me and then a registered letter with AR, full of threats, including passing in court (!). They found the check in January and I gave my written agreement for collection. Since then, he has not been cashed: I will soon receive reminders and threats!
There are many losses, ridiculous dental reimbursements, answers to messages sent often off topic.</v>
      </c>
    </row>
    <row r="354" ht="15.75" customHeight="1">
      <c r="B354" s="2" t="s">
        <v>1066</v>
      </c>
      <c r="C354" s="2" t="s">
        <v>1067</v>
      </c>
      <c r="D354" s="2" t="s">
        <v>825</v>
      </c>
      <c r="E354" s="2" t="s">
        <v>14</v>
      </c>
      <c r="F354" s="2" t="s">
        <v>15</v>
      </c>
      <c r="G354" s="2" t="s">
        <v>1068</v>
      </c>
      <c r="H354" s="2" t="s">
        <v>17</v>
      </c>
      <c r="I354" s="2" t="str">
        <f>IFERROR(__xludf.DUMMYFUNCTION("GOOGLETRANSLATE(C354,""fr"",""en"")"),"To terminate the mutual, you hang, count a little less than a year for it to become effective: 2 recommended with AR were not enough to make the termination effective: after having received a letter indicating that they have Well taken into account my req"&amp;"uest, they continue to take the mutual subscription for me 4 months later. I had an advisor on the phone who announced that it would take 6 weeks to have the repayment of the 4 months (around 400 euros) finding this shameful, I grabbed the mediator.
Good"&amp;" advice: flee!")</f>
        <v>To terminate the mutual, you hang, count a little less than a year for it to become effective: 2 recommended with AR were not enough to make the termination effective: after having received a letter indicating that they have Well taken into account my request, they continue to take the mutual subscription for me 4 months later. I had an advisor on the phone who announced that it would take 6 weeks to have the repayment of the 4 months (around 400 euros) finding this shameful, I grabbed the mediator.
Good advice: flee!</v>
      </c>
    </row>
    <row r="355" ht="15.75" customHeight="1">
      <c r="B355" s="2" t="s">
        <v>1069</v>
      </c>
      <c r="C355" s="2" t="s">
        <v>1070</v>
      </c>
      <c r="D355" s="2" t="s">
        <v>825</v>
      </c>
      <c r="E355" s="2" t="s">
        <v>14</v>
      </c>
      <c r="F355" s="2" t="s">
        <v>15</v>
      </c>
      <c r="G355" s="2" t="s">
        <v>1071</v>
      </c>
      <c r="H355" s="2" t="s">
        <v>17</v>
      </c>
      <c r="I355" s="2" t="str">
        <f>IFERROR(__xludf.DUMMYFUNCTION("GOOGLETRANSLATE(C355,""fr"",""en"")"),"I took a mutual insurance company in the MGEN in September 2015. I had to benefit from three free months and then pay 32 euros per month. Apparently, the direct debit I implemented with the advisor has never been validated. Today, they are asking me for 1"&amp;"348 euros to pay! While my annual subscription should not exceed 384! I am in the process of having an anxiety attack.
Tomorrow I will see them, terminate my contract and demand explanations! If they ever demand this sum again, I file a complaint!")</f>
        <v>I took a mutual insurance company in the MGEN in September 2015. I had to benefit from three free months and then pay 32 euros per month. Apparently, the direct debit I implemented with the advisor has never been validated. Today, they are asking me for 1348 euros to pay! While my annual subscription should not exceed 384! I am in the process of having an anxiety attack.
Tomorrow I will see them, terminate my contract and demand explanations! If they ever demand this sum again, I file a complaint!</v>
      </c>
    </row>
    <row r="356" ht="15.75" customHeight="1">
      <c r="B356" s="2" t="s">
        <v>1072</v>
      </c>
      <c r="C356" s="2" t="s">
        <v>1073</v>
      </c>
      <c r="D356" s="2" t="s">
        <v>825</v>
      </c>
      <c r="E356" s="2" t="s">
        <v>14</v>
      </c>
      <c r="F356" s="2" t="s">
        <v>15</v>
      </c>
      <c r="G356" s="2" t="s">
        <v>1074</v>
      </c>
      <c r="H356" s="2" t="s">
        <v>17</v>
      </c>
      <c r="I356" s="2" t="str">
        <f>IFERROR(__xludf.DUMMYFUNCTION("GOOGLETRANSLATE(C356,""fr"",""en"")"),"IT ""bugs"" that block the payment of services and a local incapacity to react to overcome them (it's not me is Paris).
Big concerns with the old MGET members taken up by MGEN")</f>
        <v>IT "bugs" that block the payment of services and a local incapacity to react to overcome them (it's not me is Paris).
Big concerns with the old MGET members taken up by MGEN</v>
      </c>
    </row>
    <row r="357" ht="15.75" customHeight="1">
      <c r="B357" s="2" t="s">
        <v>1075</v>
      </c>
      <c r="C357" s="2" t="s">
        <v>1076</v>
      </c>
      <c r="D357" s="2" t="s">
        <v>825</v>
      </c>
      <c r="E357" s="2" t="s">
        <v>14</v>
      </c>
      <c r="F357" s="2" t="s">
        <v>15</v>
      </c>
      <c r="G357" s="2" t="s">
        <v>1077</v>
      </c>
      <c r="H357" s="2" t="s">
        <v>17</v>
      </c>
      <c r="I357" s="2" t="str">
        <f>IFERROR(__xludf.DUMMYFUNCTION("GOOGLETRANSLATE(C357,""fr"",""en"")"),"A most deplorable follow -up, constantly lost and unmealing files. The price is excessive compared to what the mutual reimburses us. I moved several times to see an advisor and rectifying my gold file it has still not been done (start of the July 2016 pro"&amp;"cedures and we are in January 2017) !!!!")</f>
        <v>A most deplorable follow -up, constantly lost and unmealing files. The price is excessive compared to what the mutual reimburses us. I moved several times to see an advisor and rectifying my gold file it has still not been done (start of the July 2016 procedures and we are in January 2017) !!!!</v>
      </c>
    </row>
    <row r="358" ht="15.75" customHeight="1">
      <c r="B358" s="2" t="s">
        <v>1078</v>
      </c>
      <c r="C358" s="2" t="s">
        <v>1079</v>
      </c>
      <c r="D358" s="2" t="s">
        <v>825</v>
      </c>
      <c r="E358" s="2" t="s">
        <v>14</v>
      </c>
      <c r="F358" s="2" t="s">
        <v>15</v>
      </c>
      <c r="G358" s="2" t="s">
        <v>1080</v>
      </c>
      <c r="H358" s="2" t="s">
        <v>544</v>
      </c>
      <c r="I358" s="2" t="str">
        <f>IFERROR(__xludf.DUMMYFUNCTION("GOOGLETRANSLATE(C358,""fr"",""en"")"),"Hours spent on the phone to solve problems and that was not enough! Departmental mutuals and the headquarters do not communicate. My husband was on availability, he was therefore taken from our account and when he reinstated in they continued to take on t"&amp;"he account and on the salary when I had done the necessary and that I was told not to worry! Several months to recover the too perceived. Couac also with an insurance renegotiation for the mortgage, it lasted more than 6 months !!")</f>
        <v>Hours spent on the phone to solve problems and that was not enough! Departmental mutuals and the headquarters do not communicate. My husband was on availability, he was therefore taken from our account and when he reinstated in they continued to take on the account and on the salary when I had done the necessary and that I was told not to worry! Several months to recover the too perceived. Couac also with an insurance renegotiation for the mortgage, it lasted more than 6 months !!</v>
      </c>
    </row>
    <row r="359" ht="15.75" customHeight="1">
      <c r="B359" s="2" t="s">
        <v>1081</v>
      </c>
      <c r="C359" s="2" t="s">
        <v>1082</v>
      </c>
      <c r="D359" s="2" t="s">
        <v>825</v>
      </c>
      <c r="E359" s="2" t="s">
        <v>14</v>
      </c>
      <c r="F359" s="2" t="s">
        <v>15</v>
      </c>
      <c r="G359" s="2" t="s">
        <v>1083</v>
      </c>
      <c r="H359" s="2" t="s">
        <v>544</v>
      </c>
      <c r="I359" s="2" t="str">
        <f>IFERROR(__xludf.DUMMYFUNCTION("GOOGLETRANSLATE(C359,""fr"",""en"")"),"We have been fighting with them for a reimbursement of automatic samples that continue unnecessarily. Relances, emails, nothing helps. The letters are lost, the information must be raised every time, it is catastrophic. To flee!")</f>
        <v>We have been fighting with them for a reimbursement of automatic samples that continue unnecessarily. Relances, emails, nothing helps. The letters are lost, the information must be raised every time, it is catastrophic. To flee!</v>
      </c>
    </row>
    <row r="360" ht="15.75" customHeight="1">
      <c r="B360" s="2" t="s">
        <v>1084</v>
      </c>
      <c r="C360" s="2" t="s">
        <v>1085</v>
      </c>
      <c r="D360" s="2" t="s">
        <v>825</v>
      </c>
      <c r="E360" s="2" t="s">
        <v>14</v>
      </c>
      <c r="F360" s="2" t="s">
        <v>15</v>
      </c>
      <c r="G360" s="2" t="s">
        <v>1086</v>
      </c>
      <c r="H360" s="2" t="s">
        <v>544</v>
      </c>
      <c r="I360" s="2" t="str">
        <f>IFERROR(__xludf.DUMMYFUNCTION("GOOGLETRANSLATE(C360,""fr"",""en"")"),"For the same services, the subscription can be very variable. It is calculated directly as a percentage of the salary.
MGEN's motto could be ""earned more to pay more""")</f>
        <v>For the same services, the subscription can be very variable. It is calculated directly as a percentage of the salary.
MGEN's motto could be "earned more to pay more"</v>
      </c>
    </row>
    <row r="361" ht="15.75" customHeight="1">
      <c r="B361" s="2" t="s">
        <v>1087</v>
      </c>
      <c r="C361" s="2" t="s">
        <v>1088</v>
      </c>
      <c r="D361" s="2" t="s">
        <v>825</v>
      </c>
      <c r="E361" s="2" t="s">
        <v>14</v>
      </c>
      <c r="F361" s="2" t="s">
        <v>15</v>
      </c>
      <c r="G361" s="2" t="s">
        <v>1089</v>
      </c>
      <c r="H361" s="2" t="s">
        <v>24</v>
      </c>
      <c r="I361" s="2" t="str">
        <f>IFERROR(__xludf.DUMMYFUNCTION("GOOGLETRANSLATE(C361,""fr"",""en"")"),"Following the merger of the MGET with the MGEN. My file is empty. I was declared Primo access for the antigripping vaccine. I did not have the reimbursement of the mutual part for a specialist before operation of the foot in a mutualist clinic. The specif"&amp;"ic questions remain unanswered. No possibility of contacting a manager. Fortunately there is the mediator of the French mutuality. I obtained satisfaction for the issuance of a vaccine without going beforehand by a doctor. I made a second recourse for the"&amp;" payment of the mutual part at the mutualist clinic, without my advance.")</f>
        <v>Following the merger of the MGET with the MGEN. My file is empty. I was declared Primo access for the antigripping vaccine. I did not have the reimbursement of the mutual part for a specialist before operation of the foot in a mutualist clinic. The specific questions remain unanswered. No possibility of contacting a manager. Fortunately there is the mediator of the French mutuality. I obtained satisfaction for the issuance of a vaccine without going beforehand by a doctor. I made a second recourse for the payment of the mutual part at the mutualist clinic, without my advance.</v>
      </c>
    </row>
    <row r="362" ht="15.75" customHeight="1">
      <c r="B362" s="2" t="s">
        <v>1090</v>
      </c>
      <c r="C362" s="2" t="s">
        <v>1091</v>
      </c>
      <c r="D362" s="2" t="s">
        <v>1092</v>
      </c>
      <c r="E362" s="2" t="s">
        <v>14</v>
      </c>
      <c r="F362" s="2" t="s">
        <v>15</v>
      </c>
      <c r="G362" s="2" t="s">
        <v>1093</v>
      </c>
      <c r="H362" s="2" t="s">
        <v>29</v>
      </c>
      <c r="I362" s="2" t="str">
        <f>IFERROR(__xludf.DUMMYFUNCTION("GOOGLETRANSLATE(C362,""fr"",""en"")"),"A member for a dozen years in Mutual Harmonie, I saw the contributions increase in considerable proportions!
Example: subscription planned for 2022 up 9.07% out of 2021, or up 15.3% on 2020 !!!
And with a very average reimbursement level.")</f>
        <v>A member for a dozen years in Mutual Harmonie, I saw the contributions increase in considerable proportions!
Example: subscription planned for 2022 up 9.07% out of 2021, or up 15.3% on 2020 !!!
And with a very average reimbursement level.</v>
      </c>
    </row>
    <row r="363" ht="15.75" customHeight="1">
      <c r="B363" s="2" t="s">
        <v>1094</v>
      </c>
      <c r="C363" s="2" t="s">
        <v>1095</v>
      </c>
      <c r="D363" s="2" t="s">
        <v>1092</v>
      </c>
      <c r="E363" s="2" t="s">
        <v>14</v>
      </c>
      <c r="F363" s="2" t="s">
        <v>15</v>
      </c>
      <c r="G363" s="2" t="s">
        <v>1096</v>
      </c>
      <c r="H363" s="2" t="s">
        <v>555</v>
      </c>
      <c r="I363" s="2" t="str">
        <f>IFERROR(__xludf.DUMMYFUNCTION("GOOGLETRANSLATE(C363,""fr"",""en"")"),"To flee !!! Departure in retirement at the beginning of August therefore terminated via my employer, I regained contact by phone after having come across a messaging an interlocutor who put 35 mm to treat my new contract told me we do not count August con"&amp;"tract received by mail in October or A month later and I am surprised to see a levy of 452 euros for 4 months from August to November without informed me. I moved to the agency I came across a woman who sent me on the roses in 3 minutes in Saying you must"&amp;" not have to discuss or make a stagnation I specify that since mid September it is a new n • of a member I have sent 5 emails no answers it does not surprise me to read the reviews here")</f>
        <v>To flee !!! Departure in retirement at the beginning of August therefore terminated via my employer, I regained contact by phone after having come across a messaging an interlocutor who put 35 mm to treat my new contract told me we do not count August contract received by mail in October or A month later and I am surprised to see a levy of 452 euros for 4 months from August to November without informed me. I moved to the agency I came across a woman who sent me on the roses in 3 minutes in Saying you must not have to discuss or make a stagnation I specify that since mid September it is a new n • of a member I have sent 5 emails no answers it does not surprise me to read the reviews here</v>
      </c>
    </row>
    <row r="364" ht="15.75" customHeight="1">
      <c r="B364" s="2" t="s">
        <v>1097</v>
      </c>
      <c r="C364" s="2" t="s">
        <v>1098</v>
      </c>
      <c r="D364" s="2" t="s">
        <v>1092</v>
      </c>
      <c r="E364" s="2" t="s">
        <v>14</v>
      </c>
      <c r="F364" s="2" t="s">
        <v>15</v>
      </c>
      <c r="G364" s="2" t="s">
        <v>554</v>
      </c>
      <c r="H364" s="2" t="s">
        <v>555</v>
      </c>
      <c r="I364" s="2" t="str">
        <f>IFERROR(__xludf.DUMMYFUNCTION("GOOGLETRANSLATE(C364,""fr"",""en"")"),"Impossible to have someone by phone I asked that an advisor reminds me of more than 10 days ago.
I'm still waiting, nobody recalled. I sent an email to the Riom agency still no answer.
When I connect to my account I see the refunds, but not possible to "&amp;"send the invoices to be reimbursed.
I hope I have an answer.
Thanks in advance.")</f>
        <v>Impossible to have someone by phone I asked that an advisor reminds me of more than 10 days ago.
I'm still waiting, nobody recalled. I sent an email to the Riom agency still no answer.
When I connect to my account I see the refunds, but not possible to send the invoices to be reimbursed.
I hope I have an answer.
Thanks in advance.</v>
      </c>
    </row>
    <row r="365" ht="15.75" customHeight="1">
      <c r="B365" s="2" t="s">
        <v>1099</v>
      </c>
      <c r="C365" s="2" t="s">
        <v>1100</v>
      </c>
      <c r="D365" s="2" t="s">
        <v>1092</v>
      </c>
      <c r="E365" s="2" t="s">
        <v>14</v>
      </c>
      <c r="F365" s="2" t="s">
        <v>15</v>
      </c>
      <c r="G365" s="2" t="s">
        <v>1101</v>
      </c>
      <c r="H365" s="2" t="s">
        <v>39</v>
      </c>
      <c r="I365" s="2" t="str">
        <f>IFERROR(__xludf.DUMMYFUNCTION("GOOGLETRANSLATE(C365,""fr"",""en"")"),"Very friendly staff but general skill 0/5
An administrative still ...
""On"" was supposed to have gone to the moon, it's not with their teams
")</f>
        <v>Very friendly staff but general skill 0/5
An administrative still ...
"On" was supposed to have gone to the moon, it's not with their teams
</v>
      </c>
    </row>
    <row r="366" ht="15.75" customHeight="1">
      <c r="B366" s="2" t="s">
        <v>1102</v>
      </c>
      <c r="C366" s="2" t="s">
        <v>1103</v>
      </c>
      <c r="D366" s="2" t="s">
        <v>1092</v>
      </c>
      <c r="E366" s="2" t="s">
        <v>14</v>
      </c>
      <c r="F366" s="2" t="s">
        <v>15</v>
      </c>
      <c r="G366" s="2" t="s">
        <v>49</v>
      </c>
      <c r="H366" s="2" t="s">
        <v>43</v>
      </c>
      <c r="I366" s="2" t="str">
        <f>IFERROR(__xludf.DUMMYFUNCTION("GOOGLETRANSLATE(C366,""fr"",""en"")"),"I do not recommend this mutual insurance company, since April 2021 I want to terminate my son's contract because he now has a mandatory mutual and it is impossible to terminate it is still missing a paper they are very long to respond to messages! To date"&amp;" on July 21, my son is still taken and nothing moves !!! disaster ??")</f>
        <v>I do not recommend this mutual insurance company, since April 2021 I want to terminate my son's contract because he now has a mandatory mutual and it is impossible to terminate it is still missing a paper they are very long to respond to messages! To date on July 21, my son is still taken and nothing moves !!! disaster ??</v>
      </c>
    </row>
    <row r="367" ht="15.75" customHeight="1">
      <c r="B367" s="2" t="s">
        <v>1104</v>
      </c>
      <c r="C367" s="2" t="s">
        <v>1105</v>
      </c>
      <c r="D367" s="2" t="s">
        <v>1092</v>
      </c>
      <c r="E367" s="2" t="s">
        <v>14</v>
      </c>
      <c r="F367" s="2" t="s">
        <v>15</v>
      </c>
      <c r="G367" s="2" t="s">
        <v>584</v>
      </c>
      <c r="H367" s="2" t="s">
        <v>43</v>
      </c>
      <c r="I367" s="2" t="str">
        <f>IFERROR(__xludf.DUMMYFUNCTION("GOOGLETRANSLATE(C367,""fr"",""en"")"),"Mutual bad in terms of prices as when you reimburse, it we give me a mutual, supposedly in accordance with my needs and I find myself paying my care each time and the rest, at no time I have free reimbursement , we are in France anyway. I strongly advise "&amp;"against it !!!")</f>
        <v>Mutual bad in terms of prices as when you reimburse, it we give me a mutual, supposedly in accordance with my needs and I find myself paying my care each time and the rest, at no time I have free reimbursement , we are in France anyway. I strongly advise against it !!!</v>
      </c>
    </row>
    <row r="368" ht="15.75" customHeight="1">
      <c r="B368" s="2" t="s">
        <v>1106</v>
      </c>
      <c r="C368" s="2" t="s">
        <v>1107</v>
      </c>
      <c r="D368" s="2" t="s">
        <v>1092</v>
      </c>
      <c r="E368" s="2" t="s">
        <v>14</v>
      </c>
      <c r="F368" s="2" t="s">
        <v>15</v>
      </c>
      <c r="G368" s="2" t="s">
        <v>1108</v>
      </c>
      <c r="H368" s="2" t="s">
        <v>43</v>
      </c>
      <c r="I368" s="2" t="str">
        <f>IFERROR(__xludf.DUMMYFUNCTION("GOOGLETRANSLATE(C368,""fr"",""en"")"),"While a mutual harmony is late in my file, they take me without warning € 160. I therefore could neither manage temporary opposition with the bank, nor to obtain a staggered having been warned the day before.")</f>
        <v>While a mutual harmony is late in my file, they take me without warning € 160. I therefore could neither manage temporary opposition with the bank, nor to obtain a staggered having been warned the day before.</v>
      </c>
    </row>
    <row r="369" ht="15.75" customHeight="1">
      <c r="B369" s="2" t="s">
        <v>1109</v>
      </c>
      <c r="C369" s="2" t="s">
        <v>1110</v>
      </c>
      <c r="D369" s="2" t="s">
        <v>1092</v>
      </c>
      <c r="E369" s="2" t="s">
        <v>14</v>
      </c>
      <c r="F369" s="2" t="s">
        <v>15</v>
      </c>
      <c r="G369" s="2" t="s">
        <v>604</v>
      </c>
      <c r="H369" s="2" t="s">
        <v>56</v>
      </c>
      <c r="I369" s="2" t="str">
        <f>IFERROR(__xludf.DUMMYFUNCTION("GOOGLETRANSLATE(C369,""fr"",""en"")"),"Worse mutual never encountered. To run away absolutely.
Start by refusing any refund, gives no explanation if you do not contact them. A horror to contact. The various interlocutors are not aware of what was said previously making any sterile discussions"&amp;" (you repeat yourself without ever advancing ... I think it is voluntary).
Such slowness when it is in your interest and such a liveliness when it is in theirs ... What more can they say.
I never had to do at worst business, not mutual, but any sector"&amp;" combined. No interaction has never happened quietly in 2 years ...
")</f>
        <v>Worse mutual never encountered. To run away absolutely.
Start by refusing any refund, gives no explanation if you do not contact them. A horror to contact. The various interlocutors are not aware of what was said previously making any sterile discussions (you repeat yourself without ever advancing ... I think it is voluntary).
Such slowness when it is in your interest and such a liveliness when it is in theirs ... What more can they say.
I never had to do at worst business, not mutual, but any sector combined. No interaction has never happened quietly in 2 years ...
</v>
      </c>
    </row>
    <row r="370" ht="15.75" customHeight="1">
      <c r="B370" s="2" t="s">
        <v>1111</v>
      </c>
      <c r="C370" s="2" t="s">
        <v>1112</v>
      </c>
      <c r="D370" s="2" t="s">
        <v>1092</v>
      </c>
      <c r="E370" s="2" t="s">
        <v>14</v>
      </c>
      <c r="F370" s="2" t="s">
        <v>15</v>
      </c>
      <c r="G370" s="2" t="s">
        <v>1113</v>
      </c>
      <c r="H370" s="2" t="s">
        <v>56</v>
      </c>
      <c r="I370" s="2" t="str">
        <f>IFERROR(__xludf.DUMMYFUNCTION("GOOGLETRANSLATE(C370,""fr"",""en"")"),"Very slow ! Very complicated !
They were mistaken in my date of birth when subscribing to my contract ... which blocked all my reimbursements and took them 6 months to correct this error. After correction, health insurance gave me the copies of all the c"&amp;"osts I had advanced, but Harmonie Mutuelle refused to reimburse me, because I could not provide the ""cash tickets"" of pharmacy that I obviously had not kept. Health insurance confirmed to me that it was not normal.
When it works ""normally"", reimbur"&amp;"sements take a long time compared to my old and new METUALS, approximately 2 months of delay.
When you go to see elsewhere, they are in contrast, since you immediately harass your voice messages to take out a new contract, when you had already mentioned "&amp;"that you did not want to continue with them.")</f>
        <v>Very slow ! Very complicated !
They were mistaken in my date of birth when subscribing to my contract ... which blocked all my reimbursements and took them 6 months to correct this error. After correction, health insurance gave me the copies of all the costs I had advanced, but Harmonie Mutuelle refused to reimburse me, because I could not provide the "cash tickets" of pharmacy that I obviously had not kept. Health insurance confirmed to me that it was not normal.
When it works "normally", reimbursements take a long time compared to my old and new METUALS, approximately 2 months of delay.
When you go to see elsewhere, they are in contrast, since you immediately harass your voice messages to take out a new contract, when you had already mentioned that you did not want to continue with them.</v>
      </c>
    </row>
    <row r="371" ht="15.75" customHeight="1">
      <c r="B371" s="2" t="s">
        <v>1114</v>
      </c>
      <c r="C371" s="2" t="s">
        <v>1115</v>
      </c>
      <c r="D371" s="2" t="s">
        <v>1092</v>
      </c>
      <c r="E371" s="2" t="s">
        <v>14</v>
      </c>
      <c r="F371" s="2" t="s">
        <v>15</v>
      </c>
      <c r="G371" s="2" t="s">
        <v>622</v>
      </c>
      <c r="H371" s="2" t="s">
        <v>69</v>
      </c>
      <c r="I371" s="2" t="str">
        <f>IFERROR(__xludf.DUMMYFUNCTION("GOOGLETRANSLATE(C371,""fr"",""en"")"),"Mutual to flee
Do not commit yourself or you will regret it because if you want to terminate after a year in complete legitimacy, they continue to debit and harass you")</f>
        <v>Mutual to flee
Do not commit yourself or you will regret it because if you want to terminate after a year in complete legitimacy, they continue to debit and harass you</v>
      </c>
    </row>
    <row r="372" ht="15.75" customHeight="1">
      <c r="B372" s="2" t="s">
        <v>1116</v>
      </c>
      <c r="C372" s="2" t="s">
        <v>1117</v>
      </c>
      <c r="D372" s="2" t="s">
        <v>1092</v>
      </c>
      <c r="E372" s="2" t="s">
        <v>14</v>
      </c>
      <c r="F372" s="2" t="s">
        <v>15</v>
      </c>
      <c r="G372" s="2" t="s">
        <v>1118</v>
      </c>
      <c r="H372" s="2" t="s">
        <v>69</v>
      </c>
      <c r="I372" s="2" t="str">
        <f>IFERROR(__xludf.DUMMYFUNCTION("GOOGLETRANSLATE(C372,""fr"",""en"")"),"Worse mutual never subscribed. 100% of my interactions with them went wrong. Even when I attached my partner, I bring them a clear client, even it went badly ... Today I will refuse a position if the business mutual is at home. If I could put 0 it would b"&amp;"e much fairer.")</f>
        <v>Worse mutual never subscribed. 100% of my interactions with them went wrong. Even when I attached my partner, I bring them a clear client, even it went badly ... Today I will refuse a position if the business mutual is at home. If I could put 0 it would be much fairer.</v>
      </c>
    </row>
    <row r="373" ht="15.75" customHeight="1">
      <c r="B373" s="2" t="s">
        <v>1119</v>
      </c>
      <c r="C373" s="2" t="s">
        <v>1120</v>
      </c>
      <c r="D373" s="2" t="s">
        <v>1092</v>
      </c>
      <c r="E373" s="2" t="s">
        <v>14</v>
      </c>
      <c r="F373" s="2" t="s">
        <v>15</v>
      </c>
      <c r="G373" s="2" t="s">
        <v>1121</v>
      </c>
      <c r="H373" s="2" t="s">
        <v>69</v>
      </c>
      <c r="I373" s="2" t="str">
        <f>IFERROR(__xludf.DUMMYFUNCTION("GOOGLETRANSLATE(C373,""fr"",""en"")"),"Please note that care be careful my parents signed the contract with the ACS and in this contract there was a funeral guarantee of € 2,000 if one of my parents died, then we end the end we renew in the meantime ACS but the ass then my mother dies and you "&amp;"know what we are told that the funeral guarantee is no longer valid since we have renewed the contract with the ASS when Harmonie Mutuelle has ever warned us, C ' They are the ones who cash in every month it is up to them to warn us. Here I had to warn a "&amp;"little everyone then I would head to the different social networks and to all my loved ones who are insured at Harmonie Mutuelle Check your contracts and those of your loved ones. Attention distrust.")</f>
        <v>Please note that care be careful my parents signed the contract with the ACS and in this contract there was a funeral guarantee of € 2,000 if one of my parents died, then we end the end we renew in the meantime ACS but the ass then my mother dies and you know what we are told that the funeral guarantee is no longer valid since we have renewed the contract with the ASS when Harmonie Mutuelle has ever warned us, C ' They are the ones who cash in every month it is up to them to warn us. Here I had to warn a little everyone then I would head to the different social networks and to all my loved ones who are insured at Harmonie Mutuelle Check your contracts and those of your loved ones. Attention distrust.</v>
      </c>
    </row>
    <row r="374" ht="15.75" customHeight="1">
      <c r="B374" s="2" t="s">
        <v>1122</v>
      </c>
      <c r="C374" s="2" t="s">
        <v>1123</v>
      </c>
      <c r="D374" s="2" t="s">
        <v>1092</v>
      </c>
      <c r="E374" s="2" t="s">
        <v>14</v>
      </c>
      <c r="F374" s="2" t="s">
        <v>15</v>
      </c>
      <c r="G374" s="2" t="s">
        <v>1124</v>
      </c>
      <c r="H374" s="2" t="s">
        <v>79</v>
      </c>
      <c r="I374" s="2" t="str">
        <f>IFERROR(__xludf.DUMMYFUNCTION("GOOGLETRANSLATE(C374,""fr"",""en"")"),"Insured for many years, a member of the FNATH GROUPE CONTRACT, Average increase in health insurance contributions in 2021 of 4.3% is already too much. Well mutual harmony for me more 10% then mutualism or authentic capitalism, to flee")</f>
        <v>Insured for many years, a member of the FNATH GROUPE CONTRACT, Average increase in health insurance contributions in 2021 of 4.3% is already too much. Well mutual harmony for me more 10% then mutualism or authentic capitalism, to flee</v>
      </c>
    </row>
    <row r="375" ht="15.75" customHeight="1">
      <c r="B375" s="2" t="s">
        <v>1125</v>
      </c>
      <c r="C375" s="2" t="s">
        <v>1126</v>
      </c>
      <c r="D375" s="2" t="s">
        <v>1092</v>
      </c>
      <c r="E375" s="2" t="s">
        <v>14</v>
      </c>
      <c r="F375" s="2" t="s">
        <v>15</v>
      </c>
      <c r="G375" s="2" t="s">
        <v>1127</v>
      </c>
      <c r="H375" s="2" t="s">
        <v>79</v>
      </c>
      <c r="I375" s="2" t="str">
        <f>IFERROR(__xludf.DUMMYFUNCTION("GOOGLETRANSLATE(C375,""fr"",""en"")"),"Very very disappointed !!!!!!
6 months that I pay when it has been 6 months since I asked for the termination! 350 € in all !!
Always a lack that is missing or lost when I sent exactly what was required.
A lack of total professionalism and lies. Again "&amp;"this month if I was taken when I still sent the papers before the dates. It is shameful !!!! I do not recommend any mutual harmony. And I ask for reimbursement if not radical proceedings.")</f>
        <v>Very very disappointed !!!!!!
6 months that I pay when it has been 6 months since I asked for the termination! 350 € in all !!
Always a lack that is missing or lost when I sent exactly what was required.
A lack of total professionalism and lies. Again this month if I was taken when I still sent the papers before the dates. It is shameful !!!! I do not recommend any mutual harmony. And I ask for reimbursement if not radical proceedings.</v>
      </c>
    </row>
    <row r="376" ht="15.75" customHeight="1">
      <c r="B376" s="2" t="s">
        <v>1128</v>
      </c>
      <c r="C376" s="2" t="s">
        <v>1129</v>
      </c>
      <c r="D376" s="2" t="s">
        <v>1092</v>
      </c>
      <c r="E376" s="2" t="s">
        <v>14</v>
      </c>
      <c r="F376" s="2" t="s">
        <v>15</v>
      </c>
      <c r="G376" s="2" t="s">
        <v>329</v>
      </c>
      <c r="H376" s="2" t="s">
        <v>92</v>
      </c>
      <c r="I376" s="2" t="str">
        <f>IFERROR(__xludf.DUMMYFUNCTION("GOOGLETRANSLATE(C376,""fr"",""en"")"),"I put zero.
 They demand the contribution of the 1st quarter of 2021 while the check was cashed on January 5! ! ! What to do ?
Since I was at this mutual, they constantly make mistakes, sends the same doc and their opposite several times, etc ... and ne"&amp;"ver apologize!
Bureaucratic incompetence, or perhaps a way of turning people who are expensive, in other words too sick?")</f>
        <v>I put zero.
 They demand the contribution of the 1st quarter of 2021 while the check was cashed on January 5! ! ! What to do ?
Since I was at this mutual, they constantly make mistakes, sends the same doc and their opposite several times, etc ... and never apologize!
Bureaucratic incompetence, or perhaps a way of turning people who are expensive, in other words too sick?</v>
      </c>
    </row>
    <row r="377" ht="15.75" customHeight="1">
      <c r="B377" s="2" t="s">
        <v>1130</v>
      </c>
      <c r="C377" s="2" t="s">
        <v>1131</v>
      </c>
      <c r="D377" s="2" t="s">
        <v>1092</v>
      </c>
      <c r="E377" s="2" t="s">
        <v>14</v>
      </c>
      <c r="F377" s="2" t="s">
        <v>15</v>
      </c>
      <c r="G377" s="2" t="s">
        <v>1132</v>
      </c>
      <c r="H377" s="2" t="s">
        <v>92</v>
      </c>
      <c r="I377" s="2" t="str">
        <f>IFERROR(__xludf.DUMMYFUNCTION("GOOGLETRANSLATE(C377,""fr"",""en"")"),"If I could put 0 sincerely this is the note that I would have put.
If you are looking for a mutual insurance for advice do not choose mutual harmony.
I have terminated my contract with them since 2017.
And every year I have a small letter from their sh"&amp;"ares claiming me from Indus and what is craziest is that each year the amount changes if I had been able to make the screenshots to show the proof. And when you call the litigation service we are not able to explain why but we force you to pay.
And when "&amp;"you ask for a manager even this is the cross and the banner.
An old client exasperated and the word is weak.")</f>
        <v>If I could put 0 sincerely this is the note that I would have put.
If you are looking for a mutual insurance for advice do not choose mutual harmony.
I have terminated my contract with them since 2017.
And every year I have a small letter from their shares claiming me from Indus and what is craziest is that each year the amount changes if I had been able to make the screenshots to show the proof. And when you call the litigation service we are not able to explain why but we force you to pay.
And when you ask for a manager even this is the cross and the banner.
An old client exasperated and the word is weak.</v>
      </c>
    </row>
    <row r="378" ht="15.75" customHeight="1">
      <c r="B378" s="2" t="s">
        <v>1133</v>
      </c>
      <c r="C378" s="2" t="s">
        <v>1134</v>
      </c>
      <c r="D378" s="2" t="s">
        <v>1092</v>
      </c>
      <c r="E378" s="2" t="s">
        <v>14</v>
      </c>
      <c r="F378" s="2" t="s">
        <v>15</v>
      </c>
      <c r="G378" s="2" t="s">
        <v>92</v>
      </c>
      <c r="H378" s="2" t="s">
        <v>92</v>
      </c>
      <c r="I378" s="2" t="str">
        <f>IFERROR(__xludf.DUMMYFUNCTION("GOOGLETRANSLATE(C378,""fr"",""en"")"),"Now that I have discovered this site, I can finally express myself and finally be read.
Before ProBTP (opinion already filed), I was at Harmonie Mutuelle for at least 10 years (formerly Touraine Mutualiste about me)
I asked for a refund for dental care "&amp;"(and not a luxury, just ""real"" care). Answer, ""You have no care!""
I was never sick, I didn't cost them anything.
One day I needed it, and I was not even referred, no additional explanation that ""you have no care!""
Disgusted, I send a recommended "&amp;"at the end of October for termination (you have to stop being stupid anyway)
I am written on me of the following year that I have not paid since the beginning of January and I am threatened with prosecution!
I send an email indicating the date of the ma"&amp;"il and recommended it.
I am asked for the copy of the mail and a photocopy of the recommended!
Hallucing, I only send a copy of the darkened registered mail to October 31.
No more return.
Ok, I tell myself that finally I will make me peace.
They rema"&amp;"ined ""grafted"" on my Améli account without having the possibility of withdrawing them (gray area), they alone are it to do so.
I write again, never the slightest return.
For months, the care data could not be telework because Harmonie Mutuelle occupie"&amp;"d the place!
It was finally the CPAM which left me access and the choice to remove them, but after sending me lots of emails stipulating me to contact Harmonie.
Thank you anyway.
And ashamed to this mutual, threats and bad faith are put in them.
And f"&amp;"inally the Mutual ProBTP took place and the reimbursements have finally taken place, for the moment.
Because with the foresight for work stoppage .. I do not touch anything, nothing, nothing, unreachable than contempt!
See my opinion on this subject =&gt; "&amp;"Probtp Provident
Thank you for reading and watch out for you, future subscribers, mutual harmony are like most, you pay, everything seems ok, except that the day of checkout or departure, we threaten you or we swing you a simple refusal without explanati"&amp;"on .")</f>
        <v>Now that I have discovered this site, I can finally express myself and finally be read.
Before ProBTP (opinion already filed), I was at Harmonie Mutuelle for at least 10 years (formerly Touraine Mutualiste about me)
I asked for a refund for dental care (and not a luxury, just "real" care). Answer, "You have no care!"
I was never sick, I didn't cost them anything.
One day I needed it, and I was not even referred, no additional explanation that "you have no care!"
Disgusted, I send a recommended at the end of October for termination (you have to stop being stupid anyway)
I am written on me of the following year that I have not paid since the beginning of January and I am threatened with prosecution!
I send an email indicating the date of the mail and recommended it.
I am asked for the copy of the mail and a photocopy of the recommended!
Hallucing, I only send a copy of the darkened registered mail to October 31.
No more return.
Ok, I tell myself that finally I will make me peace.
They remained "grafted" on my Améli account without having the possibility of withdrawing them (gray area), they alone are it to do so.
I write again, never the slightest return.
For months, the care data could not be telework because Harmonie Mutuelle occupied the place!
It was finally the CPAM which left me access and the choice to remove them, but after sending me lots of emails stipulating me to contact Harmonie.
Thank you anyway.
And ashamed to this mutual, threats and bad faith are put in them.
And finally the Mutual ProBTP took place and the reimbursements have finally taken place, for the moment.
Because with the foresight for work stoppage .. I do not touch anything, nothing, nothing, unreachable than contempt!
See my opinion on this subject =&gt; Probtp Provident
Thank you for reading and watch out for you, future subscribers, mutual harmony are like most, you pay, everything seems ok, except that the day of checkout or departure, we threaten you or we swing you a simple refusal without explanation .</v>
      </c>
    </row>
    <row r="379" ht="15.75" customHeight="1">
      <c r="B379" s="2" t="s">
        <v>1135</v>
      </c>
      <c r="C379" s="2" t="s">
        <v>1136</v>
      </c>
      <c r="D379" s="2" t="s">
        <v>1092</v>
      </c>
      <c r="E379" s="2" t="s">
        <v>14</v>
      </c>
      <c r="F379" s="2" t="s">
        <v>15</v>
      </c>
      <c r="G379" s="2" t="s">
        <v>1137</v>
      </c>
      <c r="H379" s="2" t="s">
        <v>101</v>
      </c>
      <c r="I379" s="2" t="str">
        <f>IFERROR(__xludf.DUMMYFUNCTION("GOOGLETRANSLATE(C379,""fr"",""en"")"),"Mutual to flee! Unable to have someone competent on the phone, even after 30 minutes of waiting. For slower termination there is not, 3 months or: 1 registered mail (with all supporting documents), 1 simple mail (with the same parts), and a message in eac"&amp;"h possible dialog box!
")</f>
        <v>Mutual to flee! Unable to have someone competent on the phone, even after 30 minutes of waiting. For slower termination there is not, 3 months or: 1 registered mail (with all supporting documents), 1 simple mail (with the same parts), and a message in each possible dialog box!
</v>
      </c>
    </row>
    <row r="380" ht="15.75" customHeight="1">
      <c r="B380" s="2" t="s">
        <v>1138</v>
      </c>
      <c r="C380" s="2" t="s">
        <v>1139</v>
      </c>
      <c r="D380" s="2" t="s">
        <v>1092</v>
      </c>
      <c r="E380" s="2" t="s">
        <v>14</v>
      </c>
      <c r="F380" s="2" t="s">
        <v>15</v>
      </c>
      <c r="G380" s="2" t="s">
        <v>1140</v>
      </c>
      <c r="H380" s="2" t="s">
        <v>101</v>
      </c>
      <c r="I380" s="2" t="str">
        <f>IFERROR(__xludf.DUMMYFUNCTION("GOOGLETRANSLATE(C380,""fr"",""en"")"),"Hello, retired since August 2020 I wanted to change additional. Mutual harmony that has become too expensive for me. I have
Resiliated with LR since December, but continuous to take the subscription.
I would like, to be reimbursed for these samples but "&amp;"how to do it?
 Impossible to reach them by phone,")</f>
        <v>Hello, retired since August 2020 I wanted to change additional. Mutual harmony that has become too expensive for me. I have
Resiliated with LR since December, but continuous to take the subscription.
I would like, to be reimbursed for these samples but how to do it?
 Impossible to reach them by phone,</v>
      </c>
    </row>
    <row r="381" ht="15.75" customHeight="1">
      <c r="B381" s="2" t="s">
        <v>1141</v>
      </c>
      <c r="C381" s="2" t="s">
        <v>1142</v>
      </c>
      <c r="D381" s="2" t="s">
        <v>1092</v>
      </c>
      <c r="E381" s="2" t="s">
        <v>14</v>
      </c>
      <c r="F381" s="2" t="s">
        <v>15</v>
      </c>
      <c r="G381" s="2" t="s">
        <v>1143</v>
      </c>
      <c r="H381" s="2" t="s">
        <v>101</v>
      </c>
      <c r="I381" s="2" t="str">
        <f>IFERROR(__xludf.DUMMYFUNCTION("GOOGLETRANSLATE(C381,""fr"",""en"")"),"I do not recommend this mutual.
Be very vigilant when you subscribe to your membership.
Customer service never responds and advisers are extremely unpleasant.
To flee as soon as possible.
The prices are prohibitive and the reimbursement is very low.
"&amp;"However, I have taken out a contract with so -called the maximum guarantee.
I am very very dissatisfied.")</f>
        <v>I do not recommend this mutual.
Be very vigilant when you subscribe to your membership.
Customer service never responds and advisers are extremely unpleasant.
To flee as soon as possible.
The prices are prohibitive and the reimbursement is very low.
However, I have taken out a contract with so -called the maximum guarantee.
I am very very dissatisfied.</v>
      </c>
    </row>
    <row r="382" ht="15.75" customHeight="1">
      <c r="B382" s="2" t="s">
        <v>1144</v>
      </c>
      <c r="C382" s="2" t="s">
        <v>1145</v>
      </c>
      <c r="D382" s="2" t="s">
        <v>1092</v>
      </c>
      <c r="E382" s="2" t="s">
        <v>14</v>
      </c>
      <c r="F382" s="2" t="s">
        <v>15</v>
      </c>
      <c r="G382" s="2" t="s">
        <v>865</v>
      </c>
      <c r="H382" s="2" t="s">
        <v>101</v>
      </c>
      <c r="I382" s="2" t="str">
        <f>IFERROR(__xludf.DUMMYFUNCTION("GOOGLETRANSLATE(C382,""fr"",""en"")"),"Unjustable on the phone
Called 20 times and ten minutes of waiting instead of the 5 minutes announced,
And no one answers !!!!
On the two phone numbers 09 ... and 08 ...
Surcharged number and no one responds.
Please remember please.
??????????????")</f>
        <v>Unjustable on the phone
Called 20 times and ten minutes of waiting instead of the 5 minutes announced,
And no one answers !!!!
On the two phone numbers 09 ... and 08 ...
Surcharged number and no one responds.
Please remember please.
??????????????</v>
      </c>
    </row>
    <row r="383" ht="15.75" customHeight="1">
      <c r="B383" s="2" t="s">
        <v>1146</v>
      </c>
      <c r="C383" s="2" t="s">
        <v>1147</v>
      </c>
      <c r="D383" s="2" t="s">
        <v>1092</v>
      </c>
      <c r="E383" s="2" t="s">
        <v>14</v>
      </c>
      <c r="F383" s="2" t="s">
        <v>15</v>
      </c>
      <c r="G383" s="2" t="s">
        <v>113</v>
      </c>
      <c r="H383" s="2" t="s">
        <v>114</v>
      </c>
      <c r="I383" s="2" t="str">
        <f>IFERROR(__xludf.DUMMYFUNCTION("GOOGLETRANSLATE(C383,""fr"",""en"")"),"Harmonie Mutuelle does not respect members, nobody answers the phone and when you finally have someone it hangs up on you.
Very very very bad mutual. Very bad reimbursements, while I pay an excessively high price of 87 euros for 1 adult.
A lack of serio"&amp;"us mutual that I had to subscribe through the company in which I work.
I am still not reimbursed in accordance with the guarantees of my mutual health contract.
Mutual to flee!
")</f>
        <v>Harmonie Mutuelle does not respect members, nobody answers the phone and when you finally have someone it hangs up on you.
Very very very bad mutual. Very bad reimbursements, while I pay an excessively high price of 87 euros for 1 adult.
A lack of serious mutual that I had to subscribe through the company in which I work.
I am still not reimbursed in accordance with the guarantees of my mutual health contract.
Mutual to flee!
</v>
      </c>
    </row>
    <row r="384" ht="15.75" customHeight="1">
      <c r="B384" s="2" t="s">
        <v>1148</v>
      </c>
      <c r="C384" s="2" t="s">
        <v>1149</v>
      </c>
      <c r="D384" s="2" t="s">
        <v>1092</v>
      </c>
      <c r="E384" s="2" t="s">
        <v>14</v>
      </c>
      <c r="F384" s="2" t="s">
        <v>15</v>
      </c>
      <c r="G384" s="2" t="s">
        <v>872</v>
      </c>
      <c r="H384" s="2" t="s">
        <v>114</v>
      </c>
      <c r="I384" s="2" t="str">
        <f>IFERROR(__xludf.DUMMYFUNCTION("GOOGLETRANSLATE(C384,""fr"",""en"")"),"Mutual harmony: 0/10
Length of the reimbursements, 1 to 2 months of waiting.
No return of information following the requests for complaints made on their site.
Excessively high price, 118 euros for 1 adult with 1 child.
Do not take into account the re"&amp;"quested changes linked to the contracts.
In short. No follow -up of their customers !!
And I advise you not to join this mutual.")</f>
        <v>Mutual harmony: 0/10
Length of the reimbursements, 1 to 2 months of waiting.
No return of information following the requests for complaints made on their site.
Excessively high price, 118 euros for 1 adult with 1 child.
Do not take into account the requested changes linked to the contracts.
In short. No follow -up of their customers !!
And I advise you not to join this mutual.</v>
      </c>
    </row>
    <row r="385" ht="15.75" customHeight="1">
      <c r="B385" s="2" t="s">
        <v>1150</v>
      </c>
      <c r="C385" s="2" t="s">
        <v>1151</v>
      </c>
      <c r="D385" s="2" t="s">
        <v>1092</v>
      </c>
      <c r="E385" s="2" t="s">
        <v>14</v>
      </c>
      <c r="F385" s="2" t="s">
        <v>15</v>
      </c>
      <c r="G385" s="2" t="s">
        <v>1152</v>
      </c>
      <c r="H385" s="2" t="s">
        <v>114</v>
      </c>
      <c r="I385" s="2" t="str">
        <f>IFERROR(__xludf.DUMMYFUNCTION("GOOGLETRANSLATE(C385,""fr"",""en"")"),"Harmonie is by far the worst mutual that I have been able to experiment: very low levels of coverage and above all absolutely disastrous customer service! To get some phone on the phone, you have to look at about 15 minutes. Then, when finally someone tak"&amp;"es your call, the person is never competent to tell you about the care and must refer to someone else ... which never reminds you.
We then ask you to ""make your request via the application"": Never mind, I ask the specialist that I wish to consult a quo"&amp;"te that I transmit to harmony via the application to ask them that she will be taken their own in charge. On the phone I had been indicated ""we need a Madame quote, so we can't tell you"".
I copy glue below the harmony response:
""Hello, in order to re"&amp;"spond to your request, we invite you to send us the corresponding acquitted invoice. This document is essential to allow us to study your file"". This answer is simply scandalous! If we contact them for a quote, it is that we want to know before consultin"&amp;"g the specialist what it will cost us, and not to have the unpleasant surprise after!
This lack of transparency on their care and this incompetence of their staff should be denounced to consumer associations.
To flee therefore.")</f>
        <v>Harmonie is by far the worst mutual that I have been able to experiment: very low levels of coverage and above all absolutely disastrous customer service! To get some phone on the phone, you have to look at about 15 minutes. Then, when finally someone takes your call, the person is never competent to tell you about the care and must refer to someone else ... which never reminds you.
We then ask you to "make your request via the application": Never mind, I ask the specialist that I wish to consult a quote that I transmit to harmony via the application to ask them that she will be taken their own in charge. On the phone I had been indicated "we need a Madame quote, so we can't tell you".
I copy glue below the harmony response:
"Hello, in order to respond to your request, we invite you to send us the corresponding acquitted invoice. This document is essential to allow us to study your file". This answer is simply scandalous! If we contact them for a quote, it is that we want to know before consulting the specialist what it will cost us, and not to have the unpleasant surprise after!
This lack of transparency on their care and this incompetence of their staff should be denounced to consumer associations.
To flee therefore.</v>
      </c>
    </row>
    <row r="386" ht="15.75" customHeight="1">
      <c r="B386" s="2" t="s">
        <v>1153</v>
      </c>
      <c r="C386" s="2" t="s">
        <v>1154</v>
      </c>
      <c r="D386" s="2" t="s">
        <v>1092</v>
      </c>
      <c r="E386" s="2" t="s">
        <v>14</v>
      </c>
      <c r="F386" s="2" t="s">
        <v>15</v>
      </c>
      <c r="G386" s="2" t="s">
        <v>1155</v>
      </c>
      <c r="H386" s="2" t="s">
        <v>114</v>
      </c>
      <c r="I386" s="2" t="str">
        <f>IFERROR(__xludf.DUMMYFUNCTION("GOOGLETRANSLATE(C386,""fr"",""en"")"),"A mutual insurance company never used or almost for years on a personal basis. I now have a professional mutual and it is hell to act on a radiation from Harmonie. Already two letters AR and always an excuse to refuse the termination of the contract despi"&amp;"te the duly transmitted papers. What a shame on them. The more JMS I do not sign the bottom.")</f>
        <v>A mutual insurance company never used or almost for years on a personal basis. I now have a professional mutual and it is hell to act on a radiation from Harmonie. Already two letters AR and always an excuse to refuse the termination of the contract despite the duly transmitted papers. What a shame on them. The more JMS I do not sign the bottom.</v>
      </c>
    </row>
    <row r="387" ht="15.75" customHeight="1">
      <c r="B387" s="2" t="s">
        <v>1156</v>
      </c>
      <c r="C387" s="2" t="s">
        <v>1157</v>
      </c>
      <c r="D387" s="2" t="s">
        <v>1092</v>
      </c>
      <c r="E387" s="2" t="s">
        <v>14</v>
      </c>
      <c r="F387" s="2" t="s">
        <v>15</v>
      </c>
      <c r="G387" s="2" t="s">
        <v>1158</v>
      </c>
      <c r="H387" s="2" t="s">
        <v>126</v>
      </c>
      <c r="I387" s="2" t="str">
        <f>IFERROR(__xludf.DUMMYFUNCTION("GOOGLETRANSLATE(C387,""fr"",""en"")"),"does not reimburse all prescriptions to know that the CPAM reimburses but they are the 20 % or even 10 % remaining are not reimbursed
Despite my countless calls and emails to their services so that they respect the clauses of the contract nothing happens"&amp;"
I have been waiting for non -honorary reimbursements for 9 months
mutual to flee because takes the customer's failures on his bank account but when he has reimbursed there is no one left
Incompetent service
TO FLEE")</f>
        <v>does not reimburse all prescriptions to know that the CPAM reimburses but they are the 20 % or even 10 % remaining are not reimbursed
Despite my countless calls and emails to their services so that they respect the clauses of the contract nothing happens
I have been waiting for non -honorary reimbursements for 9 months
mutual to flee because takes the customer's failures on his bank account but when he has reimbursed there is no one left
Incompetent service
TO FLEE</v>
      </c>
    </row>
    <row r="388" ht="15.75" customHeight="1">
      <c r="B388" s="2" t="s">
        <v>1159</v>
      </c>
      <c r="C388" s="2" t="s">
        <v>1160</v>
      </c>
      <c r="D388" s="2" t="s">
        <v>1092</v>
      </c>
      <c r="E388" s="2" t="s">
        <v>14</v>
      </c>
      <c r="F388" s="2" t="s">
        <v>15</v>
      </c>
      <c r="G388" s="2" t="s">
        <v>1161</v>
      </c>
      <c r="H388" s="2" t="s">
        <v>141</v>
      </c>
      <c r="I388" s="2" t="str">
        <f>IFERROR(__xludf.DUMMYFUNCTION("GOOGLETRANSLATE(C388,""fr"",""en"")"),"Impossible to terminate my contract. The advisor had initially suggested that I make a letter on the anniversary date only, surprised, the change of mutual insurance company is only possible at the end of the calendar year. So I found myself with 2 mutual"&amp;"s to pay. I again applied for the end of 2020, for 2 months, the status of my request has been pending despite my telephone reminders.
")</f>
        <v>Impossible to terminate my contract. The advisor had initially suggested that I make a letter on the anniversary date only, surprised, the change of mutual insurance company is only possible at the end of the calendar year. So I found myself with 2 mutuals to pay. I again applied for the end of 2020, for 2 months, the status of my request has been pending despite my telephone reminders.
</v>
      </c>
    </row>
    <row r="389" ht="15.75" customHeight="1">
      <c r="B389" s="2" t="s">
        <v>1162</v>
      </c>
      <c r="C389" s="2" t="s">
        <v>1163</v>
      </c>
      <c r="D389" s="2" t="s">
        <v>1092</v>
      </c>
      <c r="E389" s="2" t="s">
        <v>14</v>
      </c>
      <c r="F389" s="2" t="s">
        <v>15</v>
      </c>
      <c r="G389" s="2" t="s">
        <v>1164</v>
      </c>
      <c r="H389" s="2" t="s">
        <v>167</v>
      </c>
      <c r="I389" s="2" t="str">
        <f>IFERROR(__xludf.DUMMYFUNCTION("GOOGLETRANSLATE(C389,""fr"",""en"")"),"Easier to adhere than to terminate. Yet with indecent increases in contributions each year and a very low reimbursement rate, especially in dental, only one desire, flee.")</f>
        <v>Easier to adhere than to terminate. Yet with indecent increases in contributions each year and a very low reimbursement rate, especially in dental, only one desire, flee.</v>
      </c>
    </row>
    <row r="390" ht="15.75" customHeight="1">
      <c r="B390" s="2" t="s">
        <v>1165</v>
      </c>
      <c r="C390" s="2" t="s">
        <v>1166</v>
      </c>
      <c r="D390" s="2" t="s">
        <v>1092</v>
      </c>
      <c r="E390" s="2" t="s">
        <v>14</v>
      </c>
      <c r="F390" s="2" t="s">
        <v>15</v>
      </c>
      <c r="G390" s="2" t="s">
        <v>1164</v>
      </c>
      <c r="H390" s="2" t="s">
        <v>167</v>
      </c>
      <c r="I390" s="2" t="str">
        <f>IFERROR(__xludf.DUMMYFUNCTION("GOOGLETRANSLATE(C390,""fr"",""en"")"),"Extremely expensive while shabby, shabby reimbursements, shabby communication (no response or incompetence in agency or on the phone. Flee brave people!")</f>
        <v>Extremely expensive while shabby, shabby reimbursements, shabby communication (no response or incompetence in agency or on the phone. Flee brave people!</v>
      </c>
    </row>
    <row r="391" ht="15.75" customHeight="1">
      <c r="B391" s="2" t="s">
        <v>1167</v>
      </c>
      <c r="C391" s="2" t="s">
        <v>1168</v>
      </c>
      <c r="D391" s="2" t="s">
        <v>1092</v>
      </c>
      <c r="E391" s="2" t="s">
        <v>14</v>
      </c>
      <c r="F391" s="2" t="s">
        <v>15</v>
      </c>
      <c r="G391" s="2" t="s">
        <v>743</v>
      </c>
      <c r="H391" s="2" t="s">
        <v>167</v>
      </c>
      <c r="I391" s="2" t="str">
        <f>IFERROR(__xludf.DUMMYFUNCTION("GOOGLETRANSLATE(C391,""fr"",""en"")"),"Monday, October 26, we came to ask for documents relating to a shoulder operation
We had contacted the Harmony telephone center several times without convincing results
We were received by very welcoming and efficient Florent!
Thanks to him !")</f>
        <v>Monday, October 26, we came to ask for documents relating to a shoulder operation
We had contacted the Harmony telephone center several times without convincing results
We were received by very welcoming and efficient Florent!
Thanks to him !</v>
      </c>
    </row>
    <row r="392" ht="15.75" customHeight="1">
      <c r="B392" s="2" t="s">
        <v>1169</v>
      </c>
      <c r="C392" s="2" t="s">
        <v>1170</v>
      </c>
      <c r="D392" s="2" t="s">
        <v>1092</v>
      </c>
      <c r="E392" s="2" t="s">
        <v>14</v>
      </c>
      <c r="F392" s="2" t="s">
        <v>15</v>
      </c>
      <c r="G392" s="2" t="s">
        <v>899</v>
      </c>
      <c r="H392" s="2" t="s">
        <v>167</v>
      </c>
      <c r="I392" s="2" t="str">
        <f>IFERROR(__xludf.DUMMYFUNCTION("GOOGLETRANSLATE(C392,""fr"",""en"")"),"Hello, I join the cohort of dissatisfied Internet users of this mutual (1 euphemism). Deadline, 2 months for 1 effective registration, 2 registration files were necessary because the first was lost. Request for reimbursement refused by 3 times, the third "&amp;"time, file dealt with by an employee of the Harmonie Mutuelle de Challans agency with the presentation of the required document, namely the S.S. count, document whose, as if by chance we no longer find trace in my file. Landy affirmations on their part .."&amp;". Notorious incompetence ... Website that does not work (last message: impossible sending, following a technical problem, your request could not be transmitted), telephone calls that remain without response, Or lapidary response without follow -up. As for"&amp;" their email address, sending several messages that remain unanswered. But, who do we laugh at ??? 1 r with AR sent to the manager of the Alençon management center, who wanted, I give it to you in a thousand, to harm myself because I did not pay my monthl"&amp;"y payments, while they are them, once again , who had buried my file, without having processed it and, no response was given to this recommended. That is to say how much we despise the member. You are just good to pay. The rest is obviously not their prob"&amp;"lem. Mutual to flee ... All except this. And, I pass you on, the situation is so Kafkaiian with them. There remains the solution of the complaint. A good hearing, hi")</f>
        <v>Hello, I join the cohort of dissatisfied Internet users of this mutual (1 euphemism). Deadline, 2 months for 1 effective registration, 2 registration files were necessary because the first was lost. Request for reimbursement refused by 3 times, the third time, file dealt with by an employee of the Harmonie Mutuelle de Challans agency with the presentation of the required document, namely the S.S. count, document whose, as if by chance we no longer find trace in my file. Landy affirmations on their part ... Notorious incompetence ... Website that does not work (last message: impossible sending, following a technical problem, your request could not be transmitted), telephone calls that remain without response, Or lapidary response without follow -up. As for their email address, sending several messages that remain unanswered. But, who do we laugh at ??? 1 r with AR sent to the manager of the Alençon management center, who wanted, I give it to you in a thousand, to harm myself because I did not pay my monthly payments, while they are them, once again , who had buried my file, without having processed it and, no response was given to this recommended. That is to say how much we despise the member. You are just good to pay. The rest is obviously not their problem. Mutual to flee ... All except this. And, I pass you on, the situation is so Kafkaiian with them. There remains the solution of the complaint. A good hearing, hi</v>
      </c>
    </row>
    <row r="393" ht="15.75" customHeight="1">
      <c r="B393" s="2" t="s">
        <v>1171</v>
      </c>
      <c r="C393" s="2" t="s">
        <v>1172</v>
      </c>
      <c r="D393" s="2" t="s">
        <v>1092</v>
      </c>
      <c r="E393" s="2" t="s">
        <v>14</v>
      </c>
      <c r="F393" s="2" t="s">
        <v>15</v>
      </c>
      <c r="G393" s="2" t="s">
        <v>1173</v>
      </c>
      <c r="H393" s="2" t="s">
        <v>167</v>
      </c>
      <c r="I393" s="2" t="str">
        <f>IFERROR(__xludf.DUMMYFUNCTION("GOOGLETRANSLATE(C393,""fr"",""en"")"),"I am very satisfied with my mutual. I had to contact the Mutual Harmonie Customer Service, a very kind lady took the time to answer each of my questions with a lot of benevolence.
I highly recommend !")</f>
        <v>I am very satisfied with my mutual. I had to contact the Mutual Harmonie Customer Service, a very kind lady took the time to answer each of my questions with a lot of benevolence.
I highly recommend !</v>
      </c>
    </row>
    <row r="394" ht="15.75" customHeight="1">
      <c r="B394" s="2" t="s">
        <v>1174</v>
      </c>
      <c r="C394" s="2" t="s">
        <v>1175</v>
      </c>
      <c r="D394" s="2" t="s">
        <v>1092</v>
      </c>
      <c r="E394" s="2" t="s">
        <v>14</v>
      </c>
      <c r="F394" s="2" t="s">
        <v>15</v>
      </c>
      <c r="G394" s="2" t="s">
        <v>746</v>
      </c>
      <c r="H394" s="2" t="s">
        <v>167</v>
      </c>
      <c r="I394" s="2" t="str">
        <f>IFERROR(__xludf.DUMMYFUNCTION("GOOGLETRANSLATE(C394,""fr"",""en"")"),"Very low coverage: for example, for my glasses I was reimbursed for 150 euros, frames and glasses, while the amount of the subscription is, in my opinion, relatively high. In addition, they never answer on the phone and worse, they leave you at the end of"&amp;" the line for 15 minutes with the hope that someone will answer, and after that time it automatically hangs up. I tried to send them an email on their platform to request the termination methods, 4 tests, 4 failures. Nothing good to say for this mutual.")</f>
        <v>Very low coverage: for example, for my glasses I was reimbursed for 150 euros, frames and glasses, while the amount of the subscription is, in my opinion, relatively high. In addition, they never answer on the phone and worse, they leave you at the end of the line for 15 minutes with the hope that someone will answer, and after that time it automatically hangs up. I tried to send them an email on their platform to request the termination methods, 4 tests, 4 failures. Nothing good to say for this mutual.</v>
      </c>
    </row>
    <row r="395" ht="15.75" customHeight="1">
      <c r="B395" s="2" t="s">
        <v>1176</v>
      </c>
      <c r="C395" s="2" t="s">
        <v>1177</v>
      </c>
      <c r="D395" s="2" t="s">
        <v>1092</v>
      </c>
      <c r="E395" s="2" t="s">
        <v>14</v>
      </c>
      <c r="F395" s="2" t="s">
        <v>15</v>
      </c>
      <c r="G395" s="2" t="s">
        <v>1178</v>
      </c>
      <c r="H395" s="2" t="s">
        <v>174</v>
      </c>
      <c r="I395" s="2" t="str">
        <f>IFERROR(__xludf.DUMMYFUNCTION("GOOGLETRANSLATE(C395,""fr"",""en"")"),"I am extremely dissatisfied with the period of reactivity of mutual harmony. For more than 6 months the processing times have been more than lengthened to be reimbursed for the most basic elements but the worst is that my daughter was born last May and th"&amp;"at she is still not guaranteed! She will have 5 months next week and I have dozens of invoices awaiting that I cannot send anywhere.
3 weeks ago, an advisor contacted me by email to tell me that I was going to go first. 3 weeks ago !
I will certainl"&amp;"y not recommend mutual harmony. Whatever the context, the service rendered to its customers must be of minimal quality and there, we are not there at all ...")</f>
        <v>I am extremely dissatisfied with the period of reactivity of mutual harmony. For more than 6 months the processing times have been more than lengthened to be reimbursed for the most basic elements but the worst is that my daughter was born last May and that she is still not guaranteed! She will have 5 months next week and I have dozens of invoices awaiting that I cannot send anywhere.
3 weeks ago, an advisor contacted me by email to tell me that I was going to go first. 3 weeks ago !
I will certainly not recommend mutual harmony. Whatever the context, the service rendered to its customers must be of minimal quality and there, we are not there at all ...</v>
      </c>
    </row>
    <row r="396" ht="15.75" customHeight="1">
      <c r="B396" s="2" t="s">
        <v>1179</v>
      </c>
      <c r="C396" s="2" t="s">
        <v>1180</v>
      </c>
      <c r="D396" s="2" t="s">
        <v>1092</v>
      </c>
      <c r="E396" s="2" t="s">
        <v>14</v>
      </c>
      <c r="F396" s="2" t="s">
        <v>15</v>
      </c>
      <c r="G396" s="2" t="s">
        <v>1181</v>
      </c>
      <c r="H396" s="2" t="s">
        <v>174</v>
      </c>
      <c r="I396" s="2" t="str">
        <f>IFERROR(__xludf.DUMMYFUNCTION("GOOGLETRANSLATE(C396,""fr"",""en"")"),"I have been a member for several years. This mutual is a real disaster both in terms of customer relations and price. I received a letter from them informing myself of a price increase of .... 25% !!
I obviously do not have the means of this increase. So"&amp;" I want to terminate. Refusal on their part. I ask to be related to an advisor: 5 calls. Each time, I am told that I am reminding me of such a day, such an hour. No reminder, no proposal. And impossible to withdraw. They continue to punctuate my account w"&amp;"ithout responding. To terminate, I sent a recommended. Answer: We refuse you the termination. So impossible to reach them, impossible to terminate. Joy of these platforms forms without any more quality of relationship. Flee this mutual that claims to be u"&amp;"nited, and close to members
FYI: I finally come, after hours of communication (such, emails, letters), and non -reminder of them, to join a customer officer who was able to make me a more reasonable proposal. So it was not so complicated! I take the prop"&amp;"osal and I terminate as soon as the law will allow me, that is to say on December 31 of this year !!!")</f>
        <v>I have been a member for several years. This mutual is a real disaster both in terms of customer relations and price. I received a letter from them informing myself of a price increase of .... 25% !!
I obviously do not have the means of this increase. So I want to terminate. Refusal on their part. I ask to be related to an advisor: 5 calls. Each time, I am told that I am reminding me of such a day, such an hour. No reminder, no proposal. And impossible to withdraw. They continue to punctuate my account without responding. To terminate, I sent a recommended. Answer: We refuse you the termination. So impossible to reach them, impossible to terminate. Joy of these platforms forms without any more quality of relationship. Flee this mutual that claims to be united, and close to members
FYI: I finally come, after hours of communication (such, emails, letters), and non -reminder of them, to join a customer officer who was able to make me a more reasonable proposal. So it was not so complicated! I take the proposal and I terminate as soon as the law will allow me, that is to say on December 31 of this year !!!</v>
      </c>
    </row>
    <row r="397" ht="15.75" customHeight="1">
      <c r="B397" s="2" t="s">
        <v>1182</v>
      </c>
      <c r="C397" s="2" t="s">
        <v>1183</v>
      </c>
      <c r="D397" s="2" t="s">
        <v>1092</v>
      </c>
      <c r="E397" s="2" t="s">
        <v>14</v>
      </c>
      <c r="F397" s="2" t="s">
        <v>15</v>
      </c>
      <c r="G397" s="2" t="s">
        <v>1184</v>
      </c>
      <c r="H397" s="2" t="s">
        <v>174</v>
      </c>
      <c r="I397" s="2" t="str">
        <f>IFERROR(__xludf.DUMMYFUNCTION("GOOGLETRANSLATE(C397,""fr"",""en"")"),"Catastrophic
Non -functional telephone application. The practically ineffective website. So you have to contact Harmonie Mutuelle
For the transmissions of documents, necessarily by mail.
More than a month and still no mutual card and still no mutual in"&amp;"surance company on the Ameli.com account.
Response from telephone customer service, it will come ....
I'm already starting to regret my choice of harmony ...
I dare not imagine the day when this mutual must be involved for a refund ....
Not reassuri"&amp;"ng all that ...
")</f>
        <v>Catastrophic
Non -functional telephone application. The practically ineffective website. So you have to contact Harmonie Mutuelle
For the transmissions of documents, necessarily by mail.
More than a month and still no mutual card and still no mutual insurance company on the Ameli.com account.
Response from telephone customer service, it will come ....
I'm already starting to regret my choice of harmony ...
I dare not imagine the day when this mutual must be involved for a refund ....
Not reassuring all that ...
</v>
      </c>
    </row>
    <row r="398" ht="15.75" customHeight="1">
      <c r="B398" s="2" t="s">
        <v>1185</v>
      </c>
      <c r="C398" s="2" t="s">
        <v>1186</v>
      </c>
      <c r="D398" s="2" t="s">
        <v>1092</v>
      </c>
      <c r="E398" s="2" t="s">
        <v>14</v>
      </c>
      <c r="F398" s="2" t="s">
        <v>15</v>
      </c>
      <c r="G398" s="2" t="s">
        <v>1187</v>
      </c>
      <c r="H398" s="2" t="s">
        <v>174</v>
      </c>
      <c r="I398" s="2" t="str">
        <f>IFERROR(__xludf.DUMMYFUNCTION("GOOGLETRANSLATE(C398,""fr"",""en"")"),"Hello,
Everything was going well with mutual harmony until the day when I changed my mutual after a change of employer. They called me reimbursement wrongly, and I have reimbursed them except that for more than a month (more than a month) and each time I"&amp;" call for my certificate, I am asked to wait, without any Understanding the problem, and to be reimbursed on my side, I need this certificate.
The service concerned by my problem, when they are called, they can do nothing, and when you want to climb you "&amp;"cannot, then I have to seriously advise you on this mutual, since for me they have no sense of customer satisfaction.")</f>
        <v>Hello,
Everything was going well with mutual harmony until the day when I changed my mutual after a change of employer. They called me reimbursement wrongly, and I have reimbursed them except that for more than a month (more than a month) and each time I call for my certificate, I am asked to wait, without any Understanding the problem, and to be reimbursed on my side, I need this certificate.
The service concerned by my problem, when they are called, they can do nothing, and when you want to climb you cannot, then I have to seriously advise you on this mutual, since for me they have no sense of customer satisfaction.</v>
      </c>
    </row>
    <row r="399" ht="15.75" customHeight="1">
      <c r="B399" s="2" t="s">
        <v>1188</v>
      </c>
      <c r="C399" s="2" t="s">
        <v>1189</v>
      </c>
      <c r="D399" s="2" t="s">
        <v>1092</v>
      </c>
      <c r="E399" s="2" t="s">
        <v>14</v>
      </c>
      <c r="F399" s="2" t="s">
        <v>15</v>
      </c>
      <c r="G399" s="2" t="s">
        <v>1190</v>
      </c>
      <c r="H399" s="2" t="s">
        <v>174</v>
      </c>
      <c r="I399" s="2" t="str">
        <f>IFERROR(__xludf.DUMMYFUNCTION("GOOGLETRANSLATE(C399,""fr"",""en"")"),"Too bad I cannot put zero star, my employer changed the mutual I continued the care that I started with the old mutual, before with AXA on 1000 EUR care I reimburse me near 70%, But harmony 2% !!! And after 300 calls and recovery, I am shocked, to flee")</f>
        <v>Too bad I cannot put zero star, my employer changed the mutual I continued the care that I started with the old mutual, before with AXA on 1000 EUR care I reimburse me near 70%, But harmony 2% !!! And after 300 calls and recovery, I am shocked, to flee</v>
      </c>
    </row>
    <row r="400" ht="15.75" customHeight="1">
      <c r="B400" s="2" t="s">
        <v>1191</v>
      </c>
      <c r="C400" s="2" t="s">
        <v>1192</v>
      </c>
      <c r="D400" s="2" t="s">
        <v>1092</v>
      </c>
      <c r="E400" s="2" t="s">
        <v>14</v>
      </c>
      <c r="F400" s="2" t="s">
        <v>15</v>
      </c>
      <c r="G400" s="2" t="s">
        <v>192</v>
      </c>
      <c r="H400" s="2" t="s">
        <v>174</v>
      </c>
      <c r="I400" s="2" t="str">
        <f>IFERROR(__xludf.DUMMYFUNCTION("GOOGLETRANSLATE(C400,""fr"",""en"")"),"I have subscribed to a mutual insurance via my company and it turns out that it was Mutual Harmonie who was chosen by my employer for this year and last year.
Everything went well the first year. For the second year, I encountered problems with the mut"&amp;"ual insurance company concerning my monthly schedule and my samples. I tried to arrange things with this mutual and pay agency monthly payments; which was refused to me in agency. I then contacted the mutual by emails and received no response from their s"&amp;"ervices.
Then, instead of responding to my emails, the mutual that says ""close to its members"" informed me that it would no longer take care of my health reimbursements.
I am therefore without mutual and gave up healing myself not having the financial"&amp;" means to consult certain practitioners without being reimbursed. In addition I have an ALD recognized CPAM. On the other hand, I have to pay the monthly payments since I am bound by the employer via this mutual and cannot choose another mutual because I "&amp;"do not have the financial means to subscribe a second mutual.
In summary, I pay the mutual, is not taken care of and no longer treat myself.
This mutual that I appreciated before I had all these concerns completely made me change my mind on its servic"&amp;"es and its so-called humanity. For me it's just a commercial argument and that's it.")</f>
        <v>I have subscribed to a mutual insurance via my company and it turns out that it was Mutual Harmonie who was chosen by my employer for this year and last year.
Everything went well the first year. For the second year, I encountered problems with the mutual insurance company concerning my monthly schedule and my samples. I tried to arrange things with this mutual and pay agency monthly payments; which was refused to me in agency. I then contacted the mutual by emails and received no response from their services.
Then, instead of responding to my emails, the mutual that says "close to its members" informed me that it would no longer take care of my health reimbursements.
I am therefore without mutual and gave up healing myself not having the financial means to consult certain practitioners without being reimbursed. In addition I have an ALD recognized CPAM. On the other hand, I have to pay the monthly payments since I am bound by the employer via this mutual and cannot choose another mutual because I do not have the financial means to subscribe a second mutual.
In summary, I pay the mutual, is not taken care of and no longer treat myself.
This mutual that I appreciated before I had all these concerns completely made me change my mind on its services and its so-called humanity. For me it's just a commercial argument and that's it.</v>
      </c>
    </row>
    <row r="401" ht="15.75" customHeight="1">
      <c r="B401" s="2" t="s">
        <v>1193</v>
      </c>
      <c r="C401" s="2" t="s">
        <v>1194</v>
      </c>
      <c r="D401" s="2" t="s">
        <v>1092</v>
      </c>
      <c r="E401" s="2" t="s">
        <v>14</v>
      </c>
      <c r="F401" s="2" t="s">
        <v>15</v>
      </c>
      <c r="G401" s="2" t="s">
        <v>1195</v>
      </c>
      <c r="H401" s="2" t="s">
        <v>196</v>
      </c>
      <c r="I401" s="2" t="str">
        <f>IFERROR(__xludf.DUMMYFUNCTION("GOOGLETRANSLATE(C401,""fr"",""en"")"),"Hello.
Quote of the dentist granted.
Care at the end of June.
At the end of August, still not reimbursed, although I have relaunched them several times. My dentist loses patience, I don't know what to say to him anymore, more than 1000 € ??????")</f>
        <v>Hello.
Quote of the dentist granted.
Care at the end of June.
At the end of August, still not reimbursed, although I have relaunched them several times. My dentist loses patience, I don't know what to say to him anymore, more than 1000 € ??????</v>
      </c>
    </row>
    <row r="402" ht="15.75" customHeight="1">
      <c r="B402" s="2" t="s">
        <v>1196</v>
      </c>
      <c r="C402" s="2" t="s">
        <v>1197</v>
      </c>
      <c r="D402" s="2" t="s">
        <v>1092</v>
      </c>
      <c r="E402" s="2" t="s">
        <v>14</v>
      </c>
      <c r="F402" s="2" t="s">
        <v>15</v>
      </c>
      <c r="G402" s="2" t="s">
        <v>1198</v>
      </c>
      <c r="H402" s="2" t="s">
        <v>196</v>
      </c>
      <c r="I402" s="2" t="str">
        <f>IFERROR(__xludf.DUMMYFUNCTION("GOOGLETRANSLATE(C402,""fr"",""en"")"),"I have given my dental reimbursements in hand for 3 weeks. I live in Chinon and I moved home on July 21, 2019 and delivered the documents given by the secretary of the dental office. Having forgotten my mutual card I paid on site on July 20, 2019 and wear"&amp;"s papers the next day. August 14 still no news.")</f>
        <v>I have given my dental reimbursements in hand for 3 weeks. I live in Chinon and I moved home on July 21, 2019 and delivered the documents given by the secretary of the dental office. Having forgotten my mutual card I paid on site on July 20, 2019 and wears papers the next day. August 14 still no news.</v>
      </c>
    </row>
    <row r="403" ht="15.75" customHeight="1">
      <c r="B403" s="2" t="s">
        <v>1199</v>
      </c>
      <c r="C403" s="2" t="s">
        <v>1200</v>
      </c>
      <c r="D403" s="2" t="s">
        <v>1092</v>
      </c>
      <c r="E403" s="2" t="s">
        <v>14</v>
      </c>
      <c r="F403" s="2" t="s">
        <v>15</v>
      </c>
      <c r="G403" s="2" t="s">
        <v>1201</v>
      </c>
      <c r="H403" s="2" t="s">
        <v>196</v>
      </c>
      <c r="I403" s="2" t="str">
        <f>IFERROR(__xludf.DUMMYFUNCTION("GOOGLETRANSLATE(C403,""fr"",""en"")"),"I contacted harmony because I noticed after 3 months that no sampling on their part had been made on my account. Good.
A lady on the phone explains to me that my sample was rejected by my bank and that I follow them liable for 116 euros otherwise I would"&amp;" no longer be insuring without the payment of this debt. I therefore ask them for explanations because all my other sample had no problem and why not have to take the following months or send me a letter or an email to warn me !!. I am explained once a sa"&amp;"mple is rejected harmony does not represent it for the following months and that I have to settle without which the months will continue to accumulate.
With the Covid crisis I did not always regularize this invoice and that worries me. I tried emails but"&amp;" it doesn't work on the site. Unanswered calls. I don't know what to do anymore and I'm afraid of the amount that Harmonie will ask me.")</f>
        <v>I contacted harmony because I noticed after 3 months that no sampling on their part had been made on my account. Good.
A lady on the phone explains to me that my sample was rejected by my bank and that I follow them liable for 116 euros otherwise I would no longer be insuring without the payment of this debt. I therefore ask them for explanations because all my other sample had no problem and why not have to take the following months or send me a letter or an email to warn me !!. I am explained once a sample is rejected harmony does not represent it for the following months and that I have to settle without which the months will continue to accumulate.
With the Covid crisis I did not always regularize this invoice and that worries me. I tried emails but it doesn't work on the site. Unanswered calls. I don't know what to do anymore and I'm afraid of the amount that Harmonie will ask me.</v>
      </c>
    </row>
    <row r="404" ht="15.75" customHeight="1">
      <c r="B404" s="2" t="s">
        <v>1202</v>
      </c>
      <c r="C404" s="2" t="s">
        <v>1203</v>
      </c>
      <c r="D404" s="2" t="s">
        <v>1092</v>
      </c>
      <c r="E404" s="2" t="s">
        <v>14</v>
      </c>
      <c r="F404" s="2" t="s">
        <v>15</v>
      </c>
      <c r="G404" s="2" t="s">
        <v>1204</v>
      </c>
      <c r="H404" s="2" t="s">
        <v>196</v>
      </c>
      <c r="I404" s="2" t="str">
        <f>IFERROR(__xludf.DUMMYFUNCTION("GOOGLETRANSLATE(C404,""fr"",""en"")"),"A catastrophe this mutual insurance man !!!!! price exaggerate to never have any answers to quotes
Availability of advisers 0
Never listened to customers never again this mutual.")</f>
        <v>A catastrophe this mutual insurance man !!!!! price exaggerate to never have any answers to quotes
Availability of advisers 0
Never listened to customers never again this mutual.</v>
      </c>
    </row>
    <row r="405" ht="15.75" customHeight="1">
      <c r="B405" s="2" t="s">
        <v>1205</v>
      </c>
      <c r="C405" s="2" t="s">
        <v>1206</v>
      </c>
      <c r="D405" s="2" t="s">
        <v>1092</v>
      </c>
      <c r="E405" s="2" t="s">
        <v>14</v>
      </c>
      <c r="F405" s="2" t="s">
        <v>15</v>
      </c>
      <c r="G405" s="2" t="s">
        <v>1207</v>
      </c>
      <c r="H405" s="2" t="s">
        <v>203</v>
      </c>
      <c r="I405" s="2" t="str">
        <f>IFERROR(__xludf.DUMMYFUNCTION("GOOGLETRANSLATE(C405,""fr"",""en"")"),"Worse mutual subscribed.
Reimbursement times sometimes 1 month ...
Extremely complicated termination even by subscribing to a compulsory business mutual.")</f>
        <v>Worse mutual subscribed.
Reimbursement times sometimes 1 month ...
Extremely complicated termination even by subscribing to a compulsory business mutual.</v>
      </c>
    </row>
    <row r="406" ht="15.75" customHeight="1">
      <c r="B406" s="2" t="s">
        <v>1208</v>
      </c>
      <c r="C406" s="2" t="s">
        <v>1209</v>
      </c>
      <c r="D406" s="2" t="s">
        <v>1092</v>
      </c>
      <c r="E406" s="2" t="s">
        <v>14</v>
      </c>
      <c r="F406" s="2" t="s">
        <v>15</v>
      </c>
      <c r="G406" s="2" t="s">
        <v>1210</v>
      </c>
      <c r="H406" s="2" t="s">
        <v>210</v>
      </c>
      <c r="I406" s="2" t="str">
        <f>IFERROR(__xludf.DUMMYFUNCTION("GOOGLETRANSLATE(C406,""fr"",""en"")"),"Nothing works. The mobile application as well as their website never worked. And when one managed to reach them by phone their customer service can do nothing ...")</f>
        <v>Nothing works. The mobile application as well as their website never worked. And when one managed to reach them by phone their customer service can do nothing ...</v>
      </c>
    </row>
    <row r="407" ht="15.75" customHeight="1">
      <c r="B407" s="2" t="s">
        <v>1211</v>
      </c>
      <c r="C407" s="2" t="s">
        <v>1212</v>
      </c>
      <c r="D407" s="2" t="s">
        <v>1092</v>
      </c>
      <c r="E407" s="2" t="s">
        <v>14</v>
      </c>
      <c r="F407" s="2" t="s">
        <v>15</v>
      </c>
      <c r="G407" s="2" t="s">
        <v>1213</v>
      </c>
      <c r="H407" s="2" t="s">
        <v>210</v>
      </c>
      <c r="I407" s="2" t="str">
        <f>IFERROR(__xludf.DUMMYFUNCTION("GOOGLETRANSLATE(C407,""fr"",""en"")"),"Highly recommended ... especially if you don't need anything.")</f>
        <v>Highly recommended ... especially if you don't need anything.</v>
      </c>
    </row>
    <row r="408" ht="15.75" customHeight="1">
      <c r="B408" s="2" t="s">
        <v>1214</v>
      </c>
      <c r="C408" s="2" t="s">
        <v>1215</v>
      </c>
      <c r="D408" s="2" t="s">
        <v>1092</v>
      </c>
      <c r="E408" s="2" t="s">
        <v>14</v>
      </c>
      <c r="F408" s="2" t="s">
        <v>15</v>
      </c>
      <c r="G408" s="2" t="s">
        <v>1216</v>
      </c>
      <c r="H408" s="2" t="s">
        <v>214</v>
      </c>
      <c r="I408" s="2" t="str">
        <f>IFERROR(__xludf.DUMMYFUNCTION("GOOGLETRANSLATE(C408,""fr"",""en"")"),"I want to thank all the people who have given their opinion with all my mind ... Thanks to you I do not make stupidity ... Read each of you makes me think that this ""insurance"" is not worth it Pain ... Many thanks to all of you ...")</f>
        <v>I want to thank all the people who have given their opinion with all my mind ... Thanks to you I do not make stupidity ... Read each of you makes me think that this "insurance" is not worth it Pain ... Many thanks to all of you ...</v>
      </c>
    </row>
    <row r="409" ht="15.75" customHeight="1">
      <c r="B409" s="2" t="s">
        <v>1217</v>
      </c>
      <c r="C409" s="2" t="s">
        <v>1218</v>
      </c>
      <c r="D409" s="2" t="s">
        <v>1092</v>
      </c>
      <c r="E409" s="2" t="s">
        <v>14</v>
      </c>
      <c r="F409" s="2" t="s">
        <v>15</v>
      </c>
      <c r="G409" s="2" t="s">
        <v>1219</v>
      </c>
      <c r="H409" s="2" t="s">
        <v>214</v>
      </c>
      <c r="I409" s="2" t="str">
        <f>IFERROR(__xludf.DUMMYFUNCTION("GOOGLETRANSLATE(C409,""fr"",""en"")"),"I strongly advise against mutual harmony for:
- their diagnosis need not suitable,
- their excessive rates compared to the services they provide
- their incompetence to inform their customers
- their politeness on the phone (yes being hung on the nose"&amp;" by an advisor is frankly not commercial or professional)
- their respect for the laws in force concerning mutual contracts")</f>
        <v>I strongly advise against mutual harmony for:
- their diagnosis need not suitable,
- their excessive rates compared to the services they provide
- their incompetence to inform their customers
- their politeness on the phone (yes being hung on the nose by an advisor is frankly not commercial or professional)
- their respect for the laws in force concerning mutual contracts</v>
      </c>
    </row>
    <row r="410" ht="15.75" customHeight="1">
      <c r="B410" s="2" t="s">
        <v>1220</v>
      </c>
      <c r="C410" s="2" t="s">
        <v>1221</v>
      </c>
      <c r="D410" s="2" t="s">
        <v>1092</v>
      </c>
      <c r="E410" s="2" t="s">
        <v>14</v>
      </c>
      <c r="F410" s="2" t="s">
        <v>15</v>
      </c>
      <c r="G410" s="2" t="s">
        <v>1222</v>
      </c>
      <c r="H410" s="2" t="s">
        <v>218</v>
      </c>
      <c r="I410" s="2" t="str">
        <f>IFERROR(__xludf.DUMMYFUNCTION("GOOGLETRANSLATE(C410,""fr"",""en"")"),"No one, they are incapable not at all professional. To flee, choose another insurance.")</f>
        <v>No one, they are incapable not at all professional. To flee, choose another insurance.</v>
      </c>
    </row>
    <row r="411" ht="15.75" customHeight="1">
      <c r="B411" s="2" t="s">
        <v>1223</v>
      </c>
      <c r="C411" s="2" t="s">
        <v>1224</v>
      </c>
      <c r="D411" s="2" t="s">
        <v>1092</v>
      </c>
      <c r="E411" s="2" t="s">
        <v>14</v>
      </c>
      <c r="F411" s="2" t="s">
        <v>15</v>
      </c>
      <c r="G411" s="2" t="s">
        <v>1225</v>
      </c>
      <c r="H411" s="2" t="s">
        <v>218</v>
      </c>
      <c r="I411" s="2" t="str">
        <f>IFERROR(__xludf.DUMMYFUNCTION("GOOGLETRANSLATE(C411,""fr"",""en"")"),"This type of opinion site is well known to centralize negative experiences. I express myself to put positive. I have always been reimbursed well and you cry but you have services depending on the contributions you pay. For having made several insurance I "&amp;"can tell you that it is by far the best mutual.")</f>
        <v>This type of opinion site is well known to centralize negative experiences. I express myself to put positive. I have always been reimbursed well and you cry but you have services depending on the contributions you pay. For having made several insurance I can tell you that it is by far the best mutual.</v>
      </c>
    </row>
    <row r="412" ht="15.75" customHeight="1">
      <c r="B412" s="2" t="s">
        <v>1226</v>
      </c>
      <c r="C412" s="2" t="s">
        <v>1227</v>
      </c>
      <c r="D412" s="2" t="s">
        <v>1092</v>
      </c>
      <c r="E412" s="2" t="s">
        <v>14</v>
      </c>
      <c r="F412" s="2" t="s">
        <v>15</v>
      </c>
      <c r="G412" s="2" t="s">
        <v>1228</v>
      </c>
      <c r="H412" s="2" t="s">
        <v>384</v>
      </c>
      <c r="I412" s="2" t="str">
        <f>IFERROR(__xludf.DUMMYFUNCTION("GOOGLETRANSLATE(C412,""fr"",""en"")"),"2020 mutualist card published with safety numbers for my children. For 10 days has been asking for a rectified mutualist card. Unpleasant and haughty answers on the phone: ""It's impossible"" while mutualist cards have been published properly for over fiv"&amp;"e years! Incessant automatic responses to the email on the site despite the sending of documents justifying the error made by Harmonie Mutuelle. Request for additional documents without specifying which ones! Mutism of the complaint service. Reception in "&amp;"a lamentable agency: ""If you do not have a mutual card you only have to advance the costs"". Shameful when you know the prices of contributions! Inability of the agency to reach the management service by telephone. Mutual Mutual Harmonie Management Servi"&amp;"ce including by the Harmonie Mutuelle agency itself !!! Refusal of the agency to give me a certificate. Until the Mutual Harmonie solves his computer problem, my children are not entitled to their drugs. Lamentable!")</f>
        <v>2020 mutualist card published with safety numbers for my children. For 10 days has been asking for a rectified mutualist card. Unpleasant and haughty answers on the phone: "It's impossible" while mutualist cards have been published properly for over five years! Incessant automatic responses to the email on the site despite the sending of documents justifying the error made by Harmonie Mutuelle. Request for additional documents without specifying which ones! Mutism of the complaint service. Reception in a lamentable agency: "If you do not have a mutual card you only have to advance the costs". Shameful when you know the prices of contributions! Inability of the agency to reach the management service by telephone. Mutual Mutual Harmonie Management Service including by the Harmonie Mutuelle agency itself !!! Refusal of the agency to give me a certificate. Until the Mutual Harmonie solves his computer problem, my children are not entitled to their drugs. Lamentable!</v>
      </c>
    </row>
    <row r="413" ht="15.75" customHeight="1">
      <c r="B413" s="2" t="s">
        <v>1229</v>
      </c>
      <c r="C413" s="2" t="s">
        <v>1230</v>
      </c>
      <c r="D413" s="2" t="s">
        <v>1092</v>
      </c>
      <c r="E413" s="2" t="s">
        <v>14</v>
      </c>
      <c r="F413" s="2" t="s">
        <v>15</v>
      </c>
      <c r="G413" s="2" t="s">
        <v>1231</v>
      </c>
      <c r="H413" s="2" t="s">
        <v>222</v>
      </c>
      <c r="I413" s="2" t="str">
        <f>IFERROR(__xludf.DUMMYFUNCTION("GOOGLETRANSLATE(C413,""fr"",""en"")"),"Very long registration, absence of file follow -ups, responses concerning interminable waiting requests whether it is by email through the personal space or telephone call
Unpleasant advisers
Attention they do not take into account the termination of th"&amp;"e contract and your account is always debited")</f>
        <v>Very long registration, absence of file follow -ups, responses concerning interminable waiting requests whether it is by email through the personal space or telephone call
Unpleasant advisers
Attention they do not take into account the termination of the contract and your account is always debited</v>
      </c>
    </row>
    <row r="414" ht="15.75" customHeight="1">
      <c r="B414" s="2" t="s">
        <v>1232</v>
      </c>
      <c r="C414" s="2" t="s">
        <v>1233</v>
      </c>
      <c r="D414" s="2" t="s">
        <v>1092</v>
      </c>
      <c r="E414" s="2" t="s">
        <v>14</v>
      </c>
      <c r="F414" s="2" t="s">
        <v>15</v>
      </c>
      <c r="G414" s="2" t="s">
        <v>1234</v>
      </c>
      <c r="H414" s="2" t="s">
        <v>222</v>
      </c>
      <c r="I414" s="2" t="str">
        <f>IFERROR(__xludf.DUMMYFUNCTION("GOOGLETRANSLATE(C414,""fr"",""en"")"),"Last December, Harmonie Mutuelle took the amount of my subscription twice.
So I called on several occasions, sent an email, but to date still no response or refund.
Insurance to flee !!!")</f>
        <v>Last December, Harmonie Mutuelle took the amount of my subscription twice.
So I called on several occasions, sent an email, but to date still no response or refund.
Insurance to flee !!!</v>
      </c>
    </row>
    <row r="415" ht="15.75" customHeight="1">
      <c r="B415" s="2" t="s">
        <v>1235</v>
      </c>
      <c r="C415" s="2" t="s">
        <v>1236</v>
      </c>
      <c r="D415" s="2" t="s">
        <v>1092</v>
      </c>
      <c r="E415" s="2" t="s">
        <v>14</v>
      </c>
      <c r="F415" s="2" t="s">
        <v>15</v>
      </c>
      <c r="G415" s="2" t="s">
        <v>1237</v>
      </c>
      <c r="H415" s="2" t="s">
        <v>403</v>
      </c>
      <c r="I415" s="2" t="str">
        <f>IFERROR(__xludf.DUMMYFUNCTION("GOOGLETRANSLATE(C415,""fr"",""en"")"),"Too bad this can not put 0 star! I just hanged up with the customer server. The person on the phone was execrable, haughty and did not wish to listen to me. It will be 3 months that my file is lying a shame! They must remind me and do not do it !!! Run aw"&amp;"ay !")</f>
        <v>Too bad this can not put 0 star! I just hanged up with the customer server. The person on the phone was execrable, haughty and did not wish to listen to me. It will be 3 months that my file is lying a shame! They must remind me and do not do it !!! Run away !</v>
      </c>
    </row>
    <row r="416" ht="15.75" customHeight="1">
      <c r="B416" s="2" t="s">
        <v>1238</v>
      </c>
      <c r="C416" s="2" t="s">
        <v>1239</v>
      </c>
      <c r="D416" s="2" t="s">
        <v>1092</v>
      </c>
      <c r="E416" s="2" t="s">
        <v>14</v>
      </c>
      <c r="F416" s="2" t="s">
        <v>15</v>
      </c>
      <c r="G416" s="2" t="s">
        <v>1240</v>
      </c>
      <c r="H416" s="2" t="s">
        <v>403</v>
      </c>
      <c r="I416" s="2" t="str">
        <f>IFERROR(__xludf.DUMMYFUNCTION("GOOGLETRANSLATE(C416,""fr"",""en"")"),"Has already started by terminating my contract when I wanted to add my partner and my daughter. It should have put us in the ear. Since then they never forget their unjustified annual increase but on the other hand it is sometimes necessary to wait more t"&amp;"han 3 months for a dental reimbursement strangely they always lose the documents when it exceeds 200th to reimburse. They lose the quotes and lie to us on the phone (4 calls over 2 months to finally learn that they lost the email. Lost an email yesoui) an"&amp;"d send us a deadline dated November with a cachet of La Poste Mi December story that we have difficulty terminating. Thank you oh Chatel law for allowing us to change my mutual insurance company quickly.")</f>
        <v>Has already started by terminating my contract when I wanted to add my partner and my daughter. It should have put us in the ear. Since then they never forget their unjustified annual increase but on the other hand it is sometimes necessary to wait more than 3 months for a dental reimbursement strangely they always lose the documents when it exceeds 200th to reimburse. They lose the quotes and lie to us on the phone (4 calls over 2 months to finally learn that they lost the email. Lost an email yesoui) and send us a deadline dated November with a cachet of La Poste Mi December story that we have difficulty terminating. Thank you oh Chatel law for allowing us to change my mutual insurance company quickly.</v>
      </c>
    </row>
    <row r="417" ht="15.75" customHeight="1">
      <c r="B417" s="2" t="s">
        <v>1241</v>
      </c>
      <c r="C417" s="2" t="s">
        <v>1242</v>
      </c>
      <c r="D417" s="2" t="s">
        <v>1092</v>
      </c>
      <c r="E417" s="2" t="s">
        <v>14</v>
      </c>
      <c r="F417" s="2" t="s">
        <v>15</v>
      </c>
      <c r="G417" s="2" t="s">
        <v>1243</v>
      </c>
      <c r="H417" s="2" t="s">
        <v>959</v>
      </c>
      <c r="I417" s="2" t="str">
        <f>IFERROR(__xludf.DUMMYFUNCTION("GOOGLETRANSLATE(C417,""fr"",""en"")"),"Adherent since August 2019 The application N has never been working so impossible to access the customer area more I am still not reimbursed for my care more than a month ago without account that I called 3 times mutual harmony and that I am ballad to cal"&amp;"l In short, incompetent interlocutors on the other hand reassure you the subscription is well taken as and in hours fortunately that we can terminate health mutuals before December 31")</f>
        <v>Adherent since August 2019 The application N has never been working so impossible to access the customer area more I am still not reimbursed for my care more than a month ago without account that I called 3 times mutual harmony and that I am ballad to call In short, incompetent interlocutors on the other hand reassure you the subscription is well taken as and in hours fortunately that we can terminate health mutuals before December 31</v>
      </c>
    </row>
    <row r="418" ht="15.75" customHeight="1">
      <c r="B418" s="2" t="s">
        <v>1244</v>
      </c>
      <c r="C418" s="2" t="s">
        <v>1245</v>
      </c>
      <c r="D418" s="2" t="s">
        <v>1092</v>
      </c>
      <c r="E418" s="2" t="s">
        <v>14</v>
      </c>
      <c r="F418" s="2" t="s">
        <v>15</v>
      </c>
      <c r="G418" s="2" t="s">
        <v>1246</v>
      </c>
      <c r="H418" s="2" t="s">
        <v>959</v>
      </c>
      <c r="I418" s="2" t="str">
        <f>IFERROR(__xludf.DUMMYFUNCTION("GOOGLETRANSLATE(C418,""fr"",""en"")"),"Hello I changed mutual insurance on April 1, 2019 after a visit to the ENT on August 6 and have paid 50 euros. The fund reimburses me 35 euros. And according to Harmonie Mutuelle, she reimburses me the complement, i.e. 15 euros. But for that she asks me b"&amp;"y mail my decrease assurance illness then after having received it and a few weeks she asks me for my dent of my old mutual. That I do not find quickly because it has been stopped since April 14. After several phone strokes, (with very kind people each ti"&amp;"me who also do not understand why I am not reimbursed. I am today at the same point I pay 190 euros per month for not much. And see what is happening otherwise I change my mutual. All that for 15 euros. It is maleuuth. But I will have no choice.")</f>
        <v>Hello I changed mutual insurance on April 1, 2019 after a visit to the ENT on August 6 and have paid 50 euros. The fund reimburses me 35 euros. And according to Harmonie Mutuelle, she reimburses me the complement, i.e. 15 euros. But for that she asks me by mail my decrease assurance illness then after having received it and a few weeks she asks me for my dent of my old mutual. That I do not find quickly because it has been stopped since April 14. After several phone strokes, (with very kind people each time who also do not understand why I am not reimbursed. I am today at the same point I pay 190 euros per month for not much. And see what is happening otherwise I change my mutual. All that for 15 euros. It is maleuuth. But I will have no choice.</v>
      </c>
    </row>
    <row r="419" ht="15.75" customHeight="1">
      <c r="B419" s="2" t="s">
        <v>1247</v>
      </c>
      <c r="C419" s="2" t="s">
        <v>1248</v>
      </c>
      <c r="D419" s="2" t="s">
        <v>1092</v>
      </c>
      <c r="E419" s="2" t="s">
        <v>14</v>
      </c>
      <c r="F419" s="2" t="s">
        <v>15</v>
      </c>
      <c r="G419" s="2" t="s">
        <v>1249</v>
      </c>
      <c r="H419" s="2" t="s">
        <v>959</v>
      </c>
      <c r="I419" s="2" t="str">
        <f>IFERROR(__xludf.DUMMYFUNCTION("GOOGLETRANSLATE(C419,""fr"",""en"")"),"A adviser who allows you to tell you that she does not have too much time to take care of your file. You tell her that you have an emergency for the optician she tells you 2 days .... Remind you It is more the same it is now necessary that I am waiting fo"&amp;"r a period of 2 weeks in addition to being very unpleasant on the phone and I learn this day that she is absent and not of warm phone telephone")</f>
        <v>A adviser who allows you to tell you that she does not have too much time to take care of your file. You tell her that you have an emergency for the optician she tells you 2 days .... Remind you It is more the same it is now necessary that I am waiting for a period of 2 weeks in addition to being very unpleasant on the phone and I learn this day that she is absent and not of warm phone telephone</v>
      </c>
    </row>
    <row r="420" ht="15.75" customHeight="1">
      <c r="B420" s="2" t="s">
        <v>1250</v>
      </c>
      <c r="C420" s="2" t="s">
        <v>1251</v>
      </c>
      <c r="D420" s="2" t="s">
        <v>1092</v>
      </c>
      <c r="E420" s="2" t="s">
        <v>14</v>
      </c>
      <c r="F420" s="2" t="s">
        <v>15</v>
      </c>
      <c r="G420" s="2" t="s">
        <v>1252</v>
      </c>
      <c r="H420" s="2" t="s">
        <v>959</v>
      </c>
      <c r="I420" s="2" t="str">
        <f>IFERROR(__xludf.DUMMYFUNCTION("GOOGLETRANSLATE(C420,""fr"",""en"")"),"Unreachable customer service. I try to join them for a week I am announced to me for waiting times for less than 4 minutes, but patience for more than an hour so as not to even have them on the phone. I am asked 5 times the same document which has already"&amp;" been transmitted to them beforehand and are chilly on the reimbursements, make things drag, always asks the same papers as they already have in their possession.")</f>
        <v>Unreachable customer service. I try to join them for a week I am announced to me for waiting times for less than 4 minutes, but patience for more than an hour so as not to even have them on the phone. I am asked 5 times the same document which has already been transmitted to them beforehand and are chilly on the reimbursements, make things drag, always asks the same papers as they already have in their possession.</v>
      </c>
    </row>
    <row r="421" ht="15.75" customHeight="1">
      <c r="B421" s="2" t="s">
        <v>1253</v>
      </c>
      <c r="C421" s="2" t="s">
        <v>1254</v>
      </c>
      <c r="D421" s="2" t="s">
        <v>1092</v>
      </c>
      <c r="E421" s="2" t="s">
        <v>14</v>
      </c>
      <c r="F421" s="2" t="s">
        <v>15</v>
      </c>
      <c r="G421" s="2" t="s">
        <v>1255</v>
      </c>
      <c r="H421" s="2" t="s">
        <v>413</v>
      </c>
      <c r="I421" s="2" t="str">
        <f>IFERROR(__xludf.DUMMYFUNCTION("GOOGLETRANSLATE(C421,""fr"",""en"")"),"Deplorable customer service - No follow -up - Most of the non -trained interlocutors - online 'interactive' requests remain virtual and untreated - 2 to 3 months of waiting for reimbursements - a disaster")</f>
        <v>Deplorable customer service - No follow -up - Most of the non -trained interlocutors - online 'interactive' requests remain virtual and untreated - 2 to 3 months of waiting for reimbursements - a disaster</v>
      </c>
    </row>
    <row r="422" ht="15.75" customHeight="1">
      <c r="B422" s="2" t="s">
        <v>1256</v>
      </c>
      <c r="C422" s="2" t="s">
        <v>1257</v>
      </c>
      <c r="D422" s="2" t="s">
        <v>1092</v>
      </c>
      <c r="E422" s="2" t="s">
        <v>14</v>
      </c>
      <c r="F422" s="2" t="s">
        <v>15</v>
      </c>
      <c r="G422" s="2" t="s">
        <v>1258</v>
      </c>
      <c r="H422" s="2" t="s">
        <v>413</v>
      </c>
      <c r="I422" s="2" t="str">
        <f>IFERROR(__xludf.DUMMYFUNCTION("GOOGLETRANSLATE(C422,""fr"",""en"")"),"Since my membership of the month of but 2019 I have still not received Martualist Martualist
  To flee")</f>
        <v>Since my membership of the month of but 2019 I have still not received Martualist Martualist
  To flee</v>
      </c>
    </row>
    <row r="423" ht="15.75" customHeight="1">
      <c r="B423" s="2" t="s">
        <v>1259</v>
      </c>
      <c r="C423" s="2" t="s">
        <v>1260</v>
      </c>
      <c r="D423" s="2" t="s">
        <v>1092</v>
      </c>
      <c r="E423" s="2" t="s">
        <v>14</v>
      </c>
      <c r="F423" s="2" t="s">
        <v>15</v>
      </c>
      <c r="G423" s="2" t="s">
        <v>1261</v>
      </c>
      <c r="H423" s="2" t="s">
        <v>423</v>
      </c>
      <c r="I423" s="2" t="str">
        <f>IFERROR(__xludf.DUMMYFUNCTION("GOOGLETRANSLATE(C423,""fr"",""en"")"),"After putting an end to the contract, I asked them to close the connection with Noemie so that my new mutual can be connected.
But, after five months and after having revived them every month, they cannot do this operation.
So, I cannot benefit from my "&amp;"new mutual insurance company because of them.
I think it is legally forbidden to block a customer who wishes to leave.
")</f>
        <v>After putting an end to the contract, I asked them to close the connection with Noemie so that my new mutual can be connected.
But, after five months and after having revived them every month, they cannot do this operation.
So, I cannot benefit from my new mutual insurance company because of them.
I think it is legally forbidden to block a customer who wishes to leave.
</v>
      </c>
    </row>
    <row r="424" ht="15.75" customHeight="1">
      <c r="B424" s="2" t="s">
        <v>1262</v>
      </c>
      <c r="C424" s="2" t="s">
        <v>1263</v>
      </c>
      <c r="D424" s="2" t="s">
        <v>1092</v>
      </c>
      <c r="E424" s="2" t="s">
        <v>14</v>
      </c>
      <c r="F424" s="2" t="s">
        <v>15</v>
      </c>
      <c r="G424" s="2" t="s">
        <v>1264</v>
      </c>
      <c r="H424" s="2" t="s">
        <v>423</v>
      </c>
      <c r="I424" s="2" t="str">
        <f>IFERROR(__xludf.DUMMYFUNCTION("GOOGLETRANSLATE(C424,""fr"",""en"")"),"A management center based in Toulon whose sole motto seems to be: ""All together so as not to reimburse""")</f>
        <v>A management center based in Toulon whose sole motto seems to be: "All together so as not to reimburse"</v>
      </c>
    </row>
    <row r="425" ht="15.75" customHeight="1">
      <c r="B425" s="2" t="s">
        <v>1265</v>
      </c>
      <c r="C425" s="2" t="s">
        <v>1266</v>
      </c>
      <c r="D425" s="2" t="s">
        <v>1092</v>
      </c>
      <c r="E425" s="2" t="s">
        <v>14</v>
      </c>
      <c r="F425" s="2" t="s">
        <v>15</v>
      </c>
      <c r="G425" s="2" t="s">
        <v>781</v>
      </c>
      <c r="H425" s="2" t="s">
        <v>423</v>
      </c>
      <c r="I425" s="2" t="str">
        <f>IFERROR(__xludf.DUMMYFUNCTION("GOOGLETRANSLATE(C425,""fr"",""en"")"),"Clearly unhappy: a request for care that must be Quemandée by the dentist; The extremely aggressive telephone platform ""where is the problem?"" Abandoned like a litany, no listening as to a customer return ... in short change of cremerie as soon as I amo"&amp;"rtized fresh medical.")</f>
        <v>Clearly unhappy: a request for care that must be Quemandée by the dentist; The extremely aggressive telephone platform "where is the problem?" Abandoned like a litany, no listening as to a customer return ... in short change of cremerie as soon as I amortized fresh medical.</v>
      </c>
    </row>
    <row r="426" ht="15.75" customHeight="1">
      <c r="B426" s="2" t="s">
        <v>1267</v>
      </c>
      <c r="C426" s="2" t="s">
        <v>1268</v>
      </c>
      <c r="D426" s="2" t="s">
        <v>1092</v>
      </c>
      <c r="E426" s="2" t="s">
        <v>14</v>
      </c>
      <c r="F426" s="2" t="s">
        <v>15</v>
      </c>
      <c r="G426" s="2" t="s">
        <v>1269</v>
      </c>
      <c r="H426" s="2" t="s">
        <v>244</v>
      </c>
      <c r="I426" s="2" t="str">
        <f>IFERROR(__xludf.DUMMYFUNCTION("GOOGLETRANSLATE(C426,""fr"",""en"")"),"No one, mutual to avoid absolutely !!!! (I am with them because my employer is on contract with them, etc.)
No responsiveness, no customer service and follow -up, response time in the event of extremely long concerns ... Their employees responding to the"&amp;" phone are incompetent and have no management power or decision !!! It is shameful.")</f>
        <v>No one, mutual to avoid absolutely !!!! (I am with them because my employer is on contract with them, etc.)
No responsiveness, no customer service and follow -up, response time in the event of extremely long concerns ... Their employees responding to the phone are incompetent and have no management power or decision !!! It is shameful.</v>
      </c>
    </row>
    <row r="427" ht="15.75" customHeight="1">
      <c r="B427" s="2" t="s">
        <v>1270</v>
      </c>
      <c r="C427" s="2" t="s">
        <v>1271</v>
      </c>
      <c r="D427" s="2" t="s">
        <v>1092</v>
      </c>
      <c r="E427" s="2" t="s">
        <v>14</v>
      </c>
      <c r="F427" s="2" t="s">
        <v>15</v>
      </c>
      <c r="G427" s="2" t="s">
        <v>1272</v>
      </c>
      <c r="H427" s="2" t="s">
        <v>244</v>
      </c>
      <c r="I427" s="2" t="str">
        <f>IFERROR(__xludf.DUMMYFUNCTION("GOOGLETRANSLATE(C427,""fr"",""en"")"),"Mutual to flee absolutely, I have an individual contract since October 2013. My contributions increased by 42 % in 5 years. The customer service management is incompetent and obviously seems to be unnecessary to respond to your members, which is unaccepta"&amp;"ble. In fact, I was obliged to make bank opposition in January 2019. Despite everything, still no answers since November 2018 to know the causes of these irrational increases. Increases that have nothing to do with age or increase in health costs.
Harmon"&amp;"ie Mutuelle (VYV Group) simply forget what these attributions and duties are towards its members.
")</f>
        <v>Mutual to flee absolutely, I have an individual contract since October 2013. My contributions increased by 42 % in 5 years. The customer service management is incompetent and obviously seems to be unnecessary to respond to your members, which is unacceptable. In fact, I was obliged to make bank opposition in January 2019. Despite everything, still no answers since November 2018 to know the causes of these irrational increases. Increases that have nothing to do with age or increase in health costs.
Harmonie Mutuelle (VYV Group) simply forget what these attributions and duties are towards its members.
</v>
      </c>
    </row>
    <row r="428" ht="15.75" customHeight="1">
      <c r="B428" s="2" t="s">
        <v>1273</v>
      </c>
      <c r="C428" s="2" t="s">
        <v>1274</v>
      </c>
      <c r="D428" s="2" t="s">
        <v>1092</v>
      </c>
      <c r="E428" s="2" t="s">
        <v>14</v>
      </c>
      <c r="F428" s="2" t="s">
        <v>15</v>
      </c>
      <c r="G428" s="2" t="s">
        <v>1275</v>
      </c>
      <c r="H428" s="2" t="s">
        <v>248</v>
      </c>
      <c r="I428" s="2" t="str">
        <f>IFERROR(__xludf.DUMMYFUNCTION("GOOGLETRANSLATE(C428,""fr"",""en"")"),"Reasonable price but there is still a lack of certain types of care. Welcome in agency. Null in email: never responds to emails from your customer area.")</f>
        <v>Reasonable price but there is still a lack of certain types of care. Welcome in agency. Null in email: never responds to emails from your customer area.</v>
      </c>
    </row>
    <row r="429" ht="15.75" customHeight="1">
      <c r="B429" s="2" t="s">
        <v>1276</v>
      </c>
      <c r="C429" s="2" t="s">
        <v>1277</v>
      </c>
      <c r="D429" s="2" t="s">
        <v>1092</v>
      </c>
      <c r="E429" s="2" t="s">
        <v>14</v>
      </c>
      <c r="F429" s="2" t="s">
        <v>15</v>
      </c>
      <c r="G429" s="2" t="s">
        <v>1278</v>
      </c>
      <c r="H429" s="2" t="s">
        <v>248</v>
      </c>
      <c r="I429" s="2" t="str">
        <f>IFERROR(__xludf.DUMMYFUNCTION("GOOGLETRANSLATE(C429,""fr"",""en"")"),"Mutual bogus who first thinks of his profits rather than his insured. The dependent remains on optics and dental care are very very important.")</f>
        <v>Mutual bogus who first thinks of his profits rather than his insured. The dependent remains on optics and dental care are very very important.</v>
      </c>
    </row>
    <row r="430" ht="15.75" customHeight="1">
      <c r="B430" s="2" t="s">
        <v>1279</v>
      </c>
      <c r="C430" s="2" t="s">
        <v>1280</v>
      </c>
      <c r="D430" s="2" t="s">
        <v>1092</v>
      </c>
      <c r="E430" s="2" t="s">
        <v>14</v>
      </c>
      <c r="F430" s="2" t="s">
        <v>15</v>
      </c>
      <c r="G430" s="2" t="s">
        <v>435</v>
      </c>
      <c r="H430" s="2" t="s">
        <v>248</v>
      </c>
      <c r="I430" s="2" t="str">
        <f>IFERROR(__xludf.DUMMYFUNCTION("GOOGLETRANSLATE(C430,""fr"",""en"")"),"Once subscribed impossible to the decree despite recommended, call and passage in termination agency for mutual subscription compulsory business suddenly obliged to block their debit brief do not sign anything from them because thereafter you will not be "&amp;"able to stop")</f>
        <v>Once subscribed impossible to the decree despite recommended, call and passage in termination agency for mutual subscription compulsory business suddenly obliged to block their debit brief do not sign anything from them because thereafter you will not be able to stop</v>
      </c>
    </row>
    <row r="431" ht="15.75" customHeight="1">
      <c r="B431" s="2" t="s">
        <v>1281</v>
      </c>
      <c r="C431" s="2" t="s">
        <v>1282</v>
      </c>
      <c r="D431" s="2" t="s">
        <v>1092</v>
      </c>
      <c r="E431" s="2" t="s">
        <v>14</v>
      </c>
      <c r="F431" s="2" t="s">
        <v>15</v>
      </c>
      <c r="G431" s="2" t="s">
        <v>1283</v>
      </c>
      <c r="H431" s="2" t="s">
        <v>248</v>
      </c>
      <c r="I431" s="2" t="str">
        <f>IFERROR(__xludf.DUMMYFUNCTION("GOOGLETRANSLATE(C431,""fr"",""en"")"),"Run away !!!! A mutual of deplorable responsiveness, refusal of termination despite the multiple recommended attesting to compliance with the conditions of termination. A telephone platform of unrivaled incompetence. Prices that increase and which are mor"&amp;"e expensive than a local agency with real competent insurers and which are able to respond to your requests. APCR has work ...")</f>
        <v>Run away !!!! A mutual of deplorable responsiveness, refusal of termination despite the multiple recommended attesting to compliance with the conditions of termination. A telephone platform of unrivaled incompetence. Prices that increase and which are more expensive than a local agency with real competent insurers and which are able to respond to your requests. APCR has work ...</v>
      </c>
    </row>
    <row r="432" ht="15.75" customHeight="1">
      <c r="B432" s="2" t="s">
        <v>1284</v>
      </c>
      <c r="C432" s="2" t="s">
        <v>1285</v>
      </c>
      <c r="D432" s="2" t="s">
        <v>1092</v>
      </c>
      <c r="E432" s="2" t="s">
        <v>14</v>
      </c>
      <c r="F432" s="2" t="s">
        <v>15</v>
      </c>
      <c r="G432" s="2" t="s">
        <v>1286</v>
      </c>
      <c r="H432" s="2" t="s">
        <v>442</v>
      </c>
      <c r="I432" s="2" t="str">
        <f>IFERROR(__xludf.DUMMYFUNCTION("GOOGLETRANSLATE(C432,""fr"",""en"")"),"I left my business and since I have benefited from the portability year of my mutual. Since then, I have only encountered concerns with this mutual. I provide complaints every week. My two anfants are still not affiliated, I have done everything in good a"&amp;"nd in shape. They have been correcting the date of birth of my daughter for months (born in October ... we are in February ...) which in fact does not see any reimbursement of her health care. As for me, I would not have given the supporting documents nec"&amp;"essary for portability. I sent them by post and then via my personal space. Since the situation has been bogged down. I regularly receive letters claiming to make the sums reimbursed. I continue my weekly phone calls to assert them my rights. There is no "&amp;"refund made on time. There are also enormities in the amount of reimbursements. Their customer service only serves as a filter. I do not recommend this mutual, which is the first to be a problem. To believe that this is their policy of drowning care reimb"&amp;"ursements under the alleged administrative issues. For my part everything is clean. From theirs, I believe that to see their customers' satisfaction, they can stop their activity tomorrow.")</f>
        <v>I left my business and since I have benefited from the portability year of my mutual. Since then, I have only encountered concerns with this mutual. I provide complaints every week. My two anfants are still not affiliated, I have done everything in good and in shape. They have been correcting the date of birth of my daughter for months (born in October ... we are in February ...) which in fact does not see any reimbursement of her health care. As for me, I would not have given the supporting documents necessary for portability. I sent them by post and then via my personal space. Since the situation has been bogged down. I regularly receive letters claiming to make the sums reimbursed. I continue my weekly phone calls to assert them my rights. There is no refund made on time. There are also enormities in the amount of reimbursements. Their customer service only serves as a filter. I do not recommend this mutual, which is the first to be a problem. To believe that this is their policy of drowning care reimbursements under the alleged administrative issues. For my part everything is clean. From theirs, I believe that to see their customers' satisfaction, they can stop their activity tomorrow.</v>
      </c>
    </row>
    <row r="433" ht="15.75" customHeight="1">
      <c r="B433" s="2" t="s">
        <v>1287</v>
      </c>
      <c r="C433" s="2" t="s">
        <v>1288</v>
      </c>
      <c r="D433" s="2" t="s">
        <v>1092</v>
      </c>
      <c r="E433" s="2" t="s">
        <v>14</v>
      </c>
      <c r="F433" s="2" t="s">
        <v>15</v>
      </c>
      <c r="G433" s="2" t="s">
        <v>1289</v>
      </c>
      <c r="H433" s="2" t="s">
        <v>442</v>
      </c>
      <c r="I433" s="2" t="str">
        <f>IFERROR(__xludf.DUMMYFUNCTION("GOOGLETRANSLATE(C433,""fr"",""en"")"),"Disappointed by this mutual ... not received a card for more than 3 years, forced to make several requests to finally receive one. Today I ask for an estimate for an increase in guarantees, I am told dryly that there is a deficiency period of 6 months! """&amp;"It is the game of the mutual"", dixit the advisor ... I have only one desire, to terminate my contract but again everything is complicated. In short, no listening, no commercial sense, high prices for the level of guarantees ... to avoid!")</f>
        <v>Disappointed by this mutual ... not received a card for more than 3 years, forced to make several requests to finally receive one. Today I ask for an estimate for an increase in guarantees, I am told dryly that there is a deficiency period of 6 months! "It is the game of the mutual", dixit the advisor ... I have only one desire, to terminate my contract but again everything is complicated. In short, no listening, no commercial sense, high prices for the level of guarantees ... to avoid!</v>
      </c>
    </row>
    <row r="434" ht="15.75" customHeight="1">
      <c r="B434" s="2" t="s">
        <v>1290</v>
      </c>
      <c r="C434" s="2" t="s">
        <v>1291</v>
      </c>
      <c r="D434" s="2" t="s">
        <v>1092</v>
      </c>
      <c r="E434" s="2" t="s">
        <v>14</v>
      </c>
      <c r="F434" s="2" t="s">
        <v>15</v>
      </c>
      <c r="G434" s="2" t="s">
        <v>1289</v>
      </c>
      <c r="H434" s="2" t="s">
        <v>442</v>
      </c>
      <c r="I434" s="2" t="str">
        <f>IFERROR(__xludf.DUMMYFUNCTION("GOOGLETRANSLATE(C434,""fr"",""en"")"),"Customer for several years I have no complaints to do with mutual harmony on the contrary. This mutual is always listening to its members and as there are no shareholders all the profits are reinvested")</f>
        <v>Customer for several years I have no complaints to do with mutual harmony on the contrary. This mutual is always listening to its members and as there are no shareholders all the profits are reinvested</v>
      </c>
    </row>
    <row r="435" ht="15.75" customHeight="1">
      <c r="B435" s="2" t="s">
        <v>1292</v>
      </c>
      <c r="C435" s="2" t="s">
        <v>1293</v>
      </c>
      <c r="D435" s="2" t="s">
        <v>1092</v>
      </c>
      <c r="E435" s="2" t="s">
        <v>14</v>
      </c>
      <c r="F435" s="2" t="s">
        <v>15</v>
      </c>
      <c r="G435" s="2" t="s">
        <v>1294</v>
      </c>
      <c r="H435" s="2" t="s">
        <v>446</v>
      </c>
      <c r="I435" s="2" t="str">
        <f>IFERROR(__xludf.DUMMYFUNCTION("GOOGLETRANSLATE(C435,""fr"",""en"")"),"A non -existent and impossible customer service, does not respond to email and sending mail to refuse certain guarantees (in my case the birth premium) with eccentric justifications! An unhappy customer")</f>
        <v>A non -existent and impossible customer service, does not respond to email and sending mail to refuse certain guarantees (in my case the birth premium) with eccentric justifications! An unhappy customer</v>
      </c>
    </row>
    <row r="436" ht="15.75" customHeight="1">
      <c r="B436" s="2" t="s">
        <v>1295</v>
      </c>
      <c r="C436" s="2" t="s">
        <v>1296</v>
      </c>
      <c r="D436" s="2" t="s">
        <v>1092</v>
      </c>
      <c r="E436" s="2" t="s">
        <v>14</v>
      </c>
      <c r="F436" s="2" t="s">
        <v>15</v>
      </c>
      <c r="G436" s="2" t="s">
        <v>1297</v>
      </c>
      <c r="H436" s="2" t="s">
        <v>446</v>
      </c>
      <c r="I436" s="2" t="str">
        <f>IFERROR(__xludf.DUMMYFUNCTION("GOOGLETRANSLATE(C436,""fr"",""en"")"),"Always very welcome by phone or an agency. Carte always provided in time.")</f>
        <v>Always very welcome by phone or an agency. Carte always provided in time.</v>
      </c>
    </row>
    <row r="437" ht="15.75" customHeight="1">
      <c r="B437" s="2" t="s">
        <v>1298</v>
      </c>
      <c r="C437" s="2" t="s">
        <v>1299</v>
      </c>
      <c r="D437" s="2" t="s">
        <v>1092</v>
      </c>
      <c r="E437" s="2" t="s">
        <v>14</v>
      </c>
      <c r="F437" s="2" t="s">
        <v>15</v>
      </c>
      <c r="G437" s="2" t="s">
        <v>1300</v>
      </c>
      <c r="H437" s="2" t="s">
        <v>446</v>
      </c>
      <c r="I437" s="2" t="str">
        <f>IFERROR(__xludf.DUMMYFUNCTION("GOOGLETRANSLATE(C437,""fr"",""en"")"),"detestable, contemptuous, incompetent customer advisers, and do not accept comments and criticism")</f>
        <v>detestable, contemptuous, incompetent customer advisers, and do not accept comments and criticism</v>
      </c>
    </row>
    <row r="438" ht="15.75" customHeight="1">
      <c r="B438" s="2" t="s">
        <v>1301</v>
      </c>
      <c r="C438" s="2" t="s">
        <v>1302</v>
      </c>
      <c r="D438" s="2" t="s">
        <v>1092</v>
      </c>
      <c r="E438" s="2" t="s">
        <v>14</v>
      </c>
      <c r="F438" s="2" t="s">
        <v>15</v>
      </c>
      <c r="G438" s="2" t="s">
        <v>1303</v>
      </c>
      <c r="H438" s="2" t="s">
        <v>457</v>
      </c>
      <c r="I438" s="2" t="str">
        <f>IFERROR(__xludf.DUMMYFUNCTION("GOOGLETRANSLATE(C438,""fr"",""en"")"),"NO,
I had in certain Matthieu on the phone, who does not understand what is told and allows himself to be unpleasant. I was not reimbursed for a year thanks to their incompetence because blocking remote transmission. The only answer I had is that I only "&amp;"had to send the papers to the new mutual ... No, that's not how it works. It was Mutuelle Harmonie who made an error by not making the necessary at my request for termination.")</f>
        <v>NO,
I had in certain Matthieu on the phone, who does not understand what is told and allows himself to be unpleasant. I was not reimbursed for a year thanks to their incompetence because blocking remote transmission. The only answer I had is that I only had to send the papers to the new mutual ... No, that's not how it works. It was Mutuelle Harmonie who made an error by not making the necessary at my request for termination.</v>
      </c>
    </row>
    <row r="439" ht="15.75" customHeight="1">
      <c r="B439" s="2" t="s">
        <v>1304</v>
      </c>
      <c r="C439" s="2" t="s">
        <v>1305</v>
      </c>
      <c r="D439" s="2" t="s">
        <v>1092</v>
      </c>
      <c r="E439" s="2" t="s">
        <v>14</v>
      </c>
      <c r="F439" s="2" t="s">
        <v>15</v>
      </c>
      <c r="G439" s="2" t="s">
        <v>1306</v>
      </c>
      <c r="H439" s="2" t="s">
        <v>252</v>
      </c>
      <c r="I439" s="2" t="str">
        <f>IFERROR(__xludf.DUMMYFUNCTION("GOOGLETRANSLATE(C439,""fr"",""en"")"),"To flee as quickly as possible incapables who do not know how to work properly asks you to say too much perceived more than 2 years on the part before I am 56 years old I am not in my first mutual is the first liver that I see that. Do not have the first "&amp;"liver that he claims me so-called reimbursed to twist and if they make mistakes in this way I am certain that he forgets to reimburse you from time to time. Other colleague have Hu the same bad adventure I will claim my legal protection what follow -up to"&amp;" give this case I do not advise you not on this mutual instead of spending money to advertise the internet harmony should Pay your training staff to learn how to work properly. For me this mutual insurance company is compulsory in the company where I work"&amp;" (STG) but I will point out to them this mishap I am soon retired and I change my mutual from September")</f>
        <v>To flee as quickly as possible incapables who do not know how to work properly asks you to say too much perceived more than 2 years on the part before I am 56 years old I am not in my first mutual is the first liver that I see that. Do not have the first liver that he claims me so-called reimbursed to twist and if they make mistakes in this way I am certain that he forgets to reimburse you from time to time. Other colleague have Hu the same bad adventure I will claim my legal protection what follow -up to give this case I do not advise you not on this mutual instead of spending money to advertise the internet harmony should Pay your training staff to learn how to work properly. For me this mutual insurance company is compulsory in the company where I work (STG) but I will point out to them this mishap I am soon retired and I change my mutual from September</v>
      </c>
    </row>
    <row r="440" ht="15.75" customHeight="1">
      <c r="B440" s="2" t="s">
        <v>1307</v>
      </c>
      <c r="C440" s="2" t="s">
        <v>1308</v>
      </c>
      <c r="D440" s="2" t="s">
        <v>1092</v>
      </c>
      <c r="E440" s="2" t="s">
        <v>14</v>
      </c>
      <c r="F440" s="2" t="s">
        <v>15</v>
      </c>
      <c r="G440" s="2" t="s">
        <v>1309</v>
      </c>
      <c r="H440" s="2" t="s">
        <v>997</v>
      </c>
      <c r="I440" s="2" t="str">
        <f>IFERROR(__xludf.DUMMYFUNCTION("GOOGLETRANSLATE(C440,""fr"",""en"")"),"I prefer Probtp by far but obliged ... Pff is the new mutual of my business.")</f>
        <v>I prefer Probtp by far but obliged ... Pff is the new mutual of my business.</v>
      </c>
    </row>
    <row r="441" ht="15.75" customHeight="1">
      <c r="B441" s="2" t="s">
        <v>1310</v>
      </c>
      <c r="C441" s="2" t="s">
        <v>1311</v>
      </c>
      <c r="D441" s="2" t="s">
        <v>1092</v>
      </c>
      <c r="E441" s="2" t="s">
        <v>14</v>
      </c>
      <c r="F441" s="2" t="s">
        <v>15</v>
      </c>
      <c r="G441" s="2" t="s">
        <v>1309</v>
      </c>
      <c r="H441" s="2" t="s">
        <v>997</v>
      </c>
      <c r="I441" s="2" t="str">
        <f>IFERROR(__xludf.DUMMYFUNCTION("GOOGLETRANSLATE(C441,""fr"",""en"")"),"Until December 2017 I was very satisfied. Only since I had to subscribe to the compulsory mutual of my business, it's great anything. No consideration of the client's situation. I am an apprentice and unfortunately who says apprentice says that I do not n"&amp;"ecessarily have a lot of income. Frankly ... I've been paying two mutuals for 10 months at the same time and that is an understatement to make sure that my wallet does not appreciate at all. Even today I don't know when my contract is terminated, maybe I "&amp;"would have this as a Christmas present ...")</f>
        <v>Until December 2017 I was very satisfied. Only since I had to subscribe to the compulsory mutual of my business, it's great anything. No consideration of the client's situation. I am an apprentice and unfortunately who says apprentice says that I do not necessarily have a lot of income. Frankly ... I've been paying two mutuals for 10 months at the same time and that is an understatement to make sure that my wallet does not appreciate at all. Even today I don't know when my contract is terminated, maybe I would have this as a Christmas present ...</v>
      </c>
    </row>
    <row r="442" ht="15.75" customHeight="1">
      <c r="B442" s="2" t="s">
        <v>1312</v>
      </c>
      <c r="C442" s="2" t="s">
        <v>1313</v>
      </c>
      <c r="D442" s="2" t="s">
        <v>1092</v>
      </c>
      <c r="E442" s="2" t="s">
        <v>14</v>
      </c>
      <c r="F442" s="2" t="s">
        <v>15</v>
      </c>
      <c r="G442" s="2" t="s">
        <v>1314</v>
      </c>
      <c r="H442" s="2" t="s">
        <v>1001</v>
      </c>
      <c r="I442" s="2" t="str">
        <f>IFERROR(__xludf.DUMMYFUNCTION("GOOGLETRANSLATE(C442,""fr"",""en"")"),"May 15 I sent a dental quote to find out my reimbursement rate, to date, July 30, and despite my reminders, still no answer .....")</f>
        <v>May 15 I sent a dental quote to find out my reimbursement rate, to date, July 30, and despite my reminders, still no answer .....</v>
      </c>
    </row>
    <row r="443" ht="15.75" customHeight="1">
      <c r="B443" s="2" t="s">
        <v>1315</v>
      </c>
      <c r="C443" s="2" t="s">
        <v>1316</v>
      </c>
      <c r="D443" s="2" t="s">
        <v>1092</v>
      </c>
      <c r="E443" s="2" t="s">
        <v>14</v>
      </c>
      <c r="F443" s="2" t="s">
        <v>15</v>
      </c>
      <c r="G443" s="2" t="s">
        <v>1317</v>
      </c>
      <c r="H443" s="2" t="s">
        <v>1001</v>
      </c>
      <c r="I443" s="2" t="str">
        <f>IFERROR(__xludf.DUMMYFUNCTION("GOOGLETRANSLATE(C443,""fr"",""en"")"),"I have never seen a mutual with so few cases of termination before term
Loss of work, you must continue to pay
PACS or wedding, you must continue to pay
Move, Voys must continue to pay
I do not recommend this mutual
They know well to attract, but imp"&amp;"ossible to leave before the deadline
I am really disappointed with this mutual")</f>
        <v>I have never seen a mutual with so few cases of termination before term
Loss of work, you must continue to pay
PACS or wedding, you must continue to pay
Move, Voys must continue to pay
I do not recommend this mutual
They know well to attract, but impossible to leave before the deadline
I am really disappointed with this mutual</v>
      </c>
    </row>
    <row r="444" ht="15.75" customHeight="1">
      <c r="B444" s="2" t="s">
        <v>1318</v>
      </c>
      <c r="C444" s="2" t="s">
        <v>1319</v>
      </c>
      <c r="D444" s="2" t="s">
        <v>1092</v>
      </c>
      <c r="E444" s="2" t="s">
        <v>14</v>
      </c>
      <c r="F444" s="2" t="s">
        <v>15</v>
      </c>
      <c r="G444" s="2" t="s">
        <v>1320</v>
      </c>
      <c r="H444" s="2" t="s">
        <v>256</v>
      </c>
      <c r="I444" s="2" t="str">
        <f>IFERROR(__xludf.DUMMYFUNCTION("GOOGLETRANSLATE(C444,""fr"",""en"")"),"Do not adhere to this mutual insurance company this crazy customers, the services concerned are strangely always closed. Do not withdraw any subscription for 5 months and decides to withdraw € 379 suddenly, and then dental care never reimbursed !!")</f>
        <v>Do not adhere to this mutual insurance company this crazy customers, the services concerned are strangely always closed. Do not withdraw any subscription for 5 months and decides to withdraw € 379 suddenly, and then dental care never reimbursed !!</v>
      </c>
    </row>
    <row r="445" ht="15.75" customHeight="1">
      <c r="B445" s="2" t="s">
        <v>1321</v>
      </c>
      <c r="C445" s="2" t="s">
        <v>1322</v>
      </c>
      <c r="D445" s="2" t="s">
        <v>1092</v>
      </c>
      <c r="E445" s="2" t="s">
        <v>14</v>
      </c>
      <c r="F445" s="2" t="s">
        <v>15</v>
      </c>
      <c r="G445" s="2" t="s">
        <v>1323</v>
      </c>
      <c r="H445" s="2" t="s">
        <v>260</v>
      </c>
      <c r="I445" s="2" t="str">
        <f>IFERROR(__xludf.DUMMYFUNCTION("GOOGLETRANSLATE(C445,""fr"",""en"")"),"Unable to contact them")</f>
        <v>Unable to contact them</v>
      </c>
    </row>
    <row r="446" ht="15.75" customHeight="1">
      <c r="B446" s="2" t="s">
        <v>1324</v>
      </c>
      <c r="C446" s="2" t="s">
        <v>1325</v>
      </c>
      <c r="D446" s="2" t="s">
        <v>1092</v>
      </c>
      <c r="E446" s="2" t="s">
        <v>14</v>
      </c>
      <c r="F446" s="2" t="s">
        <v>15</v>
      </c>
      <c r="G446" s="2" t="s">
        <v>1326</v>
      </c>
      <c r="H446" s="2" t="s">
        <v>260</v>
      </c>
      <c r="I446" s="2" t="str">
        <f>IFERROR(__xludf.DUMMYFUNCTION("GOOGLETRANSLATE(C446,""fr"",""en"")"),"A lack of blatant advisers on the phone, a very bad service: you wait, you wait, up to 10 minutes, then when you answer you, you don't have time to say a sentence that communication is cut. In fact, no one can be reached and this dice on Monday morning!")</f>
        <v>A lack of blatant advisers on the phone, a very bad service: you wait, you wait, up to 10 minutes, then when you answer you, you don't have time to say a sentence that communication is cut. In fact, no one can be reached and this dice on Monday morning!</v>
      </c>
    </row>
    <row r="447" ht="15.75" customHeight="1">
      <c r="B447" s="2" t="s">
        <v>1327</v>
      </c>
      <c r="C447" s="2" t="s">
        <v>1328</v>
      </c>
      <c r="D447" s="2" t="s">
        <v>1092</v>
      </c>
      <c r="E447" s="2" t="s">
        <v>14</v>
      </c>
      <c r="F447" s="2" t="s">
        <v>15</v>
      </c>
      <c r="G447" s="2" t="s">
        <v>1329</v>
      </c>
      <c r="H447" s="2" t="s">
        <v>476</v>
      </c>
      <c r="I447" s="2" t="str">
        <f>IFERROR(__xludf.DUMMYFUNCTION("GOOGLETRANSLATE(C447,""fr"",""en"")"),"Impossible to terminate my mutual. They continue to charge hospital protection while my request focused on a single contract on one and the same number. They tell me not having terminated certain annexes to the contract because I have not mentioned them i"&amp;"n my letter !!! Shameful, it's a Dole. This practice is totally illegal ...")</f>
        <v>Impossible to terminate my mutual. They continue to charge hospital protection while my request focused on a single contract on one and the same number. They tell me not having terminated certain annexes to the contract because I have not mentioned them in my letter !!! Shameful, it's a Dole. This practice is totally illegal ...</v>
      </c>
    </row>
    <row r="448" ht="15.75" customHeight="1">
      <c r="B448" s="2" t="s">
        <v>1330</v>
      </c>
      <c r="C448" s="2" t="s">
        <v>1331</v>
      </c>
      <c r="D448" s="2" t="s">
        <v>1092</v>
      </c>
      <c r="E448" s="2" t="s">
        <v>14</v>
      </c>
      <c r="F448" s="2" t="s">
        <v>15</v>
      </c>
      <c r="G448" s="2" t="s">
        <v>1332</v>
      </c>
      <c r="H448" s="2" t="s">
        <v>476</v>
      </c>
      <c r="I448" s="2" t="str">
        <f>IFERROR(__xludf.DUMMYFUNCTION("GOOGLETRANSLATE(C448,""fr"",""en"")"),"A mutual to avoid. Does not send the card on time, sometimes it can take months. Which, at the time of the Internet, is incomprehensible. You say the releases of the style, it does not matter the doctors agree to wait until receipt of the card. For my par"&amp;"t, now, I warn that I will start a renunciation procedure if I have not received a card within 12 days. Until I find an effective and competent mutual.")</f>
        <v>A mutual to avoid. Does not send the card on time, sometimes it can take months. Which, at the time of the Internet, is incomprehensible. You say the releases of the style, it does not matter the doctors agree to wait until receipt of the card. For my part, now, I warn that I will start a renunciation procedure if I have not received a card within 12 days. Until I find an effective and competent mutual.</v>
      </c>
    </row>
    <row r="449" ht="15.75" customHeight="1">
      <c r="B449" s="2" t="s">
        <v>1333</v>
      </c>
      <c r="C449" s="2" t="s">
        <v>1334</v>
      </c>
      <c r="D449" s="2" t="s">
        <v>1092</v>
      </c>
      <c r="E449" s="2" t="s">
        <v>14</v>
      </c>
      <c r="F449" s="2" t="s">
        <v>15</v>
      </c>
      <c r="G449" s="2" t="s">
        <v>1335</v>
      </c>
      <c r="H449" s="2" t="s">
        <v>264</v>
      </c>
      <c r="I449" s="2" t="str">
        <f>IFERROR(__xludf.DUMMYFUNCTION("GOOGLETRANSLATE(C449,""fr"",""en"")"),"To flee,
I am ""covered"" by harmony because it is the compulsory mutual of my spouse
Membership of this business since August 2017, we only accumulate the mutual card that arrives in November we should have had it in August first for an excuse ""oh wel"&amp;"l it's weird"" we had to come 3 times in agency to obtain it
And now he leads me by boat so as not to repay me classic dental care ""caries""
First excuse: we need the social security count (please warn after a month)
Second excuse: we need the dentist"&amp;"'s bills
3rd excuse: it will soon be fired
Indeed I received a transfer of 15 euros on 60 euros !!!! I explain to her that it must be 100 % she answers me it must come from the Secu which has already reimbursed you, lack of bowl I do not advance the sec"&amp;"urity costs
So it's impossible
4th excuse yes we made the transfer
I explain that I received nothing
I literally pete a cable on the phone
She mentions on a platform and the 5th excuse and not the least: ah yes yes actually it was sent but the transf"&amp;"er was blocked, it is a computer problem, next week will be good
I would have seen the comments before I would have joined my own business mutual. I will call every day to get to the case and I will do everything to have the director on the phone
I thin"&amp;"k I start to start a procedure to send them to court as it annoys me to be taken for a pigeon
Maybe this would be possible to group our complaints together and make this shame insurance close
Do not let yourself be walked on")</f>
        <v>To flee,
I am "covered" by harmony because it is the compulsory mutual of my spouse
Membership of this business since August 2017, we only accumulate the mutual card that arrives in November we should have had it in August first for an excuse "oh well it's weird" we had to come 3 times in agency to obtain it
And now he leads me by boat so as not to repay me classic dental care "caries"
First excuse: we need the social security count (please warn after a month)
Second excuse: we need the dentist's bills
3rd excuse: it will soon be fired
Indeed I received a transfer of 15 euros on 60 euros !!!! I explain to her that it must be 100 % she answers me it must come from the Secu which has already reimbursed you, lack of bowl I do not advance the security costs
So it's impossible
4th excuse yes we made the transfer
I explain that I received nothing
I literally pete a cable on the phone
She mentions on a platform and the 5th excuse and not the least: ah yes yes actually it was sent but the transfer was blocked, it is a computer problem, next week will be good
I would have seen the comments before I would have joined my own business mutual. I will call every day to get to the case and I will do everything to have the director on the phone
I think I start to start a procedure to send them to court as it annoys me to be taken for a pigeon
Maybe this would be possible to group our complaints together and make this shame insurance close
Do not let yourself be walked on</v>
      </c>
    </row>
    <row r="450" ht="15.75" customHeight="1">
      <c r="B450" s="2" t="s">
        <v>1336</v>
      </c>
      <c r="C450" s="2" t="s">
        <v>1337</v>
      </c>
      <c r="D450" s="2" t="s">
        <v>1092</v>
      </c>
      <c r="E450" s="2" t="s">
        <v>14</v>
      </c>
      <c r="F450" s="2" t="s">
        <v>15</v>
      </c>
      <c r="G450" s="2" t="s">
        <v>1338</v>
      </c>
      <c r="H450" s="2" t="s">
        <v>264</v>
      </c>
      <c r="I450" s="2" t="str">
        <f>IFERROR(__xludf.DUMMYFUNCTION("GOOGLETRANSLATE(C450,""fr"",""en"")"),"Horrible!")</f>
        <v>Horrible!</v>
      </c>
    </row>
    <row r="451" ht="15.75" customHeight="1">
      <c r="B451" s="2" t="s">
        <v>1339</v>
      </c>
      <c r="C451" s="2" t="s">
        <v>1340</v>
      </c>
      <c r="D451" s="2" t="s">
        <v>1092</v>
      </c>
      <c r="E451" s="2" t="s">
        <v>14</v>
      </c>
      <c r="F451" s="2" t="s">
        <v>15</v>
      </c>
      <c r="G451" s="2" t="s">
        <v>1338</v>
      </c>
      <c r="H451" s="2" t="s">
        <v>264</v>
      </c>
      <c r="I451" s="2" t="str">
        <f>IFERROR(__xludf.DUMMYFUNCTION("GOOGLETRANSLATE(C451,""fr"",""en"")"),"haughty customer service, disrespectful, hanging over the nose, is slow to answer us on our quotes especially in summer because half is on vacation so they allow themselves to announce 15 days then tell you bein we are in reduced numbers because of the ho"&amp;"lidays. They do not want to do their work and refer to the secretaries of doctors to do quotes when it is the profession of the health insurer. Even in an emergency, no response to your quote, you have to wait, wait and wait. No empathy with members. The "&amp;"price is not given either. You even have to pay more and have a correct treatment. The advisers have the quote before you and ask you questions whose answers are noted on the quote. a joke !")</f>
        <v>haughty customer service, disrespectful, hanging over the nose, is slow to answer us on our quotes especially in summer because half is on vacation so they allow themselves to announce 15 days then tell you bein we are in reduced numbers because of the holidays. They do not want to do their work and refer to the secretaries of doctors to do quotes when it is the profession of the health insurer. Even in an emergency, no response to your quote, you have to wait, wait and wait. No empathy with members. The price is not given either. You even have to pay more and have a correct treatment. The advisers have the quote before you and ask you questions whose answers are noted on the quote. a joke !</v>
      </c>
    </row>
    <row r="452" ht="15.75" customHeight="1">
      <c r="B452" s="2" t="s">
        <v>1341</v>
      </c>
      <c r="C452" s="2" t="s">
        <v>1342</v>
      </c>
      <c r="D452" s="2" t="s">
        <v>1092</v>
      </c>
      <c r="E452" s="2" t="s">
        <v>14</v>
      </c>
      <c r="F452" s="2" t="s">
        <v>15</v>
      </c>
      <c r="G452" s="2" t="s">
        <v>1343</v>
      </c>
      <c r="H452" s="2" t="s">
        <v>264</v>
      </c>
      <c r="I452" s="2" t="str">
        <f>IFERROR(__xludf.DUMMYFUNCTION("GOOGLETRANSLATE(C452,""fr"",""en"")"),"I realized in February that my contributions were not taken, I call and I am told ""Ah yes your contributions have not been calculated for 2018"", we take care of it, the 2 contributions will be deducted in February, nothing, and there I receive 3 contrib"&amp;"utions to pay suddenly in March, no apology on the letter, nothing. I call I am told IT problem, that is not what I was told in February and of course no commercial gesture. Bravo Mutual Harmony.")</f>
        <v>I realized in February that my contributions were not taken, I call and I am told "Ah yes your contributions have not been calculated for 2018", we take care of it, the 2 contributions will be deducted in February, nothing, and there I receive 3 contributions to pay suddenly in March, no apology on the letter, nothing. I call I am told IT problem, that is not what I was told in February and of course no commercial gesture. Bravo Mutual Harmony.</v>
      </c>
    </row>
    <row r="453" ht="15.75" customHeight="1">
      <c r="B453" s="2" t="s">
        <v>1344</v>
      </c>
      <c r="C453" s="2" t="s">
        <v>1345</v>
      </c>
      <c r="D453" s="2" t="s">
        <v>1092</v>
      </c>
      <c r="E453" s="2" t="s">
        <v>14</v>
      </c>
      <c r="F453" s="2" t="s">
        <v>15</v>
      </c>
      <c r="G453" s="2" t="s">
        <v>1346</v>
      </c>
      <c r="H453" s="2" t="s">
        <v>277</v>
      </c>
      <c r="I453" s="2" t="str">
        <f>IFERROR(__xludf.DUMMYFUNCTION("GOOGLETRANSLATE(C453,""fr"",""en"")"),"Honestly apart from the competitive price, compared to other mutuals, it's a disaster! I am strongly disappointed, I was at home for more than a year without any worries.
I closed my employment contract last October, so I had to provide a certificate, bu"&amp;"t no mail or email informed me. I found myself a long time without any refund on their part. When I noticed this problem, so I called and I had a particularly unpleasant advisor on the phone ... Madame preferred that I do the online steps rather than by p"&amp;"hone because ""everyone does like that today ' Hui "". To wonder why a salary is paid and an installed telephone standard see ... I therefore returned the document online, with the CPAM care sheets, as requested. Result a letter after a few days (oddly) t"&amp;"o finally tell me, after 4 months, that the certificate was missing on my account and also telling me that I would not be reimbursed following this. I specify that I had provided the certificate a few days before ... Good document management received in a"&amp;"ny case. Finally it depends which ones ... I made contact via Facebook, the answer took several days to arrive and by message on my account I have no return (account which is not clear at all, since It is a horror to find the history of the emails and if "&amp;"it was that ...).
Breeef .... the very clear feeling that they practice a bit of the ostrich policy.")</f>
        <v>Honestly apart from the competitive price, compared to other mutuals, it's a disaster! I am strongly disappointed, I was at home for more than a year without any worries.
I closed my employment contract last October, so I had to provide a certificate, but no mail or email informed me. I found myself a long time without any refund on their part. When I noticed this problem, so I called and I had a particularly unpleasant advisor on the phone ... Madame preferred that I do the online steps rather than by phone because "everyone does like that today ' Hui ". To wonder why a salary is paid and an installed telephone standard see ... I therefore returned the document online, with the CPAM care sheets, as requested. Result a letter after a few days (oddly) to finally tell me, after 4 months, that the certificate was missing on my account and also telling me that I would not be reimbursed following this. I specify that I had provided the certificate a few days before ... Good document management received in any case. Finally it depends which ones ... I made contact via Facebook, the answer took several days to arrive and by message on my account I have no return (account which is not clear at all, since It is a horror to find the history of the emails and if it was that ...).
Breeef .... the very clear feeling that they practice a bit of the ostrich policy.</v>
      </c>
    </row>
    <row r="454" ht="15.75" customHeight="1">
      <c r="B454" s="2" t="s">
        <v>1347</v>
      </c>
      <c r="C454" s="2" t="s">
        <v>1348</v>
      </c>
      <c r="D454" s="2" t="s">
        <v>1092</v>
      </c>
      <c r="E454" s="2" t="s">
        <v>14</v>
      </c>
      <c r="F454" s="2" t="s">
        <v>15</v>
      </c>
      <c r="G454" s="2" t="s">
        <v>1349</v>
      </c>
      <c r="H454" s="2" t="s">
        <v>277</v>
      </c>
      <c r="I454" s="2" t="str">
        <f>IFERROR(__xludf.DUMMYFUNCTION("GOOGLETRANSLATE(C454,""fr"",""en"")"),"Very bad follow -up. Bad contact with certain customer officials. My parents have been customers for 50 years, never any call to readjust the contracts and the day they are hospitalized we realize that the single room is very little covered. A first call
"&amp;"
, the day of the hospitalisatio, where we are offered a new subscription, but with 3 months of deficiency. A second call after the hospital release to review the contracts and there we are told, but there is never a deficiency at Harmonie. But now it's t"&amp;"oo late, you've left the hospital ... charming! No officials to talk to, no commercial gesture.")</f>
        <v>Very bad follow -up. Bad contact with certain customer officials. My parents have been customers for 50 years, never any call to readjust the contracts and the day they are hospitalized we realize that the single room is very little covered. A first call
, the day of the hospitalisatio, where we are offered a new subscription, but with 3 months of deficiency. A second call after the hospital release to review the contracts and there we are told, but there is never a deficiency at Harmonie. But now it's too late, you've left the hospital ... charming! No officials to talk to, no commercial gesture.</v>
      </c>
    </row>
    <row r="455" ht="15.75" customHeight="1">
      <c r="B455" s="2" t="s">
        <v>1350</v>
      </c>
      <c r="C455" s="2" t="s">
        <v>1351</v>
      </c>
      <c r="D455" s="2" t="s">
        <v>1092</v>
      </c>
      <c r="E455" s="2" t="s">
        <v>14</v>
      </c>
      <c r="F455" s="2" t="s">
        <v>15</v>
      </c>
      <c r="G455" s="2" t="s">
        <v>1352</v>
      </c>
      <c r="H455" s="2" t="s">
        <v>284</v>
      </c>
      <c r="I455" s="2" t="str">
        <f>IFERROR(__xludf.DUMMYFUNCTION("GOOGLETRANSLATE(C455,""fr"",""en"")"),"A mutual that does not respect its customers it's been 4 months that I am strolled by the bowl no new")</f>
        <v>A mutual that does not respect its customers it's been 4 months that I am strolled by the bowl no new</v>
      </c>
    </row>
    <row r="456" ht="15.75" customHeight="1">
      <c r="B456" s="2" t="s">
        <v>1353</v>
      </c>
      <c r="C456" s="2" t="s">
        <v>1354</v>
      </c>
      <c r="D456" s="2" t="s">
        <v>1092</v>
      </c>
      <c r="E456" s="2" t="s">
        <v>14</v>
      </c>
      <c r="F456" s="2" t="s">
        <v>15</v>
      </c>
      <c r="G456" s="2" t="s">
        <v>1355</v>
      </c>
      <c r="H456" s="2" t="s">
        <v>284</v>
      </c>
      <c r="I456" s="2" t="str">
        <f>IFERROR(__xludf.DUMMYFUNCTION("GOOGLETRANSLATE(C456,""fr"",""en"")"),"I have not been taken care of since the beginning of January because have been late in the processing of portability files. Am waiting to redo the glasses of my glasses while my old undertook sets the contributions. A shame. I have never seen such a level"&amp;" of service.")</f>
        <v>I have not been taken care of since the beginning of January because have been late in the processing of portability files. Am waiting to redo the glasses of my glasses while my old undertook sets the contributions. A shame. I have never seen such a level of service.</v>
      </c>
    </row>
    <row r="457" ht="15.75" customHeight="1">
      <c r="B457" s="2" t="s">
        <v>1356</v>
      </c>
      <c r="C457" s="2" t="s">
        <v>1357</v>
      </c>
      <c r="D457" s="2" t="s">
        <v>1092</v>
      </c>
      <c r="E457" s="2" t="s">
        <v>14</v>
      </c>
      <c r="F457" s="2" t="s">
        <v>15</v>
      </c>
      <c r="G457" s="2" t="s">
        <v>1358</v>
      </c>
      <c r="H457" s="2" t="s">
        <v>803</v>
      </c>
      <c r="I457" s="2" t="str">
        <f>IFERROR(__xludf.DUMMYFUNCTION("GOOGLETRANSLATE(C457,""fr"",""en"")"),"I am at Harmonie Mutuelle for the RSI and for the complementary part. I do not hide you that it is a double hell.
While they belong to the same entity, the RSI and the complementary are unable to communicate. I ask for information from one, I am told tha"&amp;"t you have to ask the other. And so on.
In addition, reimbursements are generally difficult to obtain and do not hesitate to relaunch them in order to receive something.
And when finally we manage to have an answer, it is so technical and impersonal tha"&amp;"t we prefer not to continue.
I plan to go see what is done elsewhere. Only contact with a listening advisor, clear and competent could make me change my mind. But I have doubts.")</f>
        <v>I am at Harmonie Mutuelle for the RSI and for the complementary part. I do not hide you that it is a double hell.
While they belong to the same entity, the RSI and the complementary are unable to communicate. I ask for information from one, I am told that you have to ask the other. And so on.
In addition, reimbursements are generally difficult to obtain and do not hesitate to relaunch them in order to receive something.
And when finally we manage to have an answer, it is so technical and impersonal that we prefer not to continue.
I plan to go see what is done elsewhere. Only contact with a listening advisor, clear and competent could make me change my mind. But I have doubts.</v>
      </c>
    </row>
    <row r="458" ht="15.75" customHeight="1">
      <c r="B458" s="2" t="s">
        <v>1359</v>
      </c>
      <c r="C458" s="2" t="s">
        <v>1360</v>
      </c>
      <c r="D458" s="2" t="s">
        <v>1092</v>
      </c>
      <c r="E458" s="2" t="s">
        <v>14</v>
      </c>
      <c r="F458" s="2" t="s">
        <v>15</v>
      </c>
      <c r="G458" s="2" t="s">
        <v>1361</v>
      </c>
      <c r="H458" s="2" t="s">
        <v>803</v>
      </c>
      <c r="I458" s="2" t="str">
        <f>IFERROR(__xludf.DUMMYFUNCTION("GOOGLETRANSLATE(C458,""fr"",""en"")"),"I've been waiting for my refund for restorative surgery that I had to carry out, but this company is incapable of keeping documents that are transmitted to them, have been waiting to make a complaint for people for people! I hope they will find a solution"&amp;" quickly.")</f>
        <v>I've been waiting for my refund for restorative surgery that I had to carry out, but this company is incapable of keeping documents that are transmitted to them, have been waiting to make a complaint for people for people! I hope they will find a solution quickly.</v>
      </c>
    </row>
    <row r="459" ht="15.75" customHeight="1">
      <c r="B459" s="2" t="s">
        <v>1270</v>
      </c>
      <c r="C459" s="2" t="s">
        <v>1362</v>
      </c>
      <c r="D459" s="2" t="s">
        <v>1092</v>
      </c>
      <c r="E459" s="2" t="s">
        <v>14</v>
      </c>
      <c r="F459" s="2" t="s">
        <v>15</v>
      </c>
      <c r="G459" s="2" t="s">
        <v>1363</v>
      </c>
      <c r="H459" s="2" t="s">
        <v>1049</v>
      </c>
      <c r="I459" s="2" t="str">
        <f>IFERROR(__xludf.DUMMYFUNCTION("GOOGLETRANSLATE(C459,""fr"",""en"")"),"Catherine
Complementary health to flee absolutely, the observation is overwhelming. To the various disastrous elements reported by other members, the use of questionable methods is added to the guarantees of contracts. The impossibility of obtaining quan"&amp;"tified quotes and their refusal to submit to their information obligation for the benefit of their so-called mediator. I will have noted 0 if possible.")</f>
        <v>Catherine
Complementary health to flee absolutely, the observation is overwhelming. To the various disastrous elements reported by other members, the use of questionable methods is added to the guarantees of contracts. The impossibility of obtaining quantified quotes and their refusal to submit to their information obligation for the benefit of their so-called mediator. I will have noted 0 if possible.</v>
      </c>
    </row>
    <row r="460" ht="15.75" customHeight="1">
      <c r="B460" s="2" t="s">
        <v>1364</v>
      </c>
      <c r="C460" s="2" t="s">
        <v>1365</v>
      </c>
      <c r="D460" s="2" t="s">
        <v>1092</v>
      </c>
      <c r="E460" s="2" t="s">
        <v>14</v>
      </c>
      <c r="F460" s="2" t="s">
        <v>15</v>
      </c>
      <c r="G460" s="2" t="s">
        <v>1366</v>
      </c>
      <c r="H460" s="2" t="s">
        <v>1049</v>
      </c>
      <c r="I460" s="2" t="str">
        <f>IFERROR(__xludf.DUMMYFUNCTION("GOOGLETRANSLATE(C460,""fr"",""en"")"),"Inability to process a somewhat complicated file, unacceptable registration time but levy in time")</f>
        <v>Inability to process a somewhat complicated file, unacceptable registration time but levy in time</v>
      </c>
    </row>
    <row r="461" ht="15.75" customHeight="1">
      <c r="B461" s="2" t="s">
        <v>1367</v>
      </c>
      <c r="C461" s="2" t="s">
        <v>1368</v>
      </c>
      <c r="D461" s="2" t="s">
        <v>1092</v>
      </c>
      <c r="E461" s="2" t="s">
        <v>14</v>
      </c>
      <c r="F461" s="2" t="s">
        <v>15</v>
      </c>
      <c r="G461" s="2" t="s">
        <v>1369</v>
      </c>
      <c r="H461" s="2" t="s">
        <v>1049</v>
      </c>
      <c r="I461" s="2" t="str">
        <f>IFERROR(__xludf.DUMMYFUNCTION("GOOGLETRANSLATE(C461,""fr"",""en"")"),"Work stoppage one day late, I couldn't send it before you are kidnapped for 4 days shame")</f>
        <v>Work stoppage one day late, I couldn't send it before you are kidnapped for 4 days shame</v>
      </c>
    </row>
    <row r="462" ht="15.75" customHeight="1">
      <c r="B462" s="2" t="s">
        <v>1370</v>
      </c>
      <c r="C462" s="2" t="s">
        <v>1371</v>
      </c>
      <c r="D462" s="2" t="s">
        <v>1092</v>
      </c>
      <c r="E462" s="2" t="s">
        <v>14</v>
      </c>
      <c r="F462" s="2" t="s">
        <v>15</v>
      </c>
      <c r="G462" s="2" t="s">
        <v>1372</v>
      </c>
      <c r="H462" s="2" t="s">
        <v>1049</v>
      </c>
      <c r="I462" s="2" t="str">
        <f>IFERROR(__xludf.DUMMYFUNCTION("GOOGLETRANSLATE(C462,""fr"",""en"")"),"I do not recommend this mutual that is catastrophic. A lot of problems with them, account error for reimbursements, signing a contract which has never been recorded, currently no refund since January. Olery to move constantly and check each expense. 'is a"&amp;"bsolutely lamentable! I will change mutual, I can never find worse.")</f>
        <v>I do not recommend this mutual that is catastrophic. A lot of problems with them, account error for reimbursements, signing a contract which has never been recorded, currently no refund since January. Olery to move constantly and check each expense. 'is absolutely lamentable! I will change mutual, I can never find worse.</v>
      </c>
    </row>
    <row r="463" ht="15.75" customHeight="1">
      <c r="B463" s="2" t="s">
        <v>1373</v>
      </c>
      <c r="C463" s="2" t="s">
        <v>1374</v>
      </c>
      <c r="D463" s="2" t="s">
        <v>1092</v>
      </c>
      <c r="E463" s="2" t="s">
        <v>14</v>
      </c>
      <c r="F463" s="2" t="s">
        <v>15</v>
      </c>
      <c r="G463" s="2" t="s">
        <v>1375</v>
      </c>
      <c r="H463" s="2" t="s">
        <v>499</v>
      </c>
      <c r="I463" s="2" t="str">
        <f>IFERROR(__xludf.DUMMYFUNCTION("GOOGLETRANSLATE(C463,""fr"",""en"")"),"Mutual to avoid, unable to manage even a simple file.
Mutual Harmonie is able to give you up to 3 different answers on the same file to finish paying (at least I hope)")</f>
        <v>Mutual to avoid, unable to manage even a simple file.
Mutual Harmonie is able to give you up to 3 different answers on the same file to finish paying (at least I hope)</v>
      </c>
    </row>
    <row r="464" ht="15.75" customHeight="1">
      <c r="B464" s="2" t="s">
        <v>1376</v>
      </c>
      <c r="C464" s="2" t="s">
        <v>1377</v>
      </c>
      <c r="D464" s="2" t="s">
        <v>1092</v>
      </c>
      <c r="E464" s="2" t="s">
        <v>14</v>
      </c>
      <c r="F464" s="2" t="s">
        <v>15</v>
      </c>
      <c r="G464" s="2" t="s">
        <v>1378</v>
      </c>
      <c r="H464" s="2" t="s">
        <v>1059</v>
      </c>
      <c r="I464" s="2" t="str">
        <f>IFERROR(__xludf.DUMMYFUNCTION("GOOGLETRANSLATE(C464,""fr"",""en"")"),"Impossible to obtain a dental reimbursement refused to tell me if receipt the documents sent claim to me the social security statement when it is well specified by the security that this document was transmitted to the mutual
We are very badly received o"&amp;"n the phone, my interlocutor takes me for a remaining and hung me up on the phone as soon as I asked her his name to send a recommended to his direction
I don't know what to do to obtain the refund of my dental costs
I really want to change my mutual")</f>
        <v>Impossible to obtain a dental reimbursement refused to tell me if receipt the documents sent claim to me the social security statement when it is well specified by the security that this document was transmitted to the mutual
We are very badly received on the phone, my interlocutor takes me for a remaining and hung me up on the phone as soon as I asked her his name to send a recommended to his direction
I don't know what to do to obtain the refund of my dental costs
I really want to change my mutual</v>
      </c>
    </row>
    <row r="465" ht="15.75" customHeight="1">
      <c r="B465" s="2" t="s">
        <v>1379</v>
      </c>
      <c r="C465" s="2" t="s">
        <v>1380</v>
      </c>
      <c r="D465" s="2" t="s">
        <v>1092</v>
      </c>
      <c r="E465" s="2" t="s">
        <v>14</v>
      </c>
      <c r="F465" s="2" t="s">
        <v>15</v>
      </c>
      <c r="G465" s="2" t="s">
        <v>1381</v>
      </c>
      <c r="H465" s="2" t="s">
        <v>1059</v>
      </c>
      <c r="I465" s="2" t="str">
        <f>IFERROR(__xludf.DUMMYFUNCTION("GOOGLETRANSLATE(C465,""fr"",""en"")"),"Do not know how to manage special situations ... again large platforms behind who do not follow the files. Force to re -explain its situation every month. They are blocked on their procedures and do not know how to treat suddenly.")</f>
        <v>Do not know how to manage special situations ... again large platforms behind who do not follow the files. Force to re -explain its situation every month. They are blocked on their procedures and do not know how to treat suddenly.</v>
      </c>
    </row>
    <row r="466" ht="15.75" customHeight="1">
      <c r="B466" s="2" t="s">
        <v>1382</v>
      </c>
      <c r="C466" s="2" t="s">
        <v>1383</v>
      </c>
      <c r="D466" s="2" t="s">
        <v>1092</v>
      </c>
      <c r="E466" s="2" t="s">
        <v>14</v>
      </c>
      <c r="F466" s="2" t="s">
        <v>15</v>
      </c>
      <c r="G466" s="2" t="s">
        <v>1384</v>
      </c>
      <c r="H466" s="2" t="s">
        <v>526</v>
      </c>
      <c r="I466" s="2" t="str">
        <f>IFERROR(__xludf.DUMMYFUNCTION("GOOGLETRANSLATE(C466,""fr"",""en"")"),"When I read we all have the same problem personally supposedly I have an incomplete file miss my CPAM certificate if incomplete file why take me and why not mail to warn members? To date still no repayments since my membership I have had mutuals but that "&amp;"is the worst of the worst. You have an advisor on the phone unable to answer our unpleasant questions that do not let you finish your sentences and cut the scandalous conversation.")</f>
        <v>When I read we all have the same problem personally supposedly I have an incomplete file miss my CPAM certificate if incomplete file why take me and why not mail to warn members? To date still no repayments since my membership I have had mutuals but that is the worst of the worst. You have an advisor on the phone unable to answer our unpleasant questions that do not let you finish your sentences and cut the scandalous conversation.</v>
      </c>
    </row>
    <row r="467" ht="15.75" customHeight="1">
      <c r="B467" s="2" t="s">
        <v>1385</v>
      </c>
      <c r="C467" s="2" t="s">
        <v>1386</v>
      </c>
      <c r="D467" s="2" t="s">
        <v>1092</v>
      </c>
      <c r="E467" s="2" t="s">
        <v>14</v>
      </c>
      <c r="F467" s="2" t="s">
        <v>15</v>
      </c>
      <c r="G467" s="2" t="s">
        <v>1387</v>
      </c>
      <c r="H467" s="2" t="s">
        <v>526</v>
      </c>
      <c r="I467" s="2" t="str">
        <f>IFERROR(__xludf.DUMMYFUNCTION("GOOGLETRANSLATE(C467,""fr"",""en"")"),"Land advertising, delays see absence of reimbursements, significant increases in contributions without warning, only small reimbursements are made in suitable delays, as long as the sums are important we can no longer see anything coming.")</f>
        <v>Land advertising, delays see absence of reimbursements, significant increases in contributions without warning, only small reimbursements are made in suitable delays, as long as the sums are important we can no longer see anything coming.</v>
      </c>
    </row>
    <row r="468" ht="15.75" customHeight="1">
      <c r="B468" s="2" t="s">
        <v>1388</v>
      </c>
      <c r="C468" s="2" t="s">
        <v>1389</v>
      </c>
      <c r="D468" s="2" t="s">
        <v>1092</v>
      </c>
      <c r="E468" s="2" t="s">
        <v>14</v>
      </c>
      <c r="F468" s="2" t="s">
        <v>15</v>
      </c>
      <c r="G468" s="2" t="s">
        <v>1390</v>
      </c>
      <c r="H468" s="2" t="s">
        <v>526</v>
      </c>
      <c r="I468" s="2" t="str">
        <f>IFERROR(__xludf.DUMMYFUNCTION("GOOGLETRANSLATE(C468,""fr"",""en"")"),"By far the worst mutual insurance I had. The deadlines are unacceptable, I have been waiting for my new card for 3 months. You have to call them to write to them is wearing.")</f>
        <v>By far the worst mutual insurance I had. The deadlines are unacceptable, I have been waiting for my new card for 3 months. You have to call them to write to them is wearing.</v>
      </c>
    </row>
    <row r="469" ht="15.75" customHeight="1">
      <c r="B469" s="2" t="s">
        <v>1391</v>
      </c>
      <c r="C469" s="2" t="s">
        <v>1392</v>
      </c>
      <c r="D469" s="2" t="s">
        <v>1092</v>
      </c>
      <c r="E469" s="2" t="s">
        <v>14</v>
      </c>
      <c r="F469" s="2" t="s">
        <v>15</v>
      </c>
      <c r="G469" s="2" t="s">
        <v>1393</v>
      </c>
      <c r="H469" s="2" t="s">
        <v>816</v>
      </c>
      <c r="I469" s="2" t="str">
        <f>IFERROR(__xludf.DUMMYFUNCTION("GOOGLETRANSLATE(C469,""fr"",""en"")"),"Flee this mutual !!!
")</f>
        <v>Flee this mutual !!!
</v>
      </c>
    </row>
    <row r="470" ht="15.75" customHeight="1">
      <c r="B470" s="2" t="s">
        <v>1394</v>
      </c>
      <c r="C470" s="2" t="s">
        <v>1395</v>
      </c>
      <c r="D470" s="2" t="s">
        <v>1092</v>
      </c>
      <c r="E470" s="2" t="s">
        <v>14</v>
      </c>
      <c r="F470" s="2" t="s">
        <v>15</v>
      </c>
      <c r="G470" s="2" t="s">
        <v>816</v>
      </c>
      <c r="H470" s="2" t="s">
        <v>816</v>
      </c>
      <c r="I470" s="2" t="str">
        <f>IFERROR(__xludf.DUMMYFUNCTION("GOOGLETRANSLATE(C470,""fr"",""en"")"),"We are very disappointed, they do not want to reimburse the glasses of my 4.5 year old son who must change it every 6 months since his sight moves and despite a new correction of the ophthalmologist. My optician who is part of the Kalivia network is doing"&amp;" feet and hands to get care but still nothing. It is a mutual based by my husband's employer. We will also involve them because it is unacceptable that for a child whose view moves at least up to 7 years, that this mutual insurance company only wants to r"&amp;"eimburse a pair of glasses not in despite the change of correction. If nothing is done for us, we change mutual, we will not fight with them every 6 months !!!!")</f>
        <v>We are very disappointed, they do not want to reimburse the glasses of my 4.5 year old son who must change it every 6 months since his sight moves and despite a new correction of the ophthalmologist. My optician who is part of the Kalivia network is doing feet and hands to get care but still nothing. It is a mutual based by my husband's employer. We will also involve them because it is unacceptable that for a child whose view moves at least up to 7 years, that this mutual insurance company only wants to reimburse a pair of glasses not in despite the change of correction. If nothing is done for us, we change mutual, we will not fight with them every 6 months !!!!</v>
      </c>
    </row>
    <row r="471" ht="15.75" customHeight="1">
      <c r="B471" s="2" t="s">
        <v>1396</v>
      </c>
      <c r="C471" s="2" t="s">
        <v>1397</v>
      </c>
      <c r="D471" s="2" t="s">
        <v>1092</v>
      </c>
      <c r="E471" s="2" t="s">
        <v>14</v>
      </c>
      <c r="F471" s="2" t="s">
        <v>15</v>
      </c>
      <c r="G471" s="2" t="s">
        <v>1398</v>
      </c>
      <c r="H471" s="2" t="s">
        <v>17</v>
      </c>
      <c r="I471" s="2" t="str">
        <f>IFERROR(__xludf.DUMMYFUNCTION("GOOGLETRANSLATE(C471,""fr"",""en"")"),"Hello, if I had known I would not have taken my mutual and my family at home !! Indeed, I have just learned that the change of glasses of my son who must change it every 6 months is not supported because some people who are not in the needs have decided !"&amp;"! Because henceforth a care will be carried out only 1 time a year for children. Why pay a mutual that is not able to do what we ask him !!
I pay 128 euros of mutual insurance per month for me, my wife and my 2 children in the hope of having a good care "&amp;"and I can only see that it is nothing !!!
Pending an explanation showing common sense from you I warn you that if no response from you is communicated to me, I will make an irrevocable decision, the termination !!")</f>
        <v>Hello, if I had known I would not have taken my mutual and my family at home !! Indeed, I have just learned that the change of glasses of my son who must change it every 6 months is not supported because some people who are not in the needs have decided !! Because henceforth a care will be carried out only 1 time a year for children. Why pay a mutual that is not able to do what we ask him !!
I pay 128 euros of mutual insurance per month for me, my wife and my 2 children in the hope of having a good care and I can only see that it is nothing !!!
Pending an explanation showing common sense from you I warn you that if no response from you is communicated to me, I will make an irrevocable decision, the termination !!</v>
      </c>
    </row>
    <row r="472" ht="15.75" customHeight="1">
      <c r="B472" s="2" t="s">
        <v>1399</v>
      </c>
      <c r="C472" s="2" t="s">
        <v>1400</v>
      </c>
      <c r="D472" s="2" t="s">
        <v>1092</v>
      </c>
      <c r="E472" s="2" t="s">
        <v>14</v>
      </c>
      <c r="F472" s="2" t="s">
        <v>15</v>
      </c>
      <c r="G472" s="2" t="s">
        <v>1401</v>
      </c>
      <c r="H472" s="2" t="s">
        <v>544</v>
      </c>
      <c r="I472" s="2" t="str">
        <f>IFERROR(__xludf.DUMMYFUNCTION("GOOGLETRANSLATE(C472,""fr"",""en"")"),"Customer service is very rare incompetence and ineffectiveness. Hired since August, I was obliged to subscribe to Harmonie Mutuelle following the employer's agreements when I was very satisfied for several years of my ex-restaurant. The subscription docum"&amp;"ent that I signed and transmitted accompanied by a RIB specified a monthly direct debit on the 5th of each month. 3 months later despite my employer's reminders, no levy had been made. In November I receive a registered letter with AR telling me of my can"&amp;"cellation if not payment of contributions due and that of December. After a call on their platform, my correspondent asks me to pay by CB and to join a RIB again, all under recommended fold with AR - in fact of the costs - what fis constrained and forced."&amp;" Obviously no commercial gesture for the discomfort caused. I receive this day a call for contributions for 2017 and well, I give it to you in a thousand ....................... they ask me for a payment by check The quarters. !!!!!!!!!!!!!! This time the"&amp;" cup is full, I will once again tell them that they do not keep their commitments. What will be when there will be reimbursements ?????? I think I will unite around me so that our director and our delegate are reducing a call for tenders to other insurers"&amp;".")</f>
        <v>Customer service is very rare incompetence and ineffectiveness. Hired since August, I was obliged to subscribe to Harmonie Mutuelle following the employer's agreements when I was very satisfied for several years of my ex-restaurant. The subscription document that I signed and transmitted accompanied by a RIB specified a monthly direct debit on the 5th of each month. 3 months later despite my employer's reminders, no levy had been made. In November I receive a registered letter with AR telling me of my cancellation if not payment of contributions due and that of December. After a call on their platform, my correspondent asks me to pay by CB and to join a RIB again, all under recommended fold with AR - in fact of the costs - what fis constrained and forced. Obviously no commercial gesture for the discomfort caused. I receive this day a call for contributions for 2017 and well, I give it to you in a thousand ....................... they ask me for a payment by check The quarters. !!!!!!!!!!!!!! This time the cup is full, I will once again tell them that they do not keep their commitments. What will be when there will be reimbursements ?????? I think I will unite around me so that our director and our delegate are reducing a call for tenders to other insurers.</v>
      </c>
    </row>
    <row r="473" ht="15.75" customHeight="1">
      <c r="B473" s="2" t="s">
        <v>1402</v>
      </c>
      <c r="C473" s="2" t="s">
        <v>1403</v>
      </c>
      <c r="D473" s="2" t="s">
        <v>1092</v>
      </c>
      <c r="E473" s="2" t="s">
        <v>14</v>
      </c>
      <c r="F473" s="2" t="s">
        <v>15</v>
      </c>
      <c r="G473" s="2" t="s">
        <v>543</v>
      </c>
      <c r="H473" s="2" t="s">
        <v>544</v>
      </c>
      <c r="I473" s="2" t="str">
        <f>IFERROR(__xludf.DUMMYFUNCTION("GOOGLETRANSLATE(C473,""fr"",""en"")"),"Look for complications to give an answer in my fee surpassing quote. They ask for details of fees when they know very well that the details are given later during the bill. The secretary of my surgeon says to me ""Ah Mutual Harmony poses always concerns t"&amp;"rucks etc ... while with the other mutuals our quotes never pose a problem !!!""
I intend to terminate after my intervention of tomorrow.
")</f>
        <v>Look for complications to give an answer in my fee surpassing quote. They ask for details of fees when they know very well that the details are given later during the bill. The secretary of my surgeon says to me "Ah Mutual Harmony poses always concerns trucks etc ... while with the other mutuals our quotes never pose a problem !!!"
I intend to terminate after my intervention of tomorrow.
</v>
      </c>
    </row>
    <row r="474" ht="15.75" customHeight="1">
      <c r="B474" s="2" t="s">
        <v>1404</v>
      </c>
      <c r="C474" s="2" t="s">
        <v>1405</v>
      </c>
      <c r="D474" s="2" t="s">
        <v>1092</v>
      </c>
      <c r="E474" s="2" t="s">
        <v>14</v>
      </c>
      <c r="F474" s="2" t="s">
        <v>15</v>
      </c>
      <c r="G474" s="2" t="s">
        <v>1406</v>
      </c>
      <c r="H474" s="2" t="s">
        <v>544</v>
      </c>
      <c r="I474" s="2" t="str">
        <f>IFERROR(__xludf.DUMMYFUNCTION("GOOGLETRANSLATE(C474,""fr"",""en"")"),"Inadmissible not to be reimbursed for my health costs since February 24, 2016
Computer problem merger harmony atlantic via harmony mutual. Paye € 2144 annual subscription.
My monthly payments are, however, taken every month. Very disappointed by your se"&amp;"rvices.")</f>
        <v>Inadmissible not to be reimbursed for my health costs since February 24, 2016
Computer problem merger harmony atlantic via harmony mutual. Paye € 2144 annual subscription.
My monthly payments are, however, taken every month. Very disappointed by your services.</v>
      </c>
    </row>
    <row r="475" ht="15.75" customHeight="1">
      <c r="B475" s="2" t="s">
        <v>1407</v>
      </c>
      <c r="C475" s="2" t="s">
        <v>1408</v>
      </c>
      <c r="D475" s="2" t="s">
        <v>1409</v>
      </c>
      <c r="E475" s="2" t="s">
        <v>14</v>
      </c>
      <c r="F475" s="2" t="s">
        <v>15</v>
      </c>
      <c r="G475" s="2" t="s">
        <v>1410</v>
      </c>
      <c r="H475" s="2" t="s">
        <v>39</v>
      </c>
      <c r="I475" s="2" t="str">
        <f>IFERROR(__xludf.DUMMYFUNCTION("GOOGLETRANSLATE(C475,""fr"",""en"")"),"Hello,
Following the death of the husband I wanted to know the follow -up of the contract, I sent various messages and unanswered calls.
He was part of a group mutual and when the person dies, all the people who are on the contract stops, without prior "&amp;"information. We have the unpleasant surprise during a CPAM count and with the inconvenience.
I will not recommend your mutual insurance company or even to
individuals
")</f>
        <v>Hello,
Following the death of the husband I wanted to know the follow -up of the contract, I sent various messages and unanswered calls.
He was part of a group mutual and when the person dies, all the people who are on the contract stops, without prior information. We have the unpleasant surprise during a CPAM count and with the inconvenience.
I will not recommend your mutual insurance company or even to
individuals
</v>
      </c>
    </row>
    <row r="476" ht="15.75" customHeight="1">
      <c r="B476" s="2" t="s">
        <v>1411</v>
      </c>
      <c r="C476" s="2" t="s">
        <v>1412</v>
      </c>
      <c r="D476" s="2" t="s">
        <v>1409</v>
      </c>
      <c r="E476" s="2" t="s">
        <v>14</v>
      </c>
      <c r="F476" s="2" t="s">
        <v>15</v>
      </c>
      <c r="G476" s="2" t="s">
        <v>1413</v>
      </c>
      <c r="H476" s="2" t="s">
        <v>555</v>
      </c>
      <c r="I476" s="2" t="str">
        <f>IFERROR(__xludf.DUMMYFUNCTION("GOOGLETRANSLATE(C476,""fr"",""en"")"),"Business mutual, therefore compulsory! She dear and does not reimburse much!
The height I have been fighting for months to be reimbursed for medical visits that have been dragging for over a year. Telephones, mail, mail with RC, and partial reimbursement"&amp;"s. Now they are no longer reachable, the covid certainly!
Mutual to proscribe, but we cannot leave, that's what we call freedom!")</f>
        <v>Business mutual, therefore compulsory! She dear and does not reimburse much!
The height I have been fighting for months to be reimbursed for medical visits that have been dragging for over a year. Telephones, mail, mail with RC, and partial reimbursements. Now they are no longer reachable, the covid certainly!
Mutual to proscribe, but we cannot leave, that's what we call freedom!</v>
      </c>
    </row>
    <row r="477" ht="15.75" customHeight="1">
      <c r="B477" s="2" t="s">
        <v>1414</v>
      </c>
      <c r="C477" s="2" t="s">
        <v>1415</v>
      </c>
      <c r="D477" s="2" t="s">
        <v>1409</v>
      </c>
      <c r="E477" s="2" t="s">
        <v>14</v>
      </c>
      <c r="F477" s="2" t="s">
        <v>15</v>
      </c>
      <c r="G477" s="2" t="s">
        <v>1416</v>
      </c>
      <c r="H477" s="2" t="s">
        <v>39</v>
      </c>
      <c r="I477" s="2" t="str">
        <f>IFERROR(__xludf.DUMMYFUNCTION("GOOGLETRANSLATE(C477,""fr"",""en"")"),"A shame to flee like the plague no service no consideration for the customer
A mutual that nevertheless experiences contributions from his members. Even if I have to pay more I leave the ship
")</f>
        <v>A shame to flee like the plague no service no consideration for the customer
A mutual that nevertheless experiences contributions from his members. Even if I have to pay more I leave the ship
</v>
      </c>
    </row>
    <row r="478" ht="15.75" customHeight="1">
      <c r="B478" s="2" t="s">
        <v>1417</v>
      </c>
      <c r="C478" s="2" t="s">
        <v>1418</v>
      </c>
      <c r="D478" s="2" t="s">
        <v>1409</v>
      </c>
      <c r="E478" s="2" t="s">
        <v>14</v>
      </c>
      <c r="F478" s="2" t="s">
        <v>15</v>
      </c>
      <c r="G478" s="2" t="s">
        <v>832</v>
      </c>
      <c r="H478" s="2" t="s">
        <v>301</v>
      </c>
      <c r="I478" s="2" t="str">
        <f>IFERROR(__xludf.DUMMYFUNCTION("GOOGLETRANSLATE(C478,""fr"",""en"")"),"Impossible to be reimbursed for hospital services. I've been trying to deposit invoices on their site for a week. Always the same message ""An error has occurred"". And not possible to reach them.")</f>
        <v>Impossible to be reimbursed for hospital services. I've been trying to deposit invoices on their site for a week. Always the same message "An error has occurred". And not possible to reach them.</v>
      </c>
    </row>
    <row r="479" ht="15.75" customHeight="1">
      <c r="B479" s="2" t="s">
        <v>1419</v>
      </c>
      <c r="C479" s="2" t="s">
        <v>1420</v>
      </c>
      <c r="D479" s="2" t="s">
        <v>1409</v>
      </c>
      <c r="E479" s="2" t="s">
        <v>14</v>
      </c>
      <c r="F479" s="2" t="s">
        <v>15</v>
      </c>
      <c r="G479" s="2" t="s">
        <v>1421</v>
      </c>
      <c r="H479" s="2" t="s">
        <v>301</v>
      </c>
      <c r="I479" s="2" t="str">
        <f>IFERROR(__xludf.DUMMYFUNCTION("GOOGLETRANSLATE(C479,""fr"",""en"")"),"Everything is done to discourage you ...........
The Internet service / Connection / We hang up during your calls / invoices not paid / Nothing works / Following your refund becomes a full -time activity
 ")</f>
        <v>Everything is done to discourage you ...........
The Internet service / Connection / We hang up during your calls / invoices not paid / Nothing works / Following your refund becomes a full -time activity
 </v>
      </c>
    </row>
    <row r="480" ht="15.75" customHeight="1">
      <c r="B480" s="2" t="s">
        <v>1422</v>
      </c>
      <c r="C480" s="2" t="s">
        <v>1423</v>
      </c>
      <c r="D480" s="2" t="s">
        <v>1409</v>
      </c>
      <c r="E480" s="2" t="s">
        <v>14</v>
      </c>
      <c r="F480" s="2" t="s">
        <v>15</v>
      </c>
      <c r="G480" s="2" t="s">
        <v>1424</v>
      </c>
      <c r="H480" s="2" t="s">
        <v>301</v>
      </c>
      <c r="I480" s="2" t="str">
        <f>IFERROR(__xludf.DUMMYFUNCTION("GOOGLETRANSLATE(C480,""fr"",""en"")"),"Ah yes it's not expensive! (A 20 euros for the family) But given that you have to cry to have a lesser refund, and know the laws so that they do not put it backwards thank you ... When to customer service , on the phone they do not know what to answer onc"&amp;"e out of 2 and to have an answer on online messaging ... Take your pain in patience! It is really because it is a mutual company and that we have no choice but to be there ...")</f>
        <v>Ah yes it's not expensive! (A 20 euros for the family) But given that you have to cry to have a lesser refund, and know the laws so that they do not put it backwards thank you ... When to customer service , on the phone they do not know what to answer once out of 2 and to have an answer on online messaging ... Take your pain in patience! It is really because it is a mutual company and that we have no choice but to be there ...</v>
      </c>
    </row>
    <row r="481" ht="15.75" customHeight="1">
      <c r="B481" s="2" t="s">
        <v>1425</v>
      </c>
      <c r="C481" s="2" t="s">
        <v>1426</v>
      </c>
      <c r="D481" s="2" t="s">
        <v>1409</v>
      </c>
      <c r="E481" s="2" t="s">
        <v>14</v>
      </c>
      <c r="F481" s="2" t="s">
        <v>15</v>
      </c>
      <c r="G481" s="2" t="s">
        <v>1427</v>
      </c>
      <c r="H481" s="2" t="s">
        <v>301</v>
      </c>
      <c r="I481" s="2" t="str">
        <f>IFERROR(__xludf.DUMMYFUNCTION("GOOGLETRANSLATE(C481,""fr"",""en"")"),"Mutual to banish !!!
A nullissime service with non -existent responsiveness and a total lack of consideration with their customers.
In addition, Mercer takes abusive way, for my part Mercer has taken the sum of € 363.00 from my bank account, without eve"&amp;"n contacting me to apologize and put almost a month to reimburse me:
Deposit on May 17, reimbursement of the overly received on June 9.
Knowing that my employer and I even pay € 100.22 on my pay sheet and that Mercer also takes € 50.73 per month from my"&amp;" bank account.")</f>
        <v>Mutual to banish !!!
A nullissime service with non -existent responsiveness and a total lack of consideration with their customers.
In addition, Mercer takes abusive way, for my part Mercer has taken the sum of € 363.00 from my bank account, without even contacting me to apologize and put almost a month to reimburse me:
Deposit on May 17, reimbursement of the overly received on June 9.
Knowing that my employer and I even pay € 100.22 on my pay sheet and that Mercer also takes € 50.73 per month from my bank account.</v>
      </c>
    </row>
    <row r="482" ht="15.75" customHeight="1">
      <c r="B482" s="2" t="s">
        <v>1428</v>
      </c>
      <c r="C482" s="2" t="s">
        <v>1429</v>
      </c>
      <c r="D482" s="2" t="s">
        <v>1409</v>
      </c>
      <c r="E482" s="2" t="s">
        <v>14</v>
      </c>
      <c r="F482" s="2" t="s">
        <v>15</v>
      </c>
      <c r="G482" s="2" t="s">
        <v>43</v>
      </c>
      <c r="H482" s="2" t="s">
        <v>43</v>
      </c>
      <c r="I482" s="2" t="str">
        <f>IFERROR(__xludf.DUMMYFUNCTION("GOOGLETRANSLATE(C482,""fr"",""en"")"),"Very decided with this mutual which takes a long time to reimburse, for which I have advanced my optical costs while my optician is itelis as the mutual. They do not respond to my messages on my MERCERNET account!
It is incomprehensible and I waste a lot"&amp;" of time when they have all the elements and I am assured for. It's just scandalous and I intend to bring information back to their management.")</f>
        <v>Very decided with this mutual which takes a long time to reimburse, for which I have advanced my optical costs while my optician is itelis as the mutual. They do not respond to my messages on my MERCERNET account!
It is incomprehensible and I waste a lot of time when they have all the elements and I am assured for. It's just scandalous and I intend to bring information back to their management.</v>
      </c>
    </row>
    <row r="483" ht="15.75" customHeight="1">
      <c r="B483" s="2" t="s">
        <v>1430</v>
      </c>
      <c r="C483" s="2" t="s">
        <v>1431</v>
      </c>
      <c r="D483" s="2" t="s">
        <v>1409</v>
      </c>
      <c r="E483" s="2" t="s">
        <v>14</v>
      </c>
      <c r="F483" s="2" t="s">
        <v>15</v>
      </c>
      <c r="G483" s="2" t="s">
        <v>313</v>
      </c>
      <c r="H483" s="2" t="s">
        <v>56</v>
      </c>
      <c r="I483" s="2" t="str">
        <f>IFERROR(__xludf.DUMMYFUNCTION("GOOGLETRANSLATE(C483,""fr"",""en"")"),"This Mercer company is to be flee. The staff and the absence of a service is dismay.
I am in portability and therefore unemployed and I literally base myself with them to obtain reimbursements.
No answer on complaints, calls on standard are useless beca"&amp;"use operators have no hands on files, these are flat passes that can do nothing apart from sending reminders to teams from the center of management.
For my part, I have been waiting for a reimbursement of expenses since December, reimbursement for March,"&amp;" April, May. I call 3 x per week, and we always say that it happens within 5 days and the weeks, months go by. But nothing.
No respect for customers. I am told that I am reminding me and making me emails and still nothing ...
The wait on the phone is al"&amp;"ways announced at more than 10 minutes and we manage to reach QQ1 after only 20 minutes, it's scandalous.
The next step is to go there to request accounts and denounce their way of doing things with a mediator.")</f>
        <v>This Mercer company is to be flee. The staff and the absence of a service is dismay.
I am in portability and therefore unemployed and I literally base myself with them to obtain reimbursements.
No answer on complaints, calls on standard are useless because operators have no hands on files, these are flat passes that can do nothing apart from sending reminders to teams from the center of management.
For my part, I have been waiting for a reimbursement of expenses since December, reimbursement for March, April, May. I call 3 x per week, and we always say that it happens within 5 days and the weeks, months go by. But nothing.
No respect for customers. I am told that I am reminding me and making me emails and still nothing ...
The wait on the phone is always announced at more than 10 minutes and we manage to reach QQ1 after only 20 minutes, it's scandalous.
The next step is to go there to request accounts and denounce their way of doing things with a mediator.</v>
      </c>
    </row>
    <row r="484" ht="15.75" customHeight="1">
      <c r="B484" s="2" t="s">
        <v>1432</v>
      </c>
      <c r="C484" s="2" t="s">
        <v>1433</v>
      </c>
      <c r="D484" s="2" t="s">
        <v>1409</v>
      </c>
      <c r="E484" s="2" t="s">
        <v>14</v>
      </c>
      <c r="F484" s="2" t="s">
        <v>15</v>
      </c>
      <c r="G484" s="2" t="s">
        <v>1434</v>
      </c>
      <c r="H484" s="2" t="s">
        <v>56</v>
      </c>
      <c r="I484" s="2" t="str">
        <f>IFERROR(__xludf.DUMMYFUNCTION("GOOGLETRANSLATE(C484,""fr"",""en"")"),"Processing time of extraordinarily long quotes, management of requests and reimbursement of costs covered by the catastrophic mutual, too bad the zero in the rating is not possible!")</f>
        <v>Processing time of extraordinarily long quotes, management of requests and reimbursement of costs covered by the catastrophic mutual, too bad the zero in the rating is not possible!</v>
      </c>
    </row>
    <row r="485" ht="15.75" customHeight="1">
      <c r="B485" s="2" t="s">
        <v>1435</v>
      </c>
      <c r="C485" s="2" t="s">
        <v>1436</v>
      </c>
      <c r="D485" s="2" t="s">
        <v>1409</v>
      </c>
      <c r="E485" s="2" t="s">
        <v>14</v>
      </c>
      <c r="F485" s="2" t="s">
        <v>15</v>
      </c>
      <c r="G485" s="2" t="s">
        <v>598</v>
      </c>
      <c r="H485" s="2" t="s">
        <v>56</v>
      </c>
      <c r="I485" s="2" t="str">
        <f>IFERROR(__xludf.DUMMYFUNCTION("GOOGLETRANSLATE(C485,""fr"",""en"")"),"Mutual difficult to reach. Extremely long processing time (for example: almost 1 year to obtain the first affiliate card). If a problem arises (CPAM link, missing part, etc.), it does not contact you to inform you and try to find a solution. Not at all re"&amp;"commendable.")</f>
        <v>Mutual difficult to reach. Extremely long processing time (for example: almost 1 year to obtain the first affiliate card). If a problem arises (CPAM link, missing part, etc.), it does not contact you to inform you and try to find a solution. Not at all recommendable.</v>
      </c>
    </row>
    <row r="486" ht="15.75" customHeight="1">
      <c r="B486" s="2" t="s">
        <v>1437</v>
      </c>
      <c r="C486" s="2" t="s">
        <v>1438</v>
      </c>
      <c r="D486" s="2" t="s">
        <v>1409</v>
      </c>
      <c r="E486" s="2" t="s">
        <v>14</v>
      </c>
      <c r="F486" s="2" t="s">
        <v>15</v>
      </c>
      <c r="G486" s="2" t="s">
        <v>598</v>
      </c>
      <c r="H486" s="2" t="s">
        <v>56</v>
      </c>
      <c r="I486" s="2" t="str">
        <f>IFERROR(__xludf.DUMMYFUNCTION("GOOGLETRANSLATE(C486,""fr"",""en"")"),"A single word to say lamentable, since the start of the year no response to different problems, a telephone reception which is useless always the same answers that do not advance the files.
Several times the interlocutors to Mercer have hung us on the no"&amp;"se.
We will remind you within 15 days of course nobody reminds you.
For more than a year now the Mercer service has been lamentable more than two months to reimburse 154 euros of lenses.
On the other hand, increases are still regular ??
I don't want t"&amp;"o write this email to you in an anonymous way, I totally assume my words.")</f>
        <v>A single word to say lamentable, since the start of the year no response to different problems, a telephone reception which is useless always the same answers that do not advance the files.
Several times the interlocutors to Mercer have hung us on the nose.
We will remind you within 15 days of course nobody reminds you.
For more than a year now the Mercer service has been lamentable more than two months to reimburse 154 euros of lenses.
On the other hand, increases are still regular ??
I don't want to write this email to you in an anonymous way, I totally assume my words.</v>
      </c>
    </row>
    <row r="487" ht="15.75" customHeight="1">
      <c r="B487" s="2" t="s">
        <v>1439</v>
      </c>
      <c r="C487" s="2" t="s">
        <v>1440</v>
      </c>
      <c r="D487" s="2" t="s">
        <v>1409</v>
      </c>
      <c r="E487" s="2" t="s">
        <v>14</v>
      </c>
      <c r="F487" s="2" t="s">
        <v>15</v>
      </c>
      <c r="G487" s="2" t="s">
        <v>838</v>
      </c>
      <c r="H487" s="2" t="s">
        <v>56</v>
      </c>
      <c r="I487" s="2" t="str">
        <f>IFERROR(__xludf.DUMMYFUNCTION("GOOGLETRANSLATE(C487,""fr"",""en"")"),"Never reachable it cuts after 30 minutes of waiting. The site is all the time down. I am never reimbursed. Mediocre I will terminate.")</f>
        <v>Never reachable it cuts after 30 minutes of waiting. The site is all the time down. I am never reimbursed. Mediocre I will terminate.</v>
      </c>
    </row>
    <row r="488" ht="15.75" customHeight="1">
      <c r="B488" s="2" t="s">
        <v>1441</v>
      </c>
      <c r="C488" s="2" t="s">
        <v>1442</v>
      </c>
      <c r="D488" s="2" t="s">
        <v>1409</v>
      </c>
      <c r="E488" s="2" t="s">
        <v>14</v>
      </c>
      <c r="F488" s="2" t="s">
        <v>15</v>
      </c>
      <c r="G488" s="2" t="s">
        <v>1443</v>
      </c>
      <c r="H488" s="2" t="s">
        <v>56</v>
      </c>
      <c r="I488" s="2" t="str">
        <f>IFERROR(__xludf.DUMMYFUNCTION("GOOGLETRANSLATE(C488,""fr"",""en"")"),"This mutual is a disaster.
It is very little professional, never responds to our problems, very long in reimbursements when they are done abroad, like the PCR tests for example for which I have been waiting for months.
We cannot reach them by such eithe"&amp;"r.
To flee, I had many mutuals but this one is the worst of all ...")</f>
        <v>This mutual is a disaster.
It is very little professional, never responds to our problems, very long in reimbursements when they are done abroad, like the PCR tests for example for which I have been waiting for months.
We cannot reach them by such either.
To flee, I had many mutuals but this one is the worst of all ...</v>
      </c>
    </row>
    <row r="489" ht="15.75" customHeight="1">
      <c r="B489" s="2" t="s">
        <v>1444</v>
      </c>
      <c r="C489" s="2" t="s">
        <v>1445</v>
      </c>
      <c r="D489" s="2" t="s">
        <v>1409</v>
      </c>
      <c r="E489" s="2" t="s">
        <v>14</v>
      </c>
      <c r="F489" s="2" t="s">
        <v>15</v>
      </c>
      <c r="G489" s="2" t="s">
        <v>607</v>
      </c>
      <c r="H489" s="2" t="s">
        <v>56</v>
      </c>
      <c r="I489" s="2" t="str">
        <f>IFERROR(__xludf.DUMMYFUNCTION("GOOGLETRANSLATE(C489,""fr"",""en"")"),"What more can be said ! Shameful on the whole line! In view of everything I have just read and that overlaps my unhappy experience with Mercer, I decide to officially inform my employer. Despite the members of this way, it can no longer last! The covid ca"&amp;"nnot excuse everything.")</f>
        <v>What more can be said ! Shameful on the whole line! In view of everything I have just read and that overlaps my unhappy experience with Mercer, I decide to officially inform my employer. Despite the members of this way, it can no longer last! The covid cannot excuse everything.</v>
      </c>
    </row>
    <row r="490" ht="15.75" customHeight="1">
      <c r="B490" s="2" t="s">
        <v>1446</v>
      </c>
      <c r="C490" s="2" t="s">
        <v>1447</v>
      </c>
      <c r="D490" s="2" t="s">
        <v>1409</v>
      </c>
      <c r="E490" s="2" t="s">
        <v>14</v>
      </c>
      <c r="F490" s="2" t="s">
        <v>15</v>
      </c>
      <c r="G490" s="2" t="s">
        <v>72</v>
      </c>
      <c r="H490" s="2" t="s">
        <v>69</v>
      </c>
      <c r="I490" s="2" t="str">
        <f>IFERROR(__xludf.DUMMYFUNCTION("GOOGLETRANSLATE(C490,""fr"",""en"")"),"My opinion joins those I have just read. Customers since 2015 by obligation of my husband's employer, we were very satisfied. Indeed, it has lamentably deteriorated from the covid. Many problems with requests for care. Customer service very difficult to r"&amp;"each, when finally it picks up, we tell you yes yes blablabla, it is done and then nothing. No follow -up !!! Deadlines far too long but we tell you that it is because of the covid and the telework ... It will be time to get it for more than a year that i"&amp;"t lasts! Fortunately my husband will change employer, I can't wait, I am delighted to change my mutual, it cannot be worse!")</f>
        <v>My opinion joins those I have just read. Customers since 2015 by obligation of my husband's employer, we were very satisfied. Indeed, it has lamentably deteriorated from the covid. Many problems with requests for care. Customer service very difficult to reach, when finally it picks up, we tell you yes yes blablabla, it is done and then nothing. No follow -up !!! Deadlines far too long but we tell you that it is because of the covid and the telework ... It will be time to get it for more than a year that it lasts! Fortunately my husband will change employer, I can't wait, I am delighted to change my mutual, it cannot be worse!</v>
      </c>
    </row>
    <row r="491" ht="15.75" customHeight="1">
      <c r="B491" s="2" t="s">
        <v>1448</v>
      </c>
      <c r="C491" s="2" t="s">
        <v>1449</v>
      </c>
      <c r="D491" s="2" t="s">
        <v>1409</v>
      </c>
      <c r="E491" s="2" t="s">
        <v>14</v>
      </c>
      <c r="F491" s="2" t="s">
        <v>15</v>
      </c>
      <c r="G491" s="2" t="s">
        <v>622</v>
      </c>
      <c r="H491" s="2" t="s">
        <v>69</v>
      </c>
      <c r="I491" s="2" t="str">
        <f>IFERROR(__xludf.DUMMYFUNCTION("GOOGLETRANSLATE(C491,""fr"",""en"")"),"Delai too long for a refund. Social Security Decomote received for 1 month, and still nothing, despite calls. Mandatory job for work super Fuyer this mutual")</f>
        <v>Delai too long for a refund. Social Security Decomote received for 1 month, and still nothing, despite calls. Mandatory job for work super Fuyer this mutual</v>
      </c>
    </row>
    <row r="492" ht="15.75" customHeight="1">
      <c r="B492" s="2" t="s">
        <v>1450</v>
      </c>
      <c r="C492" s="2" t="s">
        <v>1451</v>
      </c>
      <c r="D492" s="2" t="s">
        <v>1409</v>
      </c>
      <c r="E492" s="2" t="s">
        <v>14</v>
      </c>
      <c r="F492" s="2" t="s">
        <v>15</v>
      </c>
      <c r="G492" s="2" t="s">
        <v>1452</v>
      </c>
      <c r="H492" s="2" t="s">
        <v>69</v>
      </c>
      <c r="I492" s="2" t="str">
        <f>IFERROR(__xludf.DUMMYFUNCTION("GOOGLETRANSLATE(C492,""fr"",""en"")"),"Mutuelle not serious does not reimburse his customer communication absent flee quickly Mercer par pity do not take out a contract with them.
I will report them to the consumer service because since March I have been waiting for a refund and have am amuse"&amp;"ment every week
Olivier.")</f>
        <v>Mutuelle not serious does not reimburse his customer communication absent flee quickly Mercer par pity do not take out a contract with them.
I will report them to the consumer service because since March I have been waiting for a refund and have am amusement every week
Olivier.</v>
      </c>
    </row>
    <row r="493" ht="15.75" customHeight="1">
      <c r="B493" s="2" t="s">
        <v>1453</v>
      </c>
      <c r="C493" s="2" t="s">
        <v>1454</v>
      </c>
      <c r="D493" s="2" t="s">
        <v>1409</v>
      </c>
      <c r="E493" s="2" t="s">
        <v>14</v>
      </c>
      <c r="F493" s="2" t="s">
        <v>15</v>
      </c>
      <c r="G493" s="2" t="s">
        <v>1455</v>
      </c>
      <c r="H493" s="2" t="s">
        <v>69</v>
      </c>
      <c r="I493" s="2" t="str">
        <f>IFERROR(__xludf.DUMMYFUNCTION("GOOGLETRANSLATE(C493,""fr"",""en"")"),"A disaster, still no reimbursement 2 and a half months after a doctor consultation sent by Ameli and in the care path. In addition to this forgetfulness, no response to the complaint sent a month and a half ago. To react I send one message a day. If every"&amp;"one does the same Mercer will be forced to react to avoid accumulation and in particular to respond quickly to customers who employ this technique. Gift poisoned this business mutual.")</f>
        <v>A disaster, still no reimbursement 2 and a half months after a doctor consultation sent by Ameli and in the care path. In addition to this forgetfulness, no response to the complaint sent a month and a half ago. To react I send one message a day. If everyone does the same Mercer will be forced to react to avoid accumulation and in particular to respond quickly to customers who employ this technique. Gift poisoned this business mutual.</v>
      </c>
    </row>
    <row r="494" ht="15.75" customHeight="1">
      <c r="B494" s="2" t="s">
        <v>1456</v>
      </c>
      <c r="C494" s="2" t="s">
        <v>1457</v>
      </c>
      <c r="D494" s="2" t="s">
        <v>1409</v>
      </c>
      <c r="E494" s="2" t="s">
        <v>14</v>
      </c>
      <c r="F494" s="2" t="s">
        <v>15</v>
      </c>
      <c r="G494" s="2" t="s">
        <v>1458</v>
      </c>
      <c r="H494" s="2" t="s">
        <v>69</v>
      </c>
      <c r="I494" s="2" t="str">
        <f>IFERROR(__xludf.DUMMYFUNCTION("GOOGLETRANSLATE(C494,""fr"",""en"")"),"This mutual is infinitely reimbursing. including for beneficiaries of the contract.
I have already relaunched for an optical invoice and despite the fact that I have been indicated to put the invoice in payment, I always wait ....
Do not recommend ....")</f>
        <v>This mutual is infinitely reimbursing. including for beneficiaries of the contract.
I have already relaunched for an optical invoice and despite the fact that I have been indicated to put the invoice in payment, I always wait ....
Do not recommend ....</v>
      </c>
    </row>
    <row r="495" ht="15.75" customHeight="1">
      <c r="B495" s="2" t="s">
        <v>1459</v>
      </c>
      <c r="C495" s="2" t="s">
        <v>1460</v>
      </c>
      <c r="D495" s="2" t="s">
        <v>1409</v>
      </c>
      <c r="E495" s="2" t="s">
        <v>14</v>
      </c>
      <c r="F495" s="2" t="s">
        <v>15</v>
      </c>
      <c r="G495" s="2" t="s">
        <v>1121</v>
      </c>
      <c r="H495" s="2" t="s">
        <v>69</v>
      </c>
      <c r="I495" s="2" t="str">
        <f>IFERROR(__xludf.DUMMYFUNCTION("GOOGLETRANSLATE(C495,""fr"",""en"")"),"Unimaginable processing times, which are no longer counted in weeks, but in whole months! Difficult communication: messages remain unanswered and without action.")</f>
        <v>Unimaginable processing times, which are no longer counted in weeks, but in whole months! Difficult communication: messages remain unanswered and without action.</v>
      </c>
    </row>
    <row r="496" ht="15.75" customHeight="1">
      <c r="B496" s="2" t="s">
        <v>1461</v>
      </c>
      <c r="C496" s="2" t="s">
        <v>1462</v>
      </c>
      <c r="D496" s="2" t="s">
        <v>1409</v>
      </c>
      <c r="E496" s="2" t="s">
        <v>14</v>
      </c>
      <c r="F496" s="2" t="s">
        <v>15</v>
      </c>
      <c r="G496" s="2" t="s">
        <v>634</v>
      </c>
      <c r="H496" s="2" t="s">
        <v>69</v>
      </c>
      <c r="I496" s="2" t="str">
        <f>IFERROR(__xludf.DUMMYFUNCTION("GOOGLETRANSLATE(C496,""fr"",""en"")"),"Catastrophic customer service! Useful, incompetent operators, who debute nonsense on the phone and who allow themselves to get upset against you because you have not understood the incomprehensible. Ridiculous. Run away !!")</f>
        <v>Catastrophic customer service! Useful, incompetent operators, who debute nonsense on the phone and who allow themselves to get upset against you because you have not understood the incomprehensible. Ridiculous. Run away !!</v>
      </c>
    </row>
    <row r="497" ht="15.75" customHeight="1">
      <c r="B497" s="2" t="s">
        <v>1463</v>
      </c>
      <c r="C497" s="2" t="s">
        <v>1464</v>
      </c>
      <c r="D497" s="2" t="s">
        <v>1409</v>
      </c>
      <c r="E497" s="2" t="s">
        <v>14</v>
      </c>
      <c r="F497" s="2" t="s">
        <v>15</v>
      </c>
      <c r="G497" s="2" t="s">
        <v>637</v>
      </c>
      <c r="H497" s="2" t="s">
        <v>69</v>
      </c>
      <c r="I497" s="2" t="str">
        <f>IFERROR(__xludf.DUMMYFUNCTION("GOOGLETRANSLATE(C497,""fr"",""en"")"),"Hello,
Big reimbursement problem even with a request for care.
In multiple recovery I contacted your body their response is the covid 19.
Dental care in early March I still see nothing coming. (More than two months)
")</f>
        <v>Hello,
Big reimbursement problem even with a request for care.
In multiple recovery I contacted your body their response is the covid 19.
Dental care in early March I still see nothing coming. (More than two months)
</v>
      </c>
    </row>
    <row r="498" ht="15.75" customHeight="1">
      <c r="B498" s="2" t="s">
        <v>1465</v>
      </c>
      <c r="C498" s="2" t="s">
        <v>1466</v>
      </c>
      <c r="D498" s="2" t="s">
        <v>1409</v>
      </c>
      <c r="E498" s="2" t="s">
        <v>14</v>
      </c>
      <c r="F498" s="2" t="s">
        <v>15</v>
      </c>
      <c r="G498" s="2" t="s">
        <v>1467</v>
      </c>
      <c r="H498" s="2" t="s">
        <v>79</v>
      </c>
      <c r="I498" s="2" t="str">
        <f>IFERROR(__xludf.DUMMYFUNCTION("GOOGLETRANSLATE(C498,""fr"",""en"")"),"To avoid, no satisfactory response, no salary supplement for more than 3 months, you talk about a mutual/foresight lol of what to leave the patients and put them on the street especially, to flee I strongly advise against for my part imposed By the employ"&amp;"er, I understand why today.")</f>
        <v>To avoid, no satisfactory response, no salary supplement for more than 3 months, you talk about a mutual/foresight lol of what to leave the patients and put them on the street especially, to flee I strongly advise against for my part imposed By the employer, I understand why today.</v>
      </c>
    </row>
    <row r="499" ht="15.75" customHeight="1">
      <c r="B499" s="2" t="s">
        <v>1468</v>
      </c>
      <c r="C499" s="2" t="s">
        <v>1469</v>
      </c>
      <c r="D499" s="2" t="s">
        <v>1409</v>
      </c>
      <c r="E499" s="2" t="s">
        <v>14</v>
      </c>
      <c r="F499" s="2" t="s">
        <v>15</v>
      </c>
      <c r="G499" s="2" t="s">
        <v>654</v>
      </c>
      <c r="H499" s="2" t="s">
        <v>79</v>
      </c>
      <c r="I499" s="2" t="str">
        <f>IFERROR(__xludf.DUMMYFUNCTION("GOOGLETRANSLATE(C499,""fr"",""en"")"),"Lamentable, deplorable, unacceptable service
Mutual to avoid or flee as soon as you can
Requests for reimbursements sent since January 2021.
Despite many reminders, these requests are still not processed (April 20).
This mutual insurance company doe"&amp;"s not offer any service. The agents on the telephone platform are unable to provide an answer to the requests. They are simply there to raise the complaints, which never succeed. No response, either to emails no more mail. Completely desperate.
")</f>
        <v>Lamentable, deplorable, unacceptable service
Mutual to avoid or flee as soon as you can
Requests for reimbursements sent since January 2021.
Despite many reminders, these requests are still not processed (April 20).
This mutual insurance company does not offer any service. The agents on the telephone platform are unable to provide an answer to the requests. They are simply there to raise the complaints, which never succeed. No response, either to emails no more mail. Completely desperate.
</v>
      </c>
    </row>
    <row r="500" ht="15.75" customHeight="1">
      <c r="B500" s="2" t="s">
        <v>1470</v>
      </c>
      <c r="C500" s="2" t="s">
        <v>1471</v>
      </c>
      <c r="D500" s="2" t="s">
        <v>1409</v>
      </c>
      <c r="E500" s="2" t="s">
        <v>14</v>
      </c>
      <c r="F500" s="2" t="s">
        <v>15</v>
      </c>
      <c r="G500" s="2" t="s">
        <v>82</v>
      </c>
      <c r="H500" s="2" t="s">
        <v>79</v>
      </c>
      <c r="I500" s="2" t="str">
        <f>IFERROR(__xludf.DUMMYFUNCTION("GOOGLETRANSLATE(C500,""fr"",""en"")"),"Deplorable customer service
To avoid absolutely
Ashamed
Does not know how to answer asking
Incompetent
No follow -up
Impossible to have a competent person on the phone")</f>
        <v>Deplorable customer service
To avoid absolutely
Ashamed
Does not know how to answer asking
Incompetent
No follow -up
Impossible to have a competent person on the phone</v>
      </c>
    </row>
    <row r="501" ht="15.75" customHeight="1">
      <c r="B501" s="2" t="s">
        <v>1472</v>
      </c>
      <c r="C501" s="2" t="s">
        <v>1473</v>
      </c>
      <c r="D501" s="2" t="s">
        <v>1409</v>
      </c>
      <c r="E501" s="2" t="s">
        <v>14</v>
      </c>
      <c r="F501" s="2" t="s">
        <v>15</v>
      </c>
      <c r="G501" s="2" t="s">
        <v>1474</v>
      </c>
      <c r="H501" s="2" t="s">
        <v>79</v>
      </c>
      <c r="I501" s="2" t="str">
        <f>IFERROR(__xludf.DUMMYFUNCTION("GOOGLETRANSLATE(C501,""fr"",""en"")"),"It's simple: for several months now it is impossible for me to connect to my account: invariably ""an error has occurred"". So it is impossible to submit refund requests. The email addresses to contact them come back in error. On the phone we are walking "&amp;"from sales in technical service")</f>
        <v>It's simple: for several months now it is impossible for me to connect to my account: invariably "an error has occurred". So it is impossible to submit refund requests. The email addresses to contact them come back in error. On the phone we are walking from sales in technical service</v>
      </c>
    </row>
    <row r="502" ht="15.75" customHeight="1">
      <c r="B502" s="2" t="s">
        <v>1475</v>
      </c>
      <c r="C502" s="2" t="s">
        <v>1476</v>
      </c>
      <c r="D502" s="2" t="s">
        <v>1409</v>
      </c>
      <c r="E502" s="2" t="s">
        <v>14</v>
      </c>
      <c r="F502" s="2" t="s">
        <v>15</v>
      </c>
      <c r="G502" s="2" t="s">
        <v>1477</v>
      </c>
      <c r="H502" s="2" t="s">
        <v>79</v>
      </c>
      <c r="I502" s="2" t="str">
        <f>IFERROR(__xludf.DUMMYFUNCTION("GOOGLETRANSLATE(C502,""fr"",""en"")"),"Do like me. I am at the UFC and I asked them for the association to intervene; which in addition will make a little advertisement for this mutual ghost. It is incredible that this organization can still work ... finally, exist! Do not forget that union is"&amp;" strength!")</f>
        <v>Do like me. I am at the UFC and I asked them for the association to intervene; which in addition will make a little advertisement for this mutual ghost. It is incredible that this organization can still work ... finally, exist! Do not forget that union is strength!</v>
      </c>
    </row>
    <row r="503" ht="15.75" customHeight="1">
      <c r="B503" s="2" t="s">
        <v>1478</v>
      </c>
      <c r="C503" s="2" t="s">
        <v>1479</v>
      </c>
      <c r="D503" s="2" t="s">
        <v>1409</v>
      </c>
      <c r="E503" s="2" t="s">
        <v>14</v>
      </c>
      <c r="F503" s="2" t="s">
        <v>15</v>
      </c>
      <c r="G503" s="2" t="s">
        <v>85</v>
      </c>
      <c r="H503" s="2" t="s">
        <v>79</v>
      </c>
      <c r="I503" s="2" t="str">
        <f>IFERROR(__xludf.DUMMYFUNCTION("GOOGLETRANSLATE(C503,""fr"",""en"")"),"Lamentable mutual. No contact, no response to requests made by email or by phone. We feel a form of contempt for their customers.")</f>
        <v>Lamentable mutual. No contact, no response to requests made by email or by phone. We feel a form of contempt for their customers.</v>
      </c>
    </row>
    <row r="504" ht="15.75" customHeight="1">
      <c r="B504" s="2" t="s">
        <v>1480</v>
      </c>
      <c r="C504" s="2" t="s">
        <v>1481</v>
      </c>
      <c r="D504" s="2" t="s">
        <v>1409</v>
      </c>
      <c r="E504" s="2" t="s">
        <v>14</v>
      </c>
      <c r="F504" s="2" t="s">
        <v>15</v>
      </c>
      <c r="G504" s="2" t="s">
        <v>85</v>
      </c>
      <c r="H504" s="2" t="s">
        <v>79</v>
      </c>
      <c r="I504" s="2" t="str">
        <f>IFERROR(__xludf.DUMMYFUNCTION("GOOGLETRANSLATE(C504,""fr"",""en"")"),"A mutual that makes fun of the patients. Weeks to obtain a refund. Impossible to reach. To run away absolutely.
Unpleasant and incompetent advisers. Absolute horror.")</f>
        <v>A mutual that makes fun of the patients. Weeks to obtain a refund. Impossible to reach. To run away absolutely.
Unpleasant and incompetent advisers. Absolute horror.</v>
      </c>
    </row>
    <row r="505" ht="15.75" customHeight="1">
      <c r="B505" s="2" t="s">
        <v>1482</v>
      </c>
      <c r="C505" s="2" t="s">
        <v>1483</v>
      </c>
      <c r="D505" s="2" t="s">
        <v>1409</v>
      </c>
      <c r="E505" s="2" t="s">
        <v>14</v>
      </c>
      <c r="F505" s="2" t="s">
        <v>15</v>
      </c>
      <c r="G505" s="2" t="s">
        <v>847</v>
      </c>
      <c r="H505" s="2" t="s">
        <v>79</v>
      </c>
      <c r="I505" s="2" t="str">
        <f>IFERROR(__xludf.DUMMYFUNCTION("GOOGLETRANSLATE(C505,""fr"",""en"")"),"Lavable on all plans, telephone waiting time, reimbursement deadlines, non -existent customer assistance, impossibility of having a competent interlocutor "", always the same answer"" I bring up your request and we return to you "", and nothing comes back"&amp;" .... or absurd answers.
An original idea: the customer service reception message offers to call the IT service !!!! which refers you to customer service !!!
We can clearly see that Mercer has engaged in a policy of cost reduction in contempt for the qu"&amp;"ality of service
")</f>
        <v>Lavable on all plans, telephone waiting time, reimbursement deadlines, non -existent customer assistance, impossibility of having a competent interlocutor ", always the same answer" I bring up your request and we return to you ", and nothing comes back .... or absurd answers.
An original idea: the customer service reception message offers to call the IT service !!!! which refers you to customer service !!!
We can clearly see that Mercer has engaged in a policy of cost reduction in contempt for the quality of service
</v>
      </c>
    </row>
    <row r="506" ht="15.75" customHeight="1">
      <c r="B506" s="2" t="s">
        <v>1484</v>
      </c>
      <c r="C506" s="2" t="s">
        <v>1485</v>
      </c>
      <c r="D506" s="2" t="s">
        <v>1409</v>
      </c>
      <c r="E506" s="2" t="s">
        <v>14</v>
      </c>
      <c r="F506" s="2" t="s">
        <v>15</v>
      </c>
      <c r="G506" s="2" t="s">
        <v>1127</v>
      </c>
      <c r="H506" s="2" t="s">
        <v>79</v>
      </c>
      <c r="I506" s="2" t="str">
        <f>IFERROR(__xludf.DUMMYFUNCTION("GOOGLETRANSLATE(C506,""fr"",""en"")"),"A real disaster, it is very complicated to reach the mutual: no response to messages, and almost impossible by phone. When by miracle the call is taken on the telephone platform, we are in contact with an operator who ensures that everything is in order, "&amp;"or conversely who claims papers that do not exist ... my mother is waiting Operations reimbursements for more than two months. The file is classic, it could not be simpler, all of the supporting documents transmitted upon their reception, but Mercer manag"&amp;"ed to plant himself. If I was not there to help my mother recover her reimbursements, it would be completely lost. She still pays around 120 € per month!
On the other hand, to announce the increases, make catching up in the previous year, there is no del"&amp;"ay.")</f>
        <v>A real disaster, it is very complicated to reach the mutual: no response to messages, and almost impossible by phone. When by miracle the call is taken on the telephone platform, we are in contact with an operator who ensures that everything is in order, or conversely who claims papers that do not exist ... my mother is waiting Operations reimbursements for more than two months. The file is classic, it could not be simpler, all of the supporting documents transmitted upon their reception, but Mercer managed to plant himself. If I was not there to help my mother recover her reimbursements, it would be completely lost. She still pays around 120 € per month!
On the other hand, to announce the increases, make catching up in the previous year, there is no delay.</v>
      </c>
    </row>
    <row r="507" ht="15.75" customHeight="1">
      <c r="B507" s="2" t="s">
        <v>1486</v>
      </c>
      <c r="C507" s="2" t="s">
        <v>1487</v>
      </c>
      <c r="D507" s="2" t="s">
        <v>1409</v>
      </c>
      <c r="E507" s="2" t="s">
        <v>14</v>
      </c>
      <c r="F507" s="2" t="s">
        <v>15</v>
      </c>
      <c r="G507" s="2" t="s">
        <v>670</v>
      </c>
      <c r="H507" s="2" t="s">
        <v>92</v>
      </c>
      <c r="I507" s="2" t="str">
        <f>IFERROR(__xludf.DUMMYFUNCTION("GOOGLETRANSLATE(C507,""fr"",""en"")"),"Almost 4 years correct, everything deteriorated with the year of portability from which I benefited following an economic dismissal in March 2019.
At the time of my radiation from Mercer, many reimbursements were still suffering, I did not receive emai"&amp;"ls from them anymore and I could no longer have access to my online customer area to follow the files and understand the blockages.
Since September 2020, I have claimed my certificate of cancellation and the 2019 and 2020 reimbursement statements to wh"&amp;"ich I no longer have access. Mails, RAR letter, very numerous calls for the complaint service, nothing helps. The rare responses by email are next to the plate. No response to my registered letter from January 2021. Mercer advisers are kind but their acti"&amp;"ons are without effect. Or I am answered on the online space that I cannot definitely consult. Welcome to absurdia!
The advisers tell me different things with each call and promise me a resolution within 15 days max ... I'm still waiting!
I am in an i"&amp;"mpasse, my new mutual insurance company requires me a certificate of cancellation to reimburse the care after my radiation ... and I cannot even enter the mediator because Mercer is not members of insurance mediation. An idea to solve this problem? Thank "&amp;"you and good luck to the other victims of this deplorable management.
")</f>
        <v>Almost 4 years correct, everything deteriorated with the year of portability from which I benefited following an economic dismissal in March 2019.
At the time of my radiation from Mercer, many reimbursements were still suffering, I did not receive emails from them anymore and I could no longer have access to my online customer area to follow the files and understand the blockages.
Since September 2020, I have claimed my certificate of cancellation and the 2019 and 2020 reimbursement statements to which I no longer have access. Mails, RAR letter, very numerous calls for the complaint service, nothing helps. The rare responses by email are next to the plate. No response to my registered letter from January 2021. Mercer advisers are kind but their actions are without effect. Or I am answered on the online space that I cannot definitely consult. Welcome to absurdia!
The advisers tell me different things with each call and promise me a resolution within 15 days max ... I'm still waiting!
I am in an impasse, my new mutual insurance company requires me a certificate of cancellation to reimburse the care after my radiation ... and I cannot even enter the mediator because Mercer is not members of insurance mediation. An idea to solve this problem? Thank you and good luck to the other victims of this deplorable management.
</v>
      </c>
    </row>
    <row r="508" ht="15.75" customHeight="1">
      <c r="B508" s="2" t="s">
        <v>1488</v>
      </c>
      <c r="C508" s="2" t="s">
        <v>1489</v>
      </c>
      <c r="D508" s="2" t="s">
        <v>1409</v>
      </c>
      <c r="E508" s="2" t="s">
        <v>14</v>
      </c>
      <c r="F508" s="2" t="s">
        <v>15</v>
      </c>
      <c r="G508" s="2" t="s">
        <v>673</v>
      </c>
      <c r="H508" s="2" t="s">
        <v>92</v>
      </c>
      <c r="I508" s="2" t="str">
        <f>IFERROR(__xludf.DUMMYFUNCTION("GOOGLETRANSLATE(C508,""fr"",""en"")"),"Customer service of incompetence without precede! Each contact is a total disappointment. The amounts of the same quote vary (will know why?), Refunds are forgotten and then the icing on the cake when they are called (a paid line!) To try to understand th"&amp;"e conditions for reimbursement of my contract, we Dare to say to you ""I can't explain to you, I'm not going to stay an hour on the phone with you"". And then explain the quote received, that couldn't either. And then why I have not been reimbursed for my"&amp;"self for more than four months, the answer is ""I can't tell you"" .... uh ... why I waste my time calling you to have human contact And above all a specialist ...
")</f>
        <v>Customer service of incompetence without precede! Each contact is a total disappointment. The amounts of the same quote vary (will know why?), Refunds are forgotten and then the icing on the cake when they are called (a paid line!) To try to understand the conditions for reimbursement of my contract, we Dare to say to you "I can't explain to you, I'm not going to stay an hour on the phone with you". And then explain the quote received, that couldn't either. And then why I have not been reimbursed for myself for more than four months, the answer is "I can't tell you" .... uh ... why I waste my time calling you to have human contact And above all a specialist ...
</v>
      </c>
    </row>
    <row r="509" ht="15.75" customHeight="1">
      <c r="B509" s="2" t="s">
        <v>1490</v>
      </c>
      <c r="C509" s="2" t="s">
        <v>1491</v>
      </c>
      <c r="D509" s="2" t="s">
        <v>1409</v>
      </c>
      <c r="E509" s="2" t="s">
        <v>14</v>
      </c>
      <c r="F509" s="2" t="s">
        <v>15</v>
      </c>
      <c r="G509" s="2" t="s">
        <v>1492</v>
      </c>
      <c r="H509" s="2" t="s">
        <v>92</v>
      </c>
      <c r="I509" s="2" t="str">
        <f>IFERROR(__xludf.DUMMYFUNCTION("GOOGLETRANSLATE(C509,""fr"",""en"")"),"Worse in worse, the processing of files takes more than three weeks just for a refund. Then you have to receive the service of services with the person who received the care and it is to the little happiness luck. It's been more than 3 months now that I w"&amp;"ait for this type of document and everyone is swinging at Mercer, 4 calls, 1 stimulates directly on the site (no answer) and 2 emails live to a manager and still nothing . Long live Mercer who is only a subcontractor and has nothing to make requests from "&amp;"customers. TO AVOID !")</f>
        <v>Worse in worse, the processing of files takes more than three weeks just for a refund. Then you have to receive the service of services with the person who received the care and it is to the little happiness luck. It's been more than 3 months now that I wait for this type of document and everyone is swinging at Mercer, 4 calls, 1 stimulates directly on the site (no answer) and 2 emails live to a manager and still nothing . Long live Mercer who is only a subcontractor and has nothing to make requests from customers. TO AVOID !</v>
      </c>
    </row>
    <row r="510" ht="15.75" customHeight="1">
      <c r="B510" s="2" t="s">
        <v>1493</v>
      </c>
      <c r="C510" s="2" t="s">
        <v>1494</v>
      </c>
      <c r="D510" s="2" t="s">
        <v>1409</v>
      </c>
      <c r="E510" s="2" t="s">
        <v>14</v>
      </c>
      <c r="F510" s="2" t="s">
        <v>15</v>
      </c>
      <c r="G510" s="2" t="s">
        <v>676</v>
      </c>
      <c r="H510" s="2" t="s">
        <v>92</v>
      </c>
      <c r="I510" s="2" t="str">
        <f>IFERROR(__xludf.DUMMYFUNCTION("GOOGLETRANSLATE(C510,""fr"",""en"")"),"Null service!
Impossible to operate a third -party payment
Impossible to be reimbursed for a simple optical invoice!
No possibility of responding to mail
No possibility of having a person on the phone except after 1 hour waiting, an interlocutor answe"&amp;"rs you, claims to do the necessary and then -&gt; return to square one. Nothing is resolved.
The completed files, marked as a treaty, while nothing has been reimbursed.
Inadmissible!
")</f>
        <v>Null service!
Impossible to operate a third -party payment
Impossible to be reimbursed for a simple optical invoice!
No possibility of responding to mail
No possibility of having a person on the phone except after 1 hour waiting, an interlocutor answers you, claims to do the necessary and then -&gt; return to square one. Nothing is resolved.
The completed files, marked as a treaty, while nothing has been reimbursed.
Inadmissible!
</v>
      </c>
    </row>
    <row r="511" ht="15.75" customHeight="1">
      <c r="B511" s="2" t="s">
        <v>1495</v>
      </c>
      <c r="C511" s="2" t="s">
        <v>1496</v>
      </c>
      <c r="D511" s="2" t="s">
        <v>1409</v>
      </c>
      <c r="E511" s="2" t="s">
        <v>14</v>
      </c>
      <c r="F511" s="2" t="s">
        <v>15</v>
      </c>
      <c r="G511" s="2" t="s">
        <v>676</v>
      </c>
      <c r="H511" s="2" t="s">
        <v>92</v>
      </c>
      <c r="I511" s="2" t="str">
        <f>IFERROR(__xludf.DUMMYFUNCTION("GOOGLETRANSLATE(C511,""fr"",""en"")"),"Mutual to flee.
Two hospitalizations do not respond to requests for care made by the Clinic Results The costs of hospitalization to advance, does not respond to emails no solutions provided by telephone advisers and after 6 weeks of waiting still no reim"&amp;"bursements.
Whenever you have to be reimbursed for care it takes minimum 4 to 5 weeks to be reimbursed
")</f>
        <v>Mutual to flee.
Two hospitalizations do not respond to requests for care made by the Clinic Results The costs of hospitalization to advance, does not respond to emails no solutions provided by telephone advisers and after 6 weeks of waiting still no reimbursements.
Whenever you have to be reimbursed for care it takes minimum 4 to 5 weeks to be reimbursed
</v>
      </c>
    </row>
    <row r="512" ht="15.75" customHeight="1">
      <c r="B512" s="2" t="s">
        <v>1497</v>
      </c>
      <c r="C512" s="2" t="s">
        <v>1498</v>
      </c>
      <c r="D512" s="2" t="s">
        <v>1409</v>
      </c>
      <c r="E512" s="2" t="s">
        <v>14</v>
      </c>
      <c r="F512" s="2" t="s">
        <v>15</v>
      </c>
      <c r="G512" s="2" t="s">
        <v>1132</v>
      </c>
      <c r="H512" s="2" t="s">
        <v>92</v>
      </c>
      <c r="I512" s="2" t="str">
        <f>IFERROR(__xludf.DUMMYFUNCTION("GOOGLETRANSLATE(C512,""fr"",""en"")"),"Latable service, late reimbursements, repeated proof requests, barely kind telephone reception. still do not understand why my employer called on this insurance manager.")</f>
        <v>Latable service, late reimbursements, repeated proof requests, barely kind telephone reception. still do not understand why my employer called on this insurance manager.</v>
      </c>
    </row>
    <row r="513" ht="15.75" customHeight="1">
      <c r="B513" s="2" t="s">
        <v>1499</v>
      </c>
      <c r="C513" s="2" t="s">
        <v>1500</v>
      </c>
      <c r="D513" s="2" t="s">
        <v>1409</v>
      </c>
      <c r="E513" s="2" t="s">
        <v>14</v>
      </c>
      <c r="F513" s="2" t="s">
        <v>15</v>
      </c>
      <c r="G513" s="2" t="s">
        <v>695</v>
      </c>
      <c r="H513" s="2" t="s">
        <v>92</v>
      </c>
      <c r="I513" s="2" t="str">
        <f>IFERROR(__xludf.DUMMYFUNCTION("GOOGLETRANSLATE(C513,""fr"",""en"")"),"Big organizational problems at Mercer Health: no reimbursement since January 2021 despite numerous calls, letters, complaints. Automatic email responses which explain that they are late because of the COVID: is it the only impacted company ??? (The other "&amp;"societies do not seem to have the same problems: have they escaped the COVID?). It is pathetic. To avoid.")</f>
        <v>Big organizational problems at Mercer Health: no reimbursement since January 2021 despite numerous calls, letters, complaints. Automatic email responses which explain that they are late because of the COVID: is it the only impacted company ??? (The other societies do not seem to have the same problems: have they escaped the COVID?). It is pathetic. To avoid.</v>
      </c>
    </row>
    <row r="514" ht="15.75" customHeight="1">
      <c r="B514" s="2" t="s">
        <v>1501</v>
      </c>
      <c r="C514" s="2" t="s">
        <v>1502</v>
      </c>
      <c r="D514" s="2" t="s">
        <v>1409</v>
      </c>
      <c r="E514" s="2" t="s">
        <v>14</v>
      </c>
      <c r="F514" s="2" t="s">
        <v>15</v>
      </c>
      <c r="G514" s="2" t="s">
        <v>695</v>
      </c>
      <c r="H514" s="2" t="s">
        <v>92</v>
      </c>
      <c r="I514" s="2" t="str">
        <f>IFERROR(__xludf.DUMMYFUNCTION("GOOGLETRANSLATE(C514,""fr"",""en"")"),"Unreachable customer service, never respond to emails. Promise to recall but no one manifests, and when we manage to reach someone I do not tell you the welcome reserved for us by telephone agents, an hour of waiting to do a search to finish hang up on th"&amp;"e nose without any response. The customer service of this mutual is lamentable.")</f>
        <v>Unreachable customer service, never respond to emails. Promise to recall but no one manifests, and when we manage to reach someone I do not tell you the welcome reserved for us by telephone agents, an hour of waiting to do a search to finish hang up on the nose without any response. The customer service of this mutual is lamentable.</v>
      </c>
    </row>
    <row r="515" ht="15.75" customHeight="1">
      <c r="B515" s="2" t="s">
        <v>1503</v>
      </c>
      <c r="C515" s="2" t="s">
        <v>1504</v>
      </c>
      <c r="D515" s="2" t="s">
        <v>1409</v>
      </c>
      <c r="E515" s="2" t="s">
        <v>14</v>
      </c>
      <c r="F515" s="2" t="s">
        <v>15</v>
      </c>
      <c r="G515" s="2" t="s">
        <v>1505</v>
      </c>
      <c r="H515" s="2" t="s">
        <v>92</v>
      </c>
      <c r="I515" s="2" t="str">
        <f>IFERROR(__xludf.DUMMYFUNCTION("GOOGLETRANSLATE(C515,""fr"",""en"")"),"I am supposed to be provided by the Mutual Mercer since January 1, but I still have not received my paid third party card, no member number, or identifiers to connect to my insured space. We are in March.
To my knowledge, my colleagues are in the same ca"&amp;"se (collective contract).
I sent them a message using the contact form on January 23 to get news. They never answered.
3 weeks later, on February 13, I called them on 03 20 89 10 88. Positive point: they won, in less than 10 minutes. My interlocutor c"&amp;"onfirmed that Mercer had all the necessary documents since January 5, but that my file had not yet been processed. He assured me that this would be the case at the start of the following week.
Today, after 3 additional weeks, I still have nothing.
I'm"&amp;" wondering. Either they are really overwhelmed, or they forget to process certain files, or they try to delay to preserve their cash. In any case, this is not a good sign.")</f>
        <v>I am supposed to be provided by the Mutual Mercer since January 1, but I still have not received my paid third party card, no member number, or identifiers to connect to my insured space. We are in March.
To my knowledge, my colleagues are in the same case (collective contract).
I sent them a message using the contact form on January 23 to get news. They never answered.
3 weeks later, on February 13, I called them on 03 20 89 10 88. Positive point: they won, in less than 10 minutes. My interlocutor confirmed that Mercer had all the necessary documents since January 5, but that my file had not yet been processed. He assured me that this would be the case at the start of the following week.
Today, after 3 additional weeks, I still have nothing.
I'm wondering. Either they are really overwhelmed, or they forget to process certain files, or they try to delay to preserve their cash. In any case, this is not a good sign.</v>
      </c>
    </row>
    <row r="516" ht="15.75" customHeight="1">
      <c r="B516" s="2" t="s">
        <v>1506</v>
      </c>
      <c r="C516" s="2" t="s">
        <v>1507</v>
      </c>
      <c r="D516" s="2" t="s">
        <v>1409</v>
      </c>
      <c r="E516" s="2" t="s">
        <v>14</v>
      </c>
      <c r="F516" s="2" t="s">
        <v>15</v>
      </c>
      <c r="G516" s="2" t="s">
        <v>337</v>
      </c>
      <c r="H516" s="2" t="s">
        <v>92</v>
      </c>
      <c r="I516" s="2" t="str">
        <f>IFERROR(__xludf.DUMMYFUNCTION("GOOGLETRANSLATE(C516,""fr"",""en"")"),"Impossible to reach, does not reimburse as promised on basic contract.
The interlocutors say that they will raise the information and nothing happens.
Obligation to recall and so on.
Ditto for fees costs after operation more than a month and a half aft"&amp;"er operation still no quote to find out how much I will be reimbursed.
")</f>
        <v>Impossible to reach, does not reimburse as promised on basic contract.
The interlocutors say that they will raise the information and nothing happens.
Obligation to recall and so on.
Ditto for fees costs after operation more than a month and a half after operation still no quote to find out how much I will be reimbursed.
</v>
      </c>
    </row>
    <row r="517" ht="15.75" customHeight="1">
      <c r="B517" s="2" t="s">
        <v>1508</v>
      </c>
      <c r="C517" s="2" t="s">
        <v>1509</v>
      </c>
      <c r="D517" s="2" t="s">
        <v>1409</v>
      </c>
      <c r="E517" s="2" t="s">
        <v>14</v>
      </c>
      <c r="F517" s="2" t="s">
        <v>15</v>
      </c>
      <c r="G517" s="2" t="s">
        <v>1510</v>
      </c>
      <c r="H517" s="2" t="s">
        <v>92</v>
      </c>
      <c r="I517" s="2" t="str">
        <f>IFERROR(__xludf.DUMMYFUNCTION("GOOGLETRANSLATE(C517,""fr"",""en"")"),"Hello ,
Unable to reach the management center, no response to the email. No refund of optical costs despite sending the complete file twice
In short to flee. The next step is to contact my HR so that it is unlock maybe the situation")</f>
        <v>Hello ,
Unable to reach the management center, no response to the email. No refund of optical costs despite sending the complete file twice
In short to flee. The next step is to contact my HR so that it is unlock maybe the situation</v>
      </c>
    </row>
    <row r="518" ht="15.75" customHeight="1">
      <c r="B518" s="2" t="s">
        <v>1511</v>
      </c>
      <c r="C518" s="2" t="s">
        <v>1512</v>
      </c>
      <c r="D518" s="2" t="s">
        <v>1409</v>
      </c>
      <c r="E518" s="2" t="s">
        <v>14</v>
      </c>
      <c r="F518" s="2" t="s">
        <v>15</v>
      </c>
      <c r="G518" s="2" t="s">
        <v>1513</v>
      </c>
      <c r="H518" s="2" t="s">
        <v>101</v>
      </c>
      <c r="I518" s="2" t="str">
        <f>IFERROR(__xludf.DUMMYFUNCTION("GOOGLETRANSLATE(C518,""fr"",""en"")"),"Lack of contact. Lack of reimbursement. The files are rated processed and no refund is made, others are still not treated after a month. Incomprehensible.")</f>
        <v>Lack of contact. Lack of reimbursement. The files are rated processed and no refund is made, others are still not treated after a month. Incomprehensible.</v>
      </c>
    </row>
    <row r="519" ht="15.75" customHeight="1">
      <c r="B519" s="2" t="s">
        <v>1514</v>
      </c>
      <c r="C519" s="2" t="s">
        <v>1515</v>
      </c>
      <c r="D519" s="2" t="s">
        <v>1409</v>
      </c>
      <c r="E519" s="2" t="s">
        <v>14</v>
      </c>
      <c r="F519" s="2" t="s">
        <v>15</v>
      </c>
      <c r="G519" s="2" t="s">
        <v>706</v>
      </c>
      <c r="H519" s="2" t="s">
        <v>101</v>
      </c>
      <c r="I519" s="2" t="str">
        <f>IFERROR(__xludf.DUMMYFUNCTION("GOOGLETRANSLATE(C519,""fr"",""en"")"),"Useless as a broker !!!
I have signed documents and no return for more than 2 months !!
Consultant ?? Let me laugh !!!!!
They promised me quality management when they no longer answer on the phone, is this normal?
I strongly advise against this compan"&amp;"y !!!
""My Mercer solutions"" =&gt; It should already have found an internal solution to your problems !!
")</f>
        <v>Useless as a broker !!!
I have signed documents and no return for more than 2 months !!
Consultant ?? Let me laugh !!!!!
They promised me quality management when they no longer answer on the phone, is this normal?
I strongly advise against this company !!!
"My Mercer solutions" =&gt; It should already have found an internal solution to your problems !!
</v>
      </c>
    </row>
    <row r="520" ht="15.75" customHeight="1">
      <c r="B520" s="2" t="s">
        <v>1516</v>
      </c>
      <c r="C520" s="2" t="s">
        <v>1517</v>
      </c>
      <c r="D520" s="2" t="s">
        <v>1409</v>
      </c>
      <c r="E520" s="2" t="s">
        <v>14</v>
      </c>
      <c r="F520" s="2" t="s">
        <v>15</v>
      </c>
      <c r="G520" s="2" t="s">
        <v>1518</v>
      </c>
      <c r="H520" s="2" t="s">
        <v>114</v>
      </c>
      <c r="I520" s="2" t="str">
        <f>IFERROR(__xludf.DUMMYFUNCTION("GOOGLETRANSLATE(C520,""fr"",""en"")"),"I put a Star because I can't put less.
Imposed by my employer Akzonobel who says he is so concerned about the well -being of his employees what farce.
No contact with the insurer
Mutual")</f>
        <v>I put a Star because I can't put less.
Imposed by my employer Akzonobel who says he is so concerned about the well -being of his employees what farce.
No contact with the insurer
Mutual</v>
      </c>
    </row>
    <row r="521" ht="15.75" customHeight="1">
      <c r="B521" s="2" t="s">
        <v>1519</v>
      </c>
      <c r="C521" s="2" t="s">
        <v>1520</v>
      </c>
      <c r="D521" s="2" t="s">
        <v>1409</v>
      </c>
      <c r="E521" s="2" t="s">
        <v>14</v>
      </c>
      <c r="F521" s="2" t="s">
        <v>15</v>
      </c>
      <c r="G521" s="2" t="s">
        <v>113</v>
      </c>
      <c r="H521" s="2" t="s">
        <v>114</v>
      </c>
      <c r="I521" s="2" t="str">
        <f>IFERROR(__xludf.DUMMYFUNCTION("GOOGLETRANSLATE(C521,""fr"",""en"")"),"A shame. Refunds are not made. When you transmit an attachment each time it is strangely illegible. No response to my many messages on the website. When I call I have a different version each time. I have been trying for 1 month to close my account but im"&amp;"possible. I never knew it it's just inadmissible")</f>
        <v>A shame. Refunds are not made. When you transmit an attachment each time it is strangely illegible. No response to my many messages on the website. When I call I have a different version each time. I have been trying for 1 month to close my account but impossible. I never knew it it's just inadmissible</v>
      </c>
    </row>
    <row r="522" ht="15.75" customHeight="1">
      <c r="B522" s="2" t="s">
        <v>1521</v>
      </c>
      <c r="C522" s="2" t="s">
        <v>1522</v>
      </c>
      <c r="D522" s="2" t="s">
        <v>1409</v>
      </c>
      <c r="E522" s="2" t="s">
        <v>14</v>
      </c>
      <c r="F522" s="2" t="s">
        <v>15</v>
      </c>
      <c r="G522" s="2" t="s">
        <v>721</v>
      </c>
      <c r="H522" s="2" t="s">
        <v>114</v>
      </c>
      <c r="I522" s="2" t="str">
        <f>IFERROR(__xludf.DUMMYFUNCTION("GOOGLETRANSLATE(C522,""fr"",""en"")"),"Note of fees sent to the Personal Mercer space dated December 7. We are January 20 and still nothing. Treatment period of 3 weeks maximum widely exceeded. The only customer service response: ""There is a delay in the processing of files ..."". Nothing mor"&amp;"e, Back Office Service that deals with the files is unreachable. Even customer service can only reach them by email. Whenever I call I am told that my file passes as a ""priority"" but it has already been 3 or 4 times that it passes as a ""priority"". COV"&amp;"ID excuse not valid because the processing of files can be done in TT. Waiting time to have an advisor, more than 20 minutes for the sole response ""Delay in file processing"". Invites us to hang up by making us understand that there is no point in recall"&amp;"ing because I would have the same answer ... so basically close your g ... and wait very wisely ... great.")</f>
        <v>Note of fees sent to the Personal Mercer space dated December 7. We are January 20 and still nothing. Treatment period of 3 weeks maximum widely exceeded. The only customer service response: "There is a delay in the processing of files ...". Nothing more, Back Office Service that deals with the files is unreachable. Even customer service can only reach them by email. Whenever I call I am told that my file passes as a "priority" but it has already been 3 or 4 times that it passes as a "priority". COVID excuse not valid because the processing of files can be done in TT. Waiting time to have an advisor, more than 20 minutes for the sole response "Delay in file processing". Invites us to hang up by making us understand that there is no point in recalling because I would have the same answer ... so basically close your g ... and wait very wisely ... great.</v>
      </c>
    </row>
    <row r="523" ht="15.75" customHeight="1">
      <c r="B523" s="2" t="s">
        <v>1523</v>
      </c>
      <c r="C523" s="2" t="s">
        <v>1524</v>
      </c>
      <c r="D523" s="2" t="s">
        <v>1409</v>
      </c>
      <c r="E523" s="2" t="s">
        <v>14</v>
      </c>
      <c r="F523" s="2" t="s">
        <v>15</v>
      </c>
      <c r="G523" s="2" t="s">
        <v>1525</v>
      </c>
      <c r="H523" s="2" t="s">
        <v>114</v>
      </c>
      <c r="I523" s="2" t="str">
        <f>IFERROR(__xludf.DUMMYFUNCTION("GOOGLETRANSLATE(C523,""fr"",""en"")"),"To flee !!!!
Since September we have taken different telephone, email, mail procedures to terminate with them. To date we have blocked for everything because social security tells us that we have 2 mutuals
A shame !!!!
When asked a person on the phone "&amp;"we are hanging up on the nose
Go away!!!!")</f>
        <v>To flee !!!!
Since September we have taken different telephone, email, mail procedures to terminate with them. To date we have blocked for everything because social security tells us that we have 2 mutuals
A shame !!!!
When asked a person on the phone we are hanging up on the nose
Go away!!!!</v>
      </c>
    </row>
    <row r="524" ht="15.75" customHeight="1">
      <c r="B524" s="2" t="s">
        <v>1526</v>
      </c>
      <c r="C524" s="2" t="s">
        <v>1527</v>
      </c>
      <c r="D524" s="2" t="s">
        <v>1409</v>
      </c>
      <c r="E524" s="2" t="s">
        <v>14</v>
      </c>
      <c r="F524" s="2" t="s">
        <v>15</v>
      </c>
      <c r="G524" s="2" t="s">
        <v>1525</v>
      </c>
      <c r="H524" s="2" t="s">
        <v>114</v>
      </c>
      <c r="I524" s="2" t="str">
        <f>IFERROR(__xludf.DUMMYFUNCTION("GOOGLETRANSLATE(C524,""fr"",""en"")"),"Optical quote since October 29, 2020, we are on January 13, 2021, Mercer has still not responded to my optician who told me that they have contacted them several times and that Mercer makes them work and make my file drag. I haven't had new mounts for 5 y"&amp;"ears.
I try in vain to contact them at 0969366935, they never answer.
After 29 minutes of expectations, I just had a person who contacted another person letting myself wait 10 minutes, ""the response to the optician must be made within 1 week maximu"&amp;"m"" according to him.
When I ask him why such a long answer, he does not know, and when I explain to him wanting a comparative quote and I am worried about the processing time of their future response and members of members concerning their responsiven"&amp;"ess, he hangs up on me nose, when I needed other information!
Call time, 43 minutes ...
")</f>
        <v>Optical quote since October 29, 2020, we are on January 13, 2021, Mercer has still not responded to my optician who told me that they have contacted them several times and that Mercer makes them work and make my file drag. I haven't had new mounts for 5 years.
I try in vain to contact them at 0969366935, they never answer.
After 29 minutes of expectations, I just had a person who contacted another person letting myself wait 10 minutes, "the response to the optician must be made within 1 week maximum" according to him.
When I ask him why such a long answer, he does not know, and when I explain to him wanting a comparative quote and I am worried about the processing time of their future response and members of members concerning their responsiveness, he hangs up on me nose, when I needed other information!
Call time, 43 minutes ...
</v>
      </c>
    </row>
    <row r="525" ht="15.75" customHeight="1">
      <c r="B525" s="2" t="s">
        <v>1528</v>
      </c>
      <c r="C525" s="2" t="s">
        <v>1529</v>
      </c>
      <c r="D525" s="2" t="s">
        <v>1409</v>
      </c>
      <c r="E525" s="2" t="s">
        <v>14</v>
      </c>
      <c r="F525" s="2" t="s">
        <v>15</v>
      </c>
      <c r="G525" s="2" t="s">
        <v>724</v>
      </c>
      <c r="H525" s="2" t="s">
        <v>114</v>
      </c>
      <c r="I525" s="2" t="str">
        <f>IFERROR(__xludf.DUMMYFUNCTION("GOOGLETRANSLATE(C525,""fr"",""en"")"),"Lavable and happy to have read your comments in time!
I contacted this mutual in October to establish a quote because my contract (old employer portability) arrived at maturity. Impossible to have anyone on the phone, so I go through their online reque"&amp;"st system. I receive an offer the next day (uninteresting). 5 days later, I receive a second email with a completely different offer (other care and other amounts). After several unsuccessful call attempts (again!) Someone reminds me. No explanation for t"&amp;"he origin of the first offer (????) on the other hand the very pleasant operator who answers my questions.
After studying the competition, I wish to regain contact with them (since 18/12) to refine a few points before signing at home and there rebelote, "&amp;"impossible to join them. No one wins, no one recalls despite messages left, the recall procedure started and emails sent. We are 07/01 (I specify that my previous mutual ended on 12/31) and there oh miracle I am reminded.
Too late I went to competition. "&amp;"The person on the phone tells me that they have a lot of calls (ah bah you surprise me .. 4 weeks to recall a future customer !!) but that the main thing is that they met my expectations (uhhhhh ?? ????? Loooool).
In short, happy to have read all your fe"&amp;"edback, I will certainly pay more but at least with a reliable and responsive mutual.
I strongly advise against Mercer.")</f>
        <v>Lavable and happy to have read your comments in time!
I contacted this mutual in October to establish a quote because my contract (old employer portability) arrived at maturity. Impossible to have anyone on the phone, so I go through their online request system. I receive an offer the next day (uninteresting). 5 days later, I receive a second email with a completely different offer (other care and other amounts). After several unsuccessful call attempts (again!) Someone reminds me. No explanation for the origin of the first offer (????) on the other hand the very pleasant operator who answers my questions.
After studying the competition, I wish to regain contact with them (since 18/12) to refine a few points before signing at home and there rebelote, impossible to join them. No one wins, no one recalls despite messages left, the recall procedure started and emails sent. We are 07/01 (I specify that my previous mutual ended on 12/31) and there oh miracle I am reminded.
Too late I went to competition. The person on the phone tells me that they have a lot of calls (ah bah you surprise me .. 4 weeks to recall a future customer !!) but that the main thing is that they met my expectations (uhhhhh ?? ????? Loooool).
In short, happy to have read all your feedback, I will certainly pay more but at least with a reliable and responsive mutual.
I strongly advise against Mercer.</v>
      </c>
    </row>
    <row r="526" ht="15.75" customHeight="1">
      <c r="B526" s="2" t="s">
        <v>1530</v>
      </c>
      <c r="C526" s="2" t="s">
        <v>1531</v>
      </c>
      <c r="D526" s="2" t="s">
        <v>1409</v>
      </c>
      <c r="E526" s="2" t="s">
        <v>14</v>
      </c>
      <c r="F526" s="2" t="s">
        <v>15</v>
      </c>
      <c r="G526" s="2" t="s">
        <v>1532</v>
      </c>
      <c r="H526" s="2" t="s">
        <v>114</v>
      </c>
      <c r="I526" s="2" t="str">
        <f>IFERROR(__xludf.DUMMYFUNCTION("GOOGLETRANSLATE(C526,""fr"",""en"")"),"A very disorganized mutual that does not reimburse. Or that the small amounts. I've been waiting for a refund of 900 euros for 2 months.
1/ The Mutual requests 15 times the same documents ...
2/ At each call, need to recall the file, while the teleopera"&amp;"tor has my member number and all my messages.
3/ I am told that this is taken into account but no commitment on the actual reimbursement date ... or even the amount!
4/ Unable to connect to the mobile application
5/ Mobile application which does not al"&amp;"low you to receive the responses from the mutual !!!
After going through other corporate mutuals, it is clear that Mercer is the worst experience I had.")</f>
        <v>A very disorganized mutual that does not reimburse. Or that the small amounts. I've been waiting for a refund of 900 euros for 2 months.
1/ The Mutual requests 15 times the same documents ...
2/ At each call, need to recall the file, while the teleoperator has my member number and all my messages.
3/ I am told that this is taken into account but no commitment on the actual reimbursement date ... or even the amount!
4/ Unable to connect to the mobile application
5/ Mobile application which does not allow you to receive the responses from the mutual !!!
After going through other corporate mutuals, it is clear that Mercer is the worst experience I had.</v>
      </c>
    </row>
    <row r="527" ht="15.75" customHeight="1">
      <c r="B527" s="2" t="s">
        <v>1533</v>
      </c>
      <c r="C527" s="2" t="s">
        <v>1534</v>
      </c>
      <c r="D527" s="2" t="s">
        <v>1409</v>
      </c>
      <c r="E527" s="2" t="s">
        <v>14</v>
      </c>
      <c r="F527" s="2" t="s">
        <v>15</v>
      </c>
      <c r="G527" s="2" t="s">
        <v>880</v>
      </c>
      <c r="H527" s="2" t="s">
        <v>114</v>
      </c>
      <c r="I527" s="2" t="str">
        <f>IFERROR(__xludf.DUMMYFUNCTION("GOOGLETRANSLATE(C527,""fr"",""en"")"),"I feel a strong dissatisfaction with them, they are downright unreachable or waiting times exceed 40 minutes, the website dysfunction and the customer area could never be activated by them, impossible to recover my certificate from third-party payment
Un"&amp;"able to spend so much time on the phone, it is difficult for me to have answers
No problem when the reimbursements received")</f>
        <v>I feel a strong dissatisfaction with them, they are downright unreachable or waiting times exceed 40 minutes, the website dysfunction and the customer area could never be activated by them, impossible to recover my certificate from third-party payment
Unable to spend so much time on the phone, it is difficult for me to have answers
No problem when the reimbursements received</v>
      </c>
    </row>
    <row r="528" ht="15.75" customHeight="1">
      <c r="B528" s="2" t="s">
        <v>1535</v>
      </c>
      <c r="C528" s="2" t="s">
        <v>1536</v>
      </c>
      <c r="D528" s="2" t="s">
        <v>1409</v>
      </c>
      <c r="E528" s="2" t="s">
        <v>14</v>
      </c>
      <c r="F528" s="2" t="s">
        <v>15</v>
      </c>
      <c r="G528" s="2" t="s">
        <v>1537</v>
      </c>
      <c r="H528" s="2" t="s">
        <v>114</v>
      </c>
      <c r="I528" s="2" t="str">
        <f>IFERROR(__xludf.DUMMYFUNCTION("GOOGLETRANSLATE(C528,""fr"",""en"")"),"Incompetent unreachable incapable of updating an up -to -date file. All my file is incomplete and I cannot reach them and no response to messages on the site. Not possible to receive my paid third party card. Above all, do not go through them.
A SHAME")</f>
        <v>Incompetent unreachable incapable of updating an up -to -date file. All my file is incomplete and I cannot reach them and no response to messages on the site. Not possible to receive my paid third party card. Above all, do not go through them.
A SHAME</v>
      </c>
    </row>
    <row r="529" ht="15.75" customHeight="1">
      <c r="B529" s="2" t="s">
        <v>1538</v>
      </c>
      <c r="C529" s="2" t="s">
        <v>1539</v>
      </c>
      <c r="D529" s="2" t="s">
        <v>1409</v>
      </c>
      <c r="E529" s="2" t="s">
        <v>14</v>
      </c>
      <c r="F529" s="2" t="s">
        <v>15</v>
      </c>
      <c r="G529" s="2" t="s">
        <v>1155</v>
      </c>
      <c r="H529" s="2" t="s">
        <v>114</v>
      </c>
      <c r="I529" s="2" t="str">
        <f>IFERROR(__xludf.DUMMYFUNCTION("GOOGLETRANSLATE(C529,""fr"",""en"")"),"Since October 24, I have been contacting Mercer every week to try to advance optical files for my daughters. Optical files are not processed! It takes a minimum month for the response to any request. Since December, teletransmis files are not even treated"&amp;" or visible on the site, I file the files manually on the site but these are not processed or processed within reasonable deadlines. Customer service always asks you to wait but nothing is unlocked. Mercer is the worst part of my experience with a mutual."&amp;" I can't call Mercer anymore every week. The situation is scandalous and visibly general for members.")</f>
        <v>Since October 24, I have been contacting Mercer every week to try to advance optical files for my daughters. Optical files are not processed! It takes a minimum month for the response to any request. Since December, teletransmis files are not even treated or visible on the site, I file the files manually on the site but these are not processed or processed within reasonable deadlines. Customer service always asks you to wait but nothing is unlocked. Mercer is the worst part of my experience with a mutual. I can't call Mercer anymore every week. The situation is scandalous and visibly general for members.</v>
      </c>
    </row>
    <row r="530" ht="15.75" customHeight="1">
      <c r="B530" s="2" t="s">
        <v>1540</v>
      </c>
      <c r="C530" s="2" t="s">
        <v>1541</v>
      </c>
      <c r="D530" s="2" t="s">
        <v>1409</v>
      </c>
      <c r="E530" s="2" t="s">
        <v>14</v>
      </c>
      <c r="F530" s="2" t="s">
        <v>15</v>
      </c>
      <c r="G530" s="2" t="s">
        <v>353</v>
      </c>
      <c r="H530" s="2" t="s">
        <v>126</v>
      </c>
      <c r="I530" s="2" t="str">
        <f>IFERROR(__xludf.DUMMYFUNCTION("GOOGLETRANSLATE(C530,""fr"",""en"")"),"Incredible, in anticipation of my retirement I receive a quote from my mutual company Mercer in July for retirement on September 1, 2020, I send them all the documents, mutual card in stride, all bathes, except that Bout of 2 months I contact them because"&amp;" I have not taken any sums and there it lasts until December 15 or I am taken from Sep, Oct. and November and with a pond increase of € 80 monthly.
Telephone calls and letters have no feedback.
I have just contracts another mutual insurance company "&amp;"and was able to benefit today from the Chatel law to terminate my contract with Mercer by registered letter.
Then, appeal to my bank to revoke the mandate of levy and restitution of the levy, I would settle to Mercer in the 4 months in accordance with th"&amp;"eir retired maintenance quote and very happy to have left Mercer who has led me by boat since September, the most Incredible and ineffectiveness or incompetence of people in the phones, because of about 6 hours of communication including the waiting time,"&amp;" nothing could be unlocked except: ""We understand and transmit to the financial service"" with impossibility obviously to be linked to this financial service ...
Notice reflecting only reality and does without animosity, I am just sad to see such a fail"&amp;"ure.
")</f>
        <v>Incredible, in anticipation of my retirement I receive a quote from my mutual company Mercer in July for retirement on September 1, 2020, I send them all the documents, mutual card in stride, all bathes, except that Bout of 2 months I contact them because I have not taken any sums and there it lasts until December 15 or I am taken from Sep, Oct. and November and with a pond increase of € 80 monthly.
Telephone calls and letters have no feedback.
I have just contracts another mutual insurance company and was able to benefit today from the Chatel law to terminate my contract with Mercer by registered letter.
Then, appeal to my bank to revoke the mandate of levy and restitution of the levy, I would settle to Mercer in the 4 months in accordance with their retired maintenance quote and very happy to have left Mercer who has led me by boat since September, the most Incredible and ineffectiveness or incompetence of people in the phones, because of about 6 hours of communication including the waiting time, nothing could be unlocked except: "We understand and transmit to the financial service" with impossibility obviously to be linked to this financial service ...
Notice reflecting only reality and does without animosity, I am just sad to see such a failure.
</v>
      </c>
    </row>
    <row r="531" ht="15.75" customHeight="1">
      <c r="B531" s="2" t="s">
        <v>1542</v>
      </c>
      <c r="C531" s="2" t="s">
        <v>1543</v>
      </c>
      <c r="D531" s="2" t="s">
        <v>1409</v>
      </c>
      <c r="E531" s="2" t="s">
        <v>14</v>
      </c>
      <c r="F531" s="2" t="s">
        <v>15</v>
      </c>
      <c r="G531" s="2" t="s">
        <v>353</v>
      </c>
      <c r="H531" s="2" t="s">
        <v>126</v>
      </c>
      <c r="I531" s="2" t="str">
        <f>IFERROR(__xludf.DUMMYFUNCTION("GOOGLETRANSLATE(C531,""fr"",""en"")"),"Mercer is a mutual that uses appear. Mutual that promotes to hospital practitioners, even sending flyers to interns within hospitals, giving themselves an image that is close to the nursing staff ...
Run away!
Two years of experience, non -friendly stak"&amp;"eholders at each call, very very long time for quotes, dental reimbursements if your optician or dentists are not in their network.
In short, very far from the associative aspect and a goal from helps a ""money machine"" company that take us for milk cow"&amp;"s.
To avoid.
If you are looking for a mutual insurance company with a service at the height, efficiency, speed, kindness go your way.
")</f>
        <v>Mercer is a mutual that uses appear. Mutual that promotes to hospital practitioners, even sending flyers to interns within hospitals, giving themselves an image that is close to the nursing staff ...
Run away!
Two years of experience, non -friendly stakeholders at each call, very very long time for quotes, dental reimbursements if your optician or dentists are not in their network.
In short, very far from the associative aspect and a goal from helps a "money machine" company that take us for milk cows.
To avoid.
If you are looking for a mutual insurance company with a service at the height, efficiency, speed, kindness go your way.
</v>
      </c>
    </row>
    <row r="532" ht="15.75" customHeight="1">
      <c r="B532" s="2" t="s">
        <v>1544</v>
      </c>
      <c r="C532" s="2" t="s">
        <v>1545</v>
      </c>
      <c r="D532" s="2" t="s">
        <v>1409</v>
      </c>
      <c r="E532" s="2" t="s">
        <v>14</v>
      </c>
      <c r="F532" s="2" t="s">
        <v>15</v>
      </c>
      <c r="G532" s="2" t="s">
        <v>889</v>
      </c>
      <c r="H532" s="2" t="s">
        <v>126</v>
      </c>
      <c r="I532" s="2" t="str">
        <f>IFERROR(__xludf.DUMMYFUNCTION("GOOGLETRANSLATE(C532,""fr"",""en"")"),"I am too disappointed with the services of complimentary health Mercer it makes a combatant traveler for a refund that I always expect well that I provided everything disappointed disappointed disappointed")</f>
        <v>I am too disappointed with the services of complimentary health Mercer it makes a combatant traveler for a refund that I always expect well that I provided everything disappointed disappointed disappointed</v>
      </c>
    </row>
    <row r="533" ht="15.75" customHeight="1">
      <c r="B533" s="2" t="s">
        <v>1546</v>
      </c>
      <c r="C533" s="2" t="s">
        <v>1547</v>
      </c>
      <c r="D533" s="2" t="s">
        <v>1409</v>
      </c>
      <c r="E533" s="2" t="s">
        <v>14</v>
      </c>
      <c r="F533" s="2" t="s">
        <v>15</v>
      </c>
      <c r="G533" s="2" t="s">
        <v>732</v>
      </c>
      <c r="H533" s="2" t="s">
        <v>126</v>
      </c>
      <c r="I533" s="2" t="str">
        <f>IFERROR(__xludf.DUMMYFUNCTION("GOOGLETRANSLATE(C533,""fr"",""en"")"),"Good mutual insurance time when I was active in my company but everything changed the day when my company I dismissed for occupational disease more reimbursement of documents to know more than doing and no live interlocutor. I who thought to keep this mut"&amp;"ual.")</f>
        <v>Good mutual insurance time when I was active in my company but everything changed the day when my company I dismissed for occupational disease more reimbursement of documents to know more than doing and no live interlocutor. I who thought to keep this mutual.</v>
      </c>
    </row>
    <row r="534" ht="15.75" customHeight="1">
      <c r="B534" s="2" t="s">
        <v>1548</v>
      </c>
      <c r="C534" s="2" t="s">
        <v>1549</v>
      </c>
      <c r="D534" s="2" t="s">
        <v>1409</v>
      </c>
      <c r="E534" s="2" t="s">
        <v>14</v>
      </c>
      <c r="F534" s="2" t="s">
        <v>15</v>
      </c>
      <c r="G534" s="2" t="s">
        <v>356</v>
      </c>
      <c r="H534" s="2" t="s">
        <v>126</v>
      </c>
      <c r="I534" s="2" t="str">
        <f>IFERROR(__xludf.DUMMYFUNCTION("GOOGLETRANSLATE(C534,""fr"",""en"")"),"Mercer impossible to join. Mercer does not take into account my letters asking for the change of my first name for years, nor my name to return to my young girl's name after divorce. It is also impossible to create my Mercer account!
Very disappointed fo"&amp;"r too long.
")</f>
        <v>Mercer impossible to join. Mercer does not take into account my letters asking for the change of my first name for years, nor my name to return to my young girl's name after divorce. It is also impossible to create my Mercer account!
Very disappointed for too long.
</v>
      </c>
    </row>
    <row r="535" ht="15.75" customHeight="1">
      <c r="B535" s="2" t="s">
        <v>1550</v>
      </c>
      <c r="C535" s="2" t="s">
        <v>1551</v>
      </c>
      <c r="D535" s="2" t="s">
        <v>1409</v>
      </c>
      <c r="E535" s="2" t="s">
        <v>14</v>
      </c>
      <c r="F535" s="2" t="s">
        <v>15</v>
      </c>
      <c r="G535" s="2" t="s">
        <v>134</v>
      </c>
      <c r="H535" s="2" t="s">
        <v>126</v>
      </c>
      <c r="I535" s="2" t="str">
        <f>IFERROR(__xludf.DUMMYFUNCTION("GOOGLETRANSLATE(C535,""fr"",""en"")"),"TO FLEE !! Answer on the phone after 30 minutes and he pays !!!! (10 euros for a call that does not answer).
I have not received the mutual card and I have joined August for August!")</f>
        <v>TO FLEE !! Answer on the phone after 30 minutes and he pays !!!! (10 euros for a call that does not answer).
I have not received the mutual card and I have joined August for August!</v>
      </c>
    </row>
    <row r="536" ht="15.75" customHeight="1">
      <c r="B536" s="2" t="s">
        <v>1552</v>
      </c>
      <c r="C536" s="2" t="s">
        <v>1553</v>
      </c>
      <c r="D536" s="2" t="s">
        <v>1409</v>
      </c>
      <c r="E536" s="2" t="s">
        <v>14</v>
      </c>
      <c r="F536" s="2" t="s">
        <v>15</v>
      </c>
      <c r="G536" s="2" t="s">
        <v>1554</v>
      </c>
      <c r="H536" s="2" t="s">
        <v>141</v>
      </c>
      <c r="I536" s="2" t="str">
        <f>IFERROR(__xludf.DUMMYFUNCTION("GOOGLETRANSLATE(C536,""fr"",""en"")"),"It's been 2 and a half months that I send them and returns a quote for a dental emergency for the estimation taken care of, despite several calls and stimulating on their platform. On the phone, I am walking on the one hand saying that we are processing t"&amp;"he request (it was over 1 month ago) and another operator who tells me that he can do nothing to speed up the procedure or even put me in touch with a manager ????
Now the care that was urgent/put on stand-by by their silence undergone collateral damage "&amp;"... A new broken tooth because the teeth that had to be treated quickly ...
I will want to ask them to repay 100% of all my care because I am so angry. They could at least answer that they have exceptionally long deadlines and apologize but nothing. It's"&amp;" so disrespectful and the consequences are serious ...")</f>
        <v>It's been 2 and a half months that I send them and returns a quote for a dental emergency for the estimation taken care of, despite several calls and stimulating on their platform. On the phone, I am walking on the one hand saying that we are processing the request (it was over 1 month ago) and another operator who tells me that he can do nothing to speed up the procedure or even put me in touch with a manager ????
Now the care that was urgent/put on stand-by by their silence undergone collateral damage ... A new broken tooth because the teeth that had to be treated quickly ...
I will want to ask them to repay 100% of all my care because I am so angry. They could at least answer that they have exceptionally long deadlines and apologize but nothing. It's so disrespectful and the consequences are serious ...</v>
      </c>
    </row>
    <row r="537" ht="15.75" customHeight="1">
      <c r="B537" s="2" t="s">
        <v>1555</v>
      </c>
      <c r="C537" s="2" t="s">
        <v>1556</v>
      </c>
      <c r="D537" s="2" t="s">
        <v>1409</v>
      </c>
      <c r="E537" s="2" t="s">
        <v>14</v>
      </c>
      <c r="F537" s="2" t="s">
        <v>15</v>
      </c>
      <c r="G537" s="2" t="s">
        <v>1557</v>
      </c>
      <c r="H537" s="2" t="s">
        <v>141</v>
      </c>
      <c r="I537" s="2" t="str">
        <f>IFERROR(__xludf.DUMMYFUNCTION("GOOGLETRANSLATE(C537,""fr"",""en"")"),"Took me a year of forced contributions after 6 letters over 15 months to request termination following loss of income and allocation of the CMU! .. they ignored my letters and affirmed that my situation (taken care of by CAF and income Insufficient to con"&amp;"tinue to pay the contributions) did not justify that they are resilled the health contract !!! How can we qualify this? And now they send me a letter to warn me that my personal info has been hacked internally and tell me to be vigilant with respect to fu"&amp;"ture letters or possible email !!! ?? Mercer: To flee !!!")</f>
        <v>Took me a year of forced contributions after 6 letters over 15 months to request termination following loss of income and allocation of the CMU! .. they ignored my letters and affirmed that my situation (taken care of by CAF and income Insufficient to continue to pay the contributions) did not justify that they are resilled the health contract !!! How can we qualify this? And now they send me a letter to warn me that my personal info has been hacked internally and tell me to be vigilant with respect to future letters or possible email !!! ?? Mercer: To flee !!!</v>
      </c>
    </row>
    <row r="538" ht="15.75" customHeight="1">
      <c r="B538" s="2" t="s">
        <v>1558</v>
      </c>
      <c r="C538" s="2" t="s">
        <v>1559</v>
      </c>
      <c r="D538" s="2" t="s">
        <v>1409</v>
      </c>
      <c r="E538" s="2" t="s">
        <v>14</v>
      </c>
      <c r="F538" s="2" t="s">
        <v>15</v>
      </c>
      <c r="G538" s="2" t="s">
        <v>154</v>
      </c>
      <c r="H538" s="2" t="s">
        <v>141</v>
      </c>
      <c r="I538" s="2" t="str">
        <f>IFERROR(__xludf.DUMMYFUNCTION("GOOGLETRANSLATE(C538,""fr"",""en"")"),"I am a member of the Mutual Mercer. I have a dispute with the latter concerning my rights. It turns out that the services are unreachable, that they do not read the documents and do not communicate live with you.
To reach them by phone, a reception ad te"&amp;"lls you that the circumstances are exceptional and that they need more time to answer you and there we put you on hold for at least 10 min, which are always 10 minutes after 10min , 20 min ... and these minutes of waiting are billed to you!
In short, I h"&amp;"ad to take it many times to reach them and when it cuts, they don't remind you!")</f>
        <v>I am a member of the Mutual Mercer. I have a dispute with the latter concerning my rights. It turns out that the services are unreachable, that they do not read the documents and do not communicate live with you.
To reach them by phone, a reception ad tells you that the circumstances are exceptional and that they need more time to answer you and there we put you on hold for at least 10 min, which are always 10 minutes after 10min , 20 min ... and these minutes of waiting are billed to you!
In short, I had to take it many times to reach them and when it cuts, they don't remind you!</v>
      </c>
    </row>
    <row r="539" ht="15.75" customHeight="1">
      <c r="B539" s="2" t="s">
        <v>1560</v>
      </c>
      <c r="C539" s="2" t="s">
        <v>1561</v>
      </c>
      <c r="D539" s="2" t="s">
        <v>1409</v>
      </c>
      <c r="E539" s="2" t="s">
        <v>14</v>
      </c>
      <c r="F539" s="2" t="s">
        <v>15</v>
      </c>
      <c r="G539" s="2" t="s">
        <v>1562</v>
      </c>
      <c r="H539" s="2" t="s">
        <v>141</v>
      </c>
      <c r="I539" s="2" t="str">
        <f>IFERROR(__xludf.DUMMYFUNCTION("GOOGLETRANSLATE(C539,""fr"",""en"")"),"Refund too slow it always lacks a paper and even when everything is a blink it puts more than a month for a refund and there is no complaint link this is lamentable and I am not talking about the link
 It is unhappy that I have to take it because it is b"&amp;"usiness")</f>
        <v>Refund too slow it always lacks a paper and even when everything is a blink it puts more than a month for a refund and there is no complaint link this is lamentable and I am not talking about the link
 It is unhappy that I have to take it because it is business</v>
      </c>
    </row>
    <row r="540" ht="15.75" customHeight="1">
      <c r="B540" s="2" t="s">
        <v>1563</v>
      </c>
      <c r="C540" s="2" t="s">
        <v>1564</v>
      </c>
      <c r="D540" s="2" t="s">
        <v>1409</v>
      </c>
      <c r="E540" s="2" t="s">
        <v>14</v>
      </c>
      <c r="F540" s="2" t="s">
        <v>15</v>
      </c>
      <c r="G540" s="2" t="s">
        <v>1565</v>
      </c>
      <c r="H540" s="2" t="s">
        <v>141</v>
      </c>
      <c r="I540" s="2" t="str">
        <f>IFERROR(__xludf.DUMMYFUNCTION("GOOGLETRANSLATE(C540,""fr"",""en"")"),"A mutual that seems so well on paper, especially when you see the sums they are committed to taking care of. Unfortunately, the reality is very different. A mutual insurance company that I have been forced to take during my apprenticeship (business mutual"&amp;").
[Small aside. Why cannot we freely choose our mutual insurance company? Why are we imposed on us this or that mutual? Thank you freedom -__-]
So at the beginning it was going very well. When you pay simple doctor's style or visit to the dentist, reim"&amp;"bursement made in less than 15 days, without problem. On the other hand, when you enter larger costs, there is no one left! I warn you, you have an interest in getting the fangs out to obtain a refund! One of my reimbursement (for lenses), I had to send t"&amp;"hem the document 3 times and at the end take out the fangs to obtain a refund. Lentils bought in December 2019 and reimbursed in November 2020 (almost a year anyway, who says better?). They still owe me more than 200 euros. I continue to fight. I unfortun"&amp;"ately think of turning against them, it's a shame to get there so far.
So advice, run away !!!!!!!!!!!!!!!!!!!!!!!!!!!!!!!!!!!!!!!!!!!")</f>
        <v>A mutual that seems so well on paper, especially when you see the sums they are committed to taking care of. Unfortunately, the reality is very different. A mutual insurance company that I have been forced to take during my apprenticeship (business mutual).
[Small aside. Why cannot we freely choose our mutual insurance company? Why are we imposed on us this or that mutual? Thank you freedom -__-]
So at the beginning it was going very well. When you pay simple doctor's style or visit to the dentist, reimbursement made in less than 15 days, without problem. On the other hand, when you enter larger costs, there is no one left! I warn you, you have an interest in getting the fangs out to obtain a refund! One of my reimbursement (for lenses), I had to send them the document 3 times and at the end take out the fangs to obtain a refund. Lentils bought in December 2019 and reimbursed in November 2020 (almost a year anyway, who says better?). They still owe me more than 200 euros. I continue to fight. I unfortunately think of turning against them, it's a shame to get there so far.
So advice, run away !!!!!!!!!!!!!!!!!!!!!!!!!!!!!!!!!!!!!!!!!!!</v>
      </c>
    </row>
    <row r="541" ht="15.75" customHeight="1">
      <c r="B541" s="2" t="s">
        <v>1566</v>
      </c>
      <c r="C541" s="2" t="s">
        <v>1567</v>
      </c>
      <c r="D541" s="2" t="s">
        <v>1409</v>
      </c>
      <c r="E541" s="2" t="s">
        <v>14</v>
      </c>
      <c r="F541" s="2" t="s">
        <v>15</v>
      </c>
      <c r="G541" s="2" t="s">
        <v>743</v>
      </c>
      <c r="H541" s="2" t="s">
        <v>167</v>
      </c>
      <c r="I541" s="2" t="str">
        <f>IFERROR(__xludf.DUMMYFUNCTION("GOOGLETRANSLATE(C541,""fr"",""en"")"),"Very disappointed with this mutual fund over the years.
Loss of reimbursement at the level, for example, of orthodontics.
Impossible to reach them quickly, hours of patience at a certain cost !! The covid has a good back right now ??? !!!
I do not reco"&amp;"mmend this mutual.")</f>
        <v>Very disappointed with this mutual fund over the years.
Loss of reimbursement at the level, for example, of orthodontics.
Impossible to reach them quickly, hours of patience at a certain cost !! The covid has a good back right now ??? !!!
I do not recommend this mutual.</v>
      </c>
    </row>
    <row r="542" ht="15.75" customHeight="1">
      <c r="B542" s="2" t="s">
        <v>1568</v>
      </c>
      <c r="C542" s="2" t="s">
        <v>1569</v>
      </c>
      <c r="D542" s="2" t="s">
        <v>1409</v>
      </c>
      <c r="E542" s="2" t="s">
        <v>14</v>
      </c>
      <c r="F542" s="2" t="s">
        <v>15</v>
      </c>
      <c r="G542" s="2" t="s">
        <v>1570</v>
      </c>
      <c r="H542" s="2" t="s">
        <v>167</v>
      </c>
      <c r="I542" s="2" t="str">
        <f>IFERROR(__xludf.DUMMYFUNCTION("GOOGLETRANSLATE(C542,""fr"",""en"")"),"A disaster nothing professional, nonexistent in all areas, completely transparent for contacts (email telephone, etc.), impossible to create an access account, many reimbursement still not settled, how can a company accept this total incompetence for his "&amp;"salary. This assurance is a shame to flee absolutely, moreover I am forced to put a star so that this message appears, less ten stars would have been fairer.")</f>
        <v>A disaster nothing professional, nonexistent in all areas, completely transparent for contacts (email telephone, etc.), impossible to create an access account, many reimbursement still not settled, how can a company accept this total incompetence for his salary. This assurance is a shame to flee absolutely, moreover I am forced to put a star so that this message appears, less ten stars would have been fairer.</v>
      </c>
    </row>
    <row r="543" ht="15.75" customHeight="1">
      <c r="B543" s="2" t="s">
        <v>1571</v>
      </c>
      <c r="C543" s="2" t="s">
        <v>1572</v>
      </c>
      <c r="D543" s="2" t="s">
        <v>1409</v>
      </c>
      <c r="E543" s="2" t="s">
        <v>14</v>
      </c>
      <c r="F543" s="2" t="s">
        <v>15</v>
      </c>
      <c r="G543" s="2" t="s">
        <v>1573</v>
      </c>
      <c r="H543" s="2" t="s">
        <v>167</v>
      </c>
      <c r="I543" s="2" t="str">
        <f>IFERROR(__xludf.DUMMYFUNCTION("GOOGLETRANSLATE(C543,""fr"",""en"")"),"Its fact that I ask them to remind me they make the dead I call them answers I know more how to do it ???????????????????
")</f>
        <v>Its fact that I ask them to remind me they make the dead I call them answers I know more how to do it ???????????????????
</v>
      </c>
    </row>
    <row r="544" ht="15.75" customHeight="1">
      <c r="B544" s="2" t="s">
        <v>1574</v>
      </c>
      <c r="C544" s="2" t="s">
        <v>1575</v>
      </c>
      <c r="D544" s="2" t="s">
        <v>1409</v>
      </c>
      <c r="E544" s="2" t="s">
        <v>14</v>
      </c>
      <c r="F544" s="2" t="s">
        <v>15</v>
      </c>
      <c r="G544" s="2" t="s">
        <v>1573</v>
      </c>
      <c r="H544" s="2" t="s">
        <v>167</v>
      </c>
      <c r="I544" s="2" t="str">
        <f>IFERROR(__xludf.DUMMYFUNCTION("GOOGLETRANSLATE(C544,""fr"",""en"")"),"No one from null, shameful impossible to contact them whether by phone or email. Even to make an update is a nightmare. A considerable waste of time.")</f>
        <v>No one from null, shameful impossible to contact them whether by phone or email. Even to make an update is a nightmare. A considerable waste of time.</v>
      </c>
    </row>
    <row r="545" ht="15.75" customHeight="1">
      <c r="B545" s="2" t="s">
        <v>1576</v>
      </c>
      <c r="C545" s="2" t="s">
        <v>1577</v>
      </c>
      <c r="D545" s="2" t="s">
        <v>1409</v>
      </c>
      <c r="E545" s="2" t="s">
        <v>14</v>
      </c>
      <c r="F545" s="2" t="s">
        <v>15</v>
      </c>
      <c r="G545" s="2" t="s">
        <v>1578</v>
      </c>
      <c r="H545" s="2" t="s">
        <v>167</v>
      </c>
      <c r="I545" s="2" t="str">
        <f>IFERROR(__xludf.DUMMYFUNCTION("GOOGLETRANSLATE(C545,""fr"",""en"")"),"It is impossible to feel really insured with Mercer. No customer service, no telephone contact, regular computer system changes that disconnect teletransmission, they must be remembered to reconnect .. but do not respond to email or phone. Refused care (i"&amp;"nstead of saying: ""It lacks this or that paper"" ... they refuse without reason and it is then up to us to investigate to know why) business mutual, certainly ""well reimbursed ""But especially when you don't have a problem !! I do not recommend and even"&amp;" I would like to be able to run away!")</f>
        <v>It is impossible to feel really insured with Mercer. No customer service, no telephone contact, regular computer system changes that disconnect teletransmission, they must be remembered to reconnect .. but do not respond to email or phone. Refused care (instead of saying: "It lacks this or that paper" ... they refuse without reason and it is then up to us to investigate to know why) business mutual, certainly "well reimbursed "But especially when you don't have a problem !! I do not recommend and even I would like to be able to run away!</v>
      </c>
    </row>
    <row r="546" ht="15.75" customHeight="1">
      <c r="B546" s="2" t="s">
        <v>1579</v>
      </c>
      <c r="C546" s="2" t="s">
        <v>1580</v>
      </c>
      <c r="D546" s="2" t="s">
        <v>1409</v>
      </c>
      <c r="E546" s="2" t="s">
        <v>14</v>
      </c>
      <c r="F546" s="2" t="s">
        <v>15</v>
      </c>
      <c r="G546" s="2" t="s">
        <v>1581</v>
      </c>
      <c r="H546" s="2" t="s">
        <v>167</v>
      </c>
      <c r="I546" s="2" t="str">
        <f>IFERROR(__xludf.DUMMYFUNCTION("GOOGLETRANSLATE(C546,""fr"",""en"")"),"Flee Flee Flee go elsewhere Mercer is just incompetent! I am very unhappy and for sure I will change my mutual. Several discussions I am told yesii madam we will do the necessary it is 10 months I am still waiting. Really flee!")</f>
        <v>Flee Flee Flee go elsewhere Mercer is just incompetent! I am very unhappy and for sure I will change my mutual. Several discussions I am told yesii madam we will do the necessary it is 10 months I am still waiting. Really flee!</v>
      </c>
    </row>
    <row r="547" ht="15.75" customHeight="1">
      <c r="B547" s="2" t="s">
        <v>1582</v>
      </c>
      <c r="C547" s="2" t="s">
        <v>1583</v>
      </c>
      <c r="D547" s="2" t="s">
        <v>1409</v>
      </c>
      <c r="E547" s="2" t="s">
        <v>14</v>
      </c>
      <c r="F547" s="2" t="s">
        <v>15</v>
      </c>
      <c r="G547" s="2" t="s">
        <v>1584</v>
      </c>
      <c r="H547" s="2" t="s">
        <v>167</v>
      </c>
      <c r="I547" s="2" t="str">
        <f>IFERROR(__xludf.DUMMYFUNCTION("GOOGLETRANSLATE(C547,""fr"",""en"")"),"Remarkable incompetence, unanswered emails or you are answered alongside the plate! Minimum 30 minutes of waiting per phone with invoicing at 15C per minute ... The documents that are provided for reimbursements are never enough.
Mail and phone compulsor"&amp;"y to have a refund and again when you come across someone nice.")</f>
        <v>Remarkable incompetence, unanswered emails or you are answered alongside the plate! Minimum 30 minutes of waiting per phone with invoicing at 15C per minute ... The documents that are provided for reimbursements are never enough.
Mail and phone compulsory to have a refund and again when you come across someone nice.</v>
      </c>
    </row>
    <row r="548" ht="15.75" customHeight="1">
      <c r="B548" s="2" t="s">
        <v>1585</v>
      </c>
      <c r="C548" s="2" t="s">
        <v>1586</v>
      </c>
      <c r="D548" s="2" t="s">
        <v>1409</v>
      </c>
      <c r="E548" s="2" t="s">
        <v>14</v>
      </c>
      <c r="F548" s="2" t="s">
        <v>15</v>
      </c>
      <c r="G548" s="2" t="s">
        <v>167</v>
      </c>
      <c r="H548" s="2" t="s">
        <v>167</v>
      </c>
      <c r="I548" s="2" t="str">
        <f>IFERROR(__xludf.DUMMYFUNCTION("GOOGLETRANSLATE(C548,""fr"",""en"")"),"File pending for 2 months and no response documents already sent 2 times always pending I am very disappointed when I am called I am answered that we transmit my request but still not immediately, I have never received the email that 'They had to send me,"&amp;" impossible to create an internet account, I do not see what I should do more")</f>
        <v>File pending for 2 months and no response documents already sent 2 times always pending I am very disappointed when I am called I am answered that we transmit my request but still not immediately, I have never received the email that 'They had to send me, impossible to create an internet account, I do not see what I should do more</v>
      </c>
    </row>
    <row r="549" ht="15.75" customHeight="1">
      <c r="B549" s="2" t="s">
        <v>1587</v>
      </c>
      <c r="C549" s="2" t="s">
        <v>1588</v>
      </c>
      <c r="D549" s="2" t="s">
        <v>1409</v>
      </c>
      <c r="E549" s="2" t="s">
        <v>14</v>
      </c>
      <c r="F549" s="2" t="s">
        <v>15</v>
      </c>
      <c r="G549" s="2" t="s">
        <v>183</v>
      </c>
      <c r="H549" s="2" t="s">
        <v>174</v>
      </c>
      <c r="I549" s="2" t="str">
        <f>IFERROR(__xludf.DUMMYFUNCTION("GOOGLETRANSLATE(C549,""fr"",""en"")"),"Hello
It's been 2 and a half months since I sent everything (yes everything) the documents to be reimbursed for glasses for my son, my wife and me. There is always a document missing when they have received it, and now they say that the documents are ill"&amp;"egible on the site (they are however good). Unwavering bad faith. These practices must be put on. I am calling them and it's now 15 minutes. I think no one will answer.
A mutual in banner")</f>
        <v>Hello
It's been 2 and a half months since I sent everything (yes everything) the documents to be reimbursed for glasses for my son, my wife and me. There is always a document missing when they have received it, and now they say that the documents are illegible on the site (they are however good). Unwavering bad faith. These practices must be put on. I am calling them and it's now 15 minutes. I think no one will answer.
A mutual in banner</v>
      </c>
    </row>
    <row r="550" ht="15.75" customHeight="1">
      <c r="B550" s="2" t="s">
        <v>1589</v>
      </c>
      <c r="C550" s="2" t="s">
        <v>1590</v>
      </c>
      <c r="D550" s="2" t="s">
        <v>1409</v>
      </c>
      <c r="E550" s="2" t="s">
        <v>14</v>
      </c>
      <c r="F550" s="2" t="s">
        <v>15</v>
      </c>
      <c r="G550" s="2" t="s">
        <v>1591</v>
      </c>
      <c r="H550" s="2" t="s">
        <v>174</v>
      </c>
      <c r="I550" s="2" t="str">
        <f>IFERROR(__xludf.DUMMYFUNCTION("GOOGLETRANSLATE(C550,""fr"",""en"")"),"Corporate mutual. Simply a disaster. Never reachable even when I have to have an operation. Not to mention the fact that the number on the mutual card is a surcharged number. To flee")</f>
        <v>Corporate mutual. Simply a disaster. Never reachable even when I have to have an operation. Not to mention the fact that the number on the mutual card is a surcharged number. To flee</v>
      </c>
    </row>
    <row r="551" ht="15.75" customHeight="1">
      <c r="B551" s="2" t="s">
        <v>1592</v>
      </c>
      <c r="C551" s="2" t="s">
        <v>1593</v>
      </c>
      <c r="D551" s="2" t="s">
        <v>1409</v>
      </c>
      <c r="E551" s="2" t="s">
        <v>14</v>
      </c>
      <c r="F551" s="2" t="s">
        <v>15</v>
      </c>
      <c r="G551" s="2" t="s">
        <v>1594</v>
      </c>
      <c r="H551" s="2" t="s">
        <v>196</v>
      </c>
      <c r="I551" s="2" t="str">
        <f>IFERROR(__xludf.DUMMYFUNCTION("GOOGLETRANSLATE(C551,""fr"",""en"")"),"Mutual business, I took the top -out option at € 45 per month. Very good coverage at 400%, all my overtaking is reimbursed. Refunds for care not reimbursed by the SS (osteo, acupuncture) are less than a week after I submit the online bill.
I am amazed "&amp;"by the other comments because my 1st hospital care was treated very quickly, and my last hospital quote was even treated in 24 hours. Communication deadlines and problems must vary depending on which center that processes its file.")</f>
        <v>Mutual business, I took the top -out option at € 45 per month. Very good coverage at 400%, all my overtaking is reimbursed. Refunds for care not reimbursed by the SS (osteo, acupuncture) are less than a week after I submit the online bill.
I am amazed by the other comments because my 1st hospital care was treated very quickly, and my last hospital quote was even treated in 24 hours. Communication deadlines and problems must vary depending on which center that processes its file.</v>
      </c>
    </row>
    <row r="552" ht="15.75" customHeight="1">
      <c r="B552" s="2" t="s">
        <v>1595</v>
      </c>
      <c r="C552" s="2" t="s">
        <v>1596</v>
      </c>
      <c r="D552" s="2" t="s">
        <v>1409</v>
      </c>
      <c r="E552" s="2" t="s">
        <v>14</v>
      </c>
      <c r="F552" s="2" t="s">
        <v>15</v>
      </c>
      <c r="G552" s="2" t="s">
        <v>1597</v>
      </c>
      <c r="H552" s="2" t="s">
        <v>384</v>
      </c>
      <c r="I552" s="2" t="str">
        <f>IFERROR(__xludf.DUMMYFUNCTION("GOOGLETRANSLATE(C552,""fr"",""en"")"),"Mutual employer but zero!
I am super unusual and incompetent mutual and incompetent mutual.
The premium rate phone number and impossible to contact them. It's been a week I try to join them, impossible !!
The wait is super long, minimum 10 minutes for "&amp;"each call (including once 20 min). When I manage to talk to an advisor she tells me that they will remind me but no news after 72 hours.
I had to call them back so that in the final the advisor told me that the man who manages is not available and unreac"&amp;"hable! So again you have to remember.
It is just unacceptable she does not even try to manage my file or at least keep her promise and contact me.
I do not recommend it for your family!")</f>
        <v>Mutual employer but zero!
I am super unusual and incompetent mutual and incompetent mutual.
The premium rate phone number and impossible to contact them. It's been a week I try to join them, impossible !!
The wait is super long, minimum 10 minutes for each call (including once 20 min). When I manage to talk to an advisor she tells me that they will remind me but no news after 72 hours.
I had to call them back so that in the final the advisor told me that the man who manages is not available and unreachable! So again you have to remember.
It is just unacceptable she does not even try to manage my file or at least keep her promise and contact me.
I do not recommend it for your family!</v>
      </c>
    </row>
    <row r="553" ht="15.75" customHeight="1">
      <c r="B553" s="2" t="s">
        <v>1598</v>
      </c>
      <c r="C553" s="2" t="s">
        <v>1599</v>
      </c>
      <c r="D553" s="2" t="s">
        <v>1409</v>
      </c>
      <c r="E553" s="2" t="s">
        <v>14</v>
      </c>
      <c r="F553" s="2" t="s">
        <v>15</v>
      </c>
      <c r="G553" s="2" t="s">
        <v>1600</v>
      </c>
      <c r="H553" s="2" t="s">
        <v>384</v>
      </c>
      <c r="I553" s="2" t="str">
        <f>IFERROR(__xludf.DUMMYFUNCTION("GOOGLETRANSLATE(C553,""fr"",""en"")"),"Unreachable advisers and no response to emails")</f>
        <v>Unreachable advisers and no response to emails</v>
      </c>
    </row>
    <row r="554" ht="15.75" customHeight="1">
      <c r="B554" s="2" t="s">
        <v>207</v>
      </c>
      <c r="C554" s="2" t="s">
        <v>1601</v>
      </c>
      <c r="D554" s="2" t="s">
        <v>1409</v>
      </c>
      <c r="E554" s="2" t="s">
        <v>14</v>
      </c>
      <c r="F554" s="2" t="s">
        <v>15</v>
      </c>
      <c r="G554" s="2" t="s">
        <v>1602</v>
      </c>
      <c r="H554" s="2" t="s">
        <v>384</v>
      </c>
      <c r="I554" s="2" t="str">
        <f>IFERROR(__xludf.DUMMYFUNCTION("GOOGLETRANSLATE(C554,""fr"",""en"")"),"A great difficulty in obtaining an advisor in the event of a pepin and surcharged number for me customer service. Bad customer service")</f>
        <v>A great difficulty in obtaining an advisor in the event of a pepin and surcharged number for me customer service. Bad customer service</v>
      </c>
    </row>
    <row r="555" ht="15.75" customHeight="1">
      <c r="B555" s="2" t="s">
        <v>1603</v>
      </c>
      <c r="C555" s="2" t="s">
        <v>1604</v>
      </c>
      <c r="D555" s="2" t="s">
        <v>1409</v>
      </c>
      <c r="E555" s="2" t="s">
        <v>14</v>
      </c>
      <c r="F555" s="2" t="s">
        <v>15</v>
      </c>
      <c r="G555" s="2" t="s">
        <v>1605</v>
      </c>
      <c r="H555" s="2" t="s">
        <v>384</v>
      </c>
      <c r="I555" s="2" t="str">
        <f>IFERROR(__xludf.DUMMYFUNCTION("GOOGLETRANSLATE(C555,""fr"",""en"")"),"Customer recently, I am very unpleasantly surprised by their incompetence, their inacted errors and their laxity. Listening to give the change, the staff on the phone lets you believe that everything will go back to normal, but nothing is is done and the "&amp;"emails remain unanswered if not an informing return that your request will be processed. So if you are looking for a serious mutual, abstain because Mercer will be useless if not perceive your contributions !!!")</f>
        <v>Customer recently, I am very unpleasantly surprised by their incompetence, their inacted errors and their laxity. Listening to give the change, the staff on the phone lets you believe that everything will go back to normal, but nothing is is done and the emails remain unanswered if not an informing return that your request will be processed. So if you are looking for a serious mutual, abstain because Mercer will be useless if not perceive your contributions !!!</v>
      </c>
    </row>
    <row r="556" ht="15.75" customHeight="1">
      <c r="B556" s="2" t="s">
        <v>1606</v>
      </c>
      <c r="C556" s="2" t="s">
        <v>1607</v>
      </c>
      <c r="D556" s="2" t="s">
        <v>1409</v>
      </c>
      <c r="E556" s="2" t="s">
        <v>14</v>
      </c>
      <c r="F556" s="2" t="s">
        <v>15</v>
      </c>
      <c r="G556" s="2" t="s">
        <v>1608</v>
      </c>
      <c r="H556" s="2" t="s">
        <v>403</v>
      </c>
      <c r="I556" s="2" t="str">
        <f>IFERROR(__xludf.DUMMYFUNCTION("GOOGLETRANSLATE(C556,""fr"",""en"")"),"Very bad mutual")</f>
        <v>Very bad mutual</v>
      </c>
    </row>
    <row r="557" ht="15.75" customHeight="1">
      <c r="B557" s="2" t="s">
        <v>1609</v>
      </c>
      <c r="C557" s="2" t="s">
        <v>1610</v>
      </c>
      <c r="D557" s="2" t="s">
        <v>1409</v>
      </c>
      <c r="E557" s="2" t="s">
        <v>14</v>
      </c>
      <c r="F557" s="2" t="s">
        <v>15</v>
      </c>
      <c r="G557" s="2" t="s">
        <v>1611</v>
      </c>
      <c r="H557" s="2" t="s">
        <v>403</v>
      </c>
      <c r="I557" s="2" t="str">
        <f>IFERROR(__xludf.DUMMYFUNCTION("GOOGLETRANSLATE(C557,""fr"",""en"")"),"I strongly De-Conseil, customer service very difficult to reachable and when a person responds they can do nothing you have to say send a letter to the head office. Online service never worked")</f>
        <v>I strongly De-Conseil, customer service very difficult to reachable and when a person responds they can do nothing you have to say send a letter to the head office. Online service never worked</v>
      </c>
    </row>
    <row r="558" ht="15.75" customHeight="1">
      <c r="B558" s="2" t="s">
        <v>1612</v>
      </c>
      <c r="C558" s="2" t="s">
        <v>1613</v>
      </c>
      <c r="D558" s="2" t="s">
        <v>1409</v>
      </c>
      <c r="E558" s="2" t="s">
        <v>14</v>
      </c>
      <c r="F558" s="2" t="s">
        <v>15</v>
      </c>
      <c r="G558" s="2" t="s">
        <v>1614</v>
      </c>
      <c r="H558" s="2" t="s">
        <v>959</v>
      </c>
      <c r="I558" s="2" t="str">
        <f>IFERROR(__xludf.DUMMYFUNCTION("GOOGLETRANSLATE(C558,""fr"",""en"")"),"Please note, usurpe the official insurance name, presents itself as such but is in fact a simple health insurance!")</f>
        <v>Please note, usurpe the official insurance name, presents itself as such but is in fact a simple health insurance!</v>
      </c>
    </row>
    <row r="559" ht="15.75" customHeight="1">
      <c r="B559" s="2" t="s">
        <v>1615</v>
      </c>
      <c r="C559" s="2" t="s">
        <v>1616</v>
      </c>
      <c r="D559" s="2" t="s">
        <v>1409</v>
      </c>
      <c r="E559" s="2" t="s">
        <v>14</v>
      </c>
      <c r="F559" s="2" t="s">
        <v>15</v>
      </c>
      <c r="G559" s="2" t="s">
        <v>1252</v>
      </c>
      <c r="H559" s="2" t="s">
        <v>959</v>
      </c>
      <c r="I559" s="2" t="str">
        <f>IFERROR(__xludf.DUMMYFUNCTION("GOOGLETRANSLATE(C559,""fr"",""en"")"),"They do not respond to emails and obviously do not deal with problems.")</f>
        <v>They do not respond to emails and obviously do not deal with problems.</v>
      </c>
    </row>
    <row r="560" ht="15.75" customHeight="1">
      <c r="B560" s="2" t="s">
        <v>1617</v>
      </c>
      <c r="C560" s="2" t="s">
        <v>1618</v>
      </c>
      <c r="D560" s="2" t="s">
        <v>1409</v>
      </c>
      <c r="E560" s="2" t="s">
        <v>14</v>
      </c>
      <c r="F560" s="2" t="s">
        <v>15</v>
      </c>
      <c r="G560" s="2" t="s">
        <v>1619</v>
      </c>
      <c r="H560" s="2" t="s">
        <v>1620</v>
      </c>
      <c r="I560" s="2" t="str">
        <f>IFERROR(__xludf.DUMMYFUNCTION("GOOGLETRANSLATE(C560,""fr"",""en"")"),"Double samples !! Mutual imposed by the employer. Zero customer service either never responds either responds next to the plate! Whether you apply by email or on their online space! Taken in February, March, no levy in April May, and double sample for 3 m"&amp;"onths !! Not to mention the other problems I had with them .....")</f>
        <v>Double samples !! Mutual imposed by the employer. Zero customer service either never responds either responds next to the plate! Whether you apply by email or on their online space! Taken in February, March, no levy in April May, and double sample for 3 months !! Not to mention the other problems I had with them .....</v>
      </c>
    </row>
    <row r="561" ht="15.75" customHeight="1">
      <c r="B561" s="2" t="s">
        <v>1621</v>
      </c>
      <c r="C561" s="2" t="s">
        <v>1622</v>
      </c>
      <c r="D561" s="2" t="s">
        <v>1409</v>
      </c>
      <c r="E561" s="2" t="s">
        <v>14</v>
      </c>
      <c r="F561" s="2" t="s">
        <v>15</v>
      </c>
      <c r="G561" s="2" t="s">
        <v>1623</v>
      </c>
      <c r="H561" s="2" t="s">
        <v>1624</v>
      </c>
      <c r="I561" s="2" t="str">
        <f>IFERROR(__xludf.DUMMYFUNCTION("GOOGLETRANSLATE(C561,""fr"",""en"")"),"Impossible to send them proof and impossible to create the personal space there is always a concern")</f>
        <v>Impossible to send them proof and impossible to create the personal space there is always a concern</v>
      </c>
    </row>
    <row r="562" ht="15.75" customHeight="1">
      <c r="B562" s="2" t="s">
        <v>1625</v>
      </c>
      <c r="C562" s="2" t="s">
        <v>1626</v>
      </c>
      <c r="D562" s="2" t="s">
        <v>1409</v>
      </c>
      <c r="E562" s="2" t="s">
        <v>14</v>
      </c>
      <c r="F562" s="2" t="s">
        <v>15</v>
      </c>
      <c r="G562" s="2" t="s">
        <v>1627</v>
      </c>
      <c r="H562" s="2" t="s">
        <v>1624</v>
      </c>
      <c r="I562" s="2" t="str">
        <f>IFERROR(__xludf.DUMMYFUNCTION("GOOGLETRANSLATE(C562,""fr"",""en"")"),"Disastrous experience - care reimbursed 4 months later, a quote for dental care that has never been processed despite more than 6 messages to customer services that have never deigned to respond and a desastreux commercial reception. Make")</f>
        <v>Disastrous experience - care reimbursed 4 months later, a quote for dental care that has never been processed despite more than 6 messages to customer services that have never deigned to respond and a desastreux commercial reception. Make</v>
      </c>
    </row>
    <row r="563" ht="15.75" customHeight="1">
      <c r="B563" s="2" t="s">
        <v>1628</v>
      </c>
      <c r="C563" s="2" t="s">
        <v>1629</v>
      </c>
      <c r="D563" s="2" t="s">
        <v>1409</v>
      </c>
      <c r="E563" s="2" t="s">
        <v>14</v>
      </c>
      <c r="F563" s="2" t="s">
        <v>15</v>
      </c>
      <c r="G563" s="2" t="s">
        <v>970</v>
      </c>
      <c r="H563" s="2" t="s">
        <v>236</v>
      </c>
      <c r="I563" s="2" t="str">
        <f>IFERROR(__xludf.DUMMYFUNCTION("GOOGLETRANSLATE(C563,""fr"",""en"")"),"An unreachable mutual:
- 30 minute of waiting at least 15 cents per minute
- their online help never available
- No response to my emails, the last dated 3 weeks and I have harass them for 1 week to finally have the help of which I am supposed to have "&amp;"the right in view of the price I pay!
- Impossible to create a customer account without assistance (vicious circle, we call, we pay)
")</f>
        <v>An unreachable mutual:
- 30 minute of waiting at least 15 cents per minute
- their online help never available
- No response to my emails, the last dated 3 weeks and I have harass them for 1 week to finally have the help of which I am supposed to have the right in view of the price I pay!
- Impossible to create a customer account without assistance (vicious circle, we call, we pay)
</v>
      </c>
    </row>
    <row r="564" ht="15.75" customHeight="1">
      <c r="B564" s="2" t="s">
        <v>1630</v>
      </c>
      <c r="C564" s="2" t="s">
        <v>1631</v>
      </c>
      <c r="D564" s="2" t="s">
        <v>1409</v>
      </c>
      <c r="E564" s="2" t="s">
        <v>14</v>
      </c>
      <c r="F564" s="2" t="s">
        <v>15</v>
      </c>
      <c r="G564" s="2" t="s">
        <v>1632</v>
      </c>
      <c r="H564" s="2" t="s">
        <v>236</v>
      </c>
      <c r="I564" s="2" t="str">
        <f>IFERROR(__xludf.DUMMYFUNCTION("GOOGLETRANSLATE(C564,""fr"",""en"")"),"Mutual health whose guarantees are minimal, to be fleeing absolutely.")</f>
        <v>Mutual health whose guarantees are minimal, to be fleeing absolutely.</v>
      </c>
    </row>
    <row r="565" ht="15.75" customHeight="1">
      <c r="B565" s="2" t="s">
        <v>1633</v>
      </c>
      <c r="C565" s="2" t="s">
        <v>1634</v>
      </c>
      <c r="D565" s="2" t="s">
        <v>1409</v>
      </c>
      <c r="E565" s="2" t="s">
        <v>14</v>
      </c>
      <c r="F565" s="2" t="s">
        <v>15</v>
      </c>
      <c r="G565" s="2" t="s">
        <v>1635</v>
      </c>
      <c r="H565" s="2" t="s">
        <v>248</v>
      </c>
      <c r="I565" s="2" t="str">
        <f>IFERROR(__xludf.DUMMYFUNCTION("GOOGLETRANSLATE(C565,""fr"",""en"")"),"Customer service delivers false information, ment to defend itself and never apologizes.
Requests in writing are not read, and ill -treated.")</f>
        <v>Customer service delivers false information, ment to defend itself and never apologizes.
Requests in writing are not read, and ill -treated.</v>
      </c>
    </row>
    <row r="566" ht="15.75" customHeight="1">
      <c r="B566" s="2" t="s">
        <v>1636</v>
      </c>
      <c r="C566" s="2" t="s">
        <v>1637</v>
      </c>
      <c r="D566" s="2" t="s">
        <v>1409</v>
      </c>
      <c r="E566" s="2" t="s">
        <v>14</v>
      </c>
      <c r="F566" s="2" t="s">
        <v>15</v>
      </c>
      <c r="G566" s="2" t="s">
        <v>1638</v>
      </c>
      <c r="H566" s="2" t="s">
        <v>248</v>
      </c>
      <c r="I566" s="2" t="str">
        <f>IFERROR(__xludf.DUMMYFUNCTION("GOOGLETRANSLATE(C566,""fr"",""en"")"),"Mutual dear without any quality of service .....")</f>
        <v>Mutual dear without any quality of service .....</v>
      </c>
    </row>
    <row r="567" ht="15.75" customHeight="1">
      <c r="B567" s="2" t="s">
        <v>1639</v>
      </c>
      <c r="C567" s="2" t="s">
        <v>1640</v>
      </c>
      <c r="D567" s="2" t="s">
        <v>1409</v>
      </c>
      <c r="E567" s="2" t="s">
        <v>14</v>
      </c>
      <c r="F567" s="2" t="s">
        <v>15</v>
      </c>
      <c r="G567" s="2" t="s">
        <v>1641</v>
      </c>
      <c r="H567" s="2" t="s">
        <v>248</v>
      </c>
      <c r="I567" s="2" t="str">
        <f>IFERROR(__xludf.DUMMYFUNCTION("GOOGLETRANSLATE(C567,""fr"",""en"")"),"I have been at home since qq tps ... and none of the compulsory daggers called ""a mutual service"" is respected ...
I think I go above and make an ar mail to the CEO of the company relating what a member experiences at this mutual")</f>
        <v>I have been at home since qq tps ... and none of the compulsory daggers called "a mutual service" is respected ...
I think I go above and make an ar mail to the CEO of the company relating what a member experiences at this mutual</v>
      </c>
    </row>
    <row r="568" ht="15.75" customHeight="1">
      <c r="B568" s="2" t="s">
        <v>1642</v>
      </c>
      <c r="C568" s="2" t="s">
        <v>1643</v>
      </c>
      <c r="D568" s="2" t="s">
        <v>1409</v>
      </c>
      <c r="E568" s="2" t="s">
        <v>14</v>
      </c>
      <c r="F568" s="2" t="s">
        <v>15</v>
      </c>
      <c r="G568" s="2" t="s">
        <v>1644</v>
      </c>
      <c r="H568" s="2" t="s">
        <v>442</v>
      </c>
      <c r="I568" s="2" t="str">
        <f>IFERROR(__xludf.DUMMYFUNCTION("GOOGLETRANSLATE(C568,""fr"",""en"")"),"Total incompetence. Systematically over 10 minutes to reach them. Very kind on the phone, informs to make the late refund in the week and in the end nothing is done after 1 month. Regularly requests documents in addition to the notices of reimbursements S"&amp;"ECUC and take the opportunity to delay the reimbursements.")</f>
        <v>Total incompetence. Systematically over 10 minutes to reach them. Very kind on the phone, informs to make the late refund in the week and in the end nothing is done after 1 month. Regularly requests documents in addition to the notices of reimbursements SECUC and take the opportunity to delay the reimbursements.</v>
      </c>
    </row>
    <row r="569" ht="15.75" customHeight="1">
      <c r="B569" s="2" t="s">
        <v>1645</v>
      </c>
      <c r="C569" s="2" t="s">
        <v>1646</v>
      </c>
      <c r="D569" s="2" t="s">
        <v>1409</v>
      </c>
      <c r="E569" s="2" t="s">
        <v>14</v>
      </c>
      <c r="F569" s="2" t="s">
        <v>15</v>
      </c>
      <c r="G569" s="2" t="s">
        <v>1647</v>
      </c>
      <c r="H569" s="2" t="s">
        <v>442</v>
      </c>
      <c r="I569" s="2" t="str">
        <f>IFERROR(__xludf.DUMMYFUNCTION("GOOGLETRANSLATE(C569,""fr"",""en"")"),"Never seen such a zero customer service. More than a year that I tell them (email, letters, threads) that I cannot access their interface on their website. They are not screwed to send me a password to access my account. Result, inaccessibility to my stat"&amp;"ements!")</f>
        <v>Never seen such a zero customer service. More than a year that I tell them (email, letters, threads) that I cannot access their interface on their website. They are not screwed to send me a password to access my account. Result, inaccessibility to my statements!</v>
      </c>
    </row>
    <row r="570" ht="15.75" customHeight="1">
      <c r="B570" s="2" t="s">
        <v>1648</v>
      </c>
      <c r="C570" s="2" t="s">
        <v>1649</v>
      </c>
      <c r="D570" s="2" t="s">
        <v>1409</v>
      </c>
      <c r="E570" s="2" t="s">
        <v>14</v>
      </c>
      <c r="F570" s="2" t="s">
        <v>15</v>
      </c>
      <c r="G570" s="2" t="s">
        <v>1650</v>
      </c>
      <c r="H570" s="2" t="s">
        <v>442</v>
      </c>
      <c r="I570" s="2" t="str">
        <f>IFERROR(__xludf.DUMMYFUNCTION("GOOGLETRANSLATE(C570,""fr"",""en"")"),"Mutual without professionalism, it is impossible to obtain by phone a correspondent, wait more than 30 minutes see 1 hour, and no return by messaging, shameful, scandalous.")</f>
        <v>Mutual without professionalism, it is impossible to obtain by phone a correspondent, wait more than 30 minutes see 1 hour, and no return by messaging, shameful, scandalous.</v>
      </c>
    </row>
    <row r="571" ht="15.75" customHeight="1">
      <c r="B571" s="2" t="s">
        <v>1651</v>
      </c>
      <c r="C571" s="2" t="s">
        <v>1652</v>
      </c>
      <c r="D571" s="2" t="s">
        <v>1409</v>
      </c>
      <c r="E571" s="2" t="s">
        <v>14</v>
      </c>
      <c r="F571" s="2" t="s">
        <v>15</v>
      </c>
      <c r="G571" s="2" t="s">
        <v>1653</v>
      </c>
      <c r="H571" s="2" t="s">
        <v>446</v>
      </c>
      <c r="I571" s="2" t="str">
        <f>IFERROR(__xludf.DUMMYFUNCTION("GOOGLETRANSLATE(C571,""fr"",""en"")"),"Mutual compulsory by my company. Reimbursement delays, when reimbursements. Unreachable neither by phone nor by email (a lapidary written response ""We will only contact you if we are missing parts"")
After my complaint with my box, we will therefore go "&amp;"there for recommended; the purge
Run away !!")</f>
        <v>Mutual compulsory by my company. Reimbursement delays, when reimbursements. Unreachable neither by phone nor by email (a lapidary written response "We will only contact you if we are missing parts")
After my complaint with my box, we will therefore go there for recommended; the purge
Run away !!</v>
      </c>
    </row>
    <row r="572" ht="15.75" customHeight="1">
      <c r="B572" s="2" t="s">
        <v>1654</v>
      </c>
      <c r="C572" s="2" t="s">
        <v>1655</v>
      </c>
      <c r="D572" s="2" t="s">
        <v>1409</v>
      </c>
      <c r="E572" s="2" t="s">
        <v>14</v>
      </c>
      <c r="F572" s="2" t="s">
        <v>15</v>
      </c>
      <c r="G572" s="2" t="s">
        <v>1656</v>
      </c>
      <c r="H572" s="2" t="s">
        <v>446</v>
      </c>
      <c r="I572" s="2" t="str">
        <f>IFERROR(__xludf.DUMMYFUNCTION("GOOGLETRANSLATE(C572,""fr"",""en"")"),"Customer service that is useless when we expect more than 10 minutes !! The operators should not be sufficiently trained in view of their evasive responses even erroneous at times! Refunds are expected for weeks to see months ... in short mutual that I st"&amp;"rongly recommend.")</f>
        <v>Customer service that is useless when we expect more than 10 minutes !! The operators should not be sufficiently trained in view of their evasive responses even erroneous at times! Refunds are expected for weeks to see months ... in short mutual that I strongly recommend.</v>
      </c>
    </row>
    <row r="573" ht="15.75" customHeight="1">
      <c r="B573" s="2" t="s">
        <v>1657</v>
      </c>
      <c r="C573" s="2" t="s">
        <v>1658</v>
      </c>
      <c r="D573" s="2" t="s">
        <v>1409</v>
      </c>
      <c r="E573" s="2" t="s">
        <v>14</v>
      </c>
      <c r="F573" s="2" t="s">
        <v>15</v>
      </c>
      <c r="G573" s="2" t="s">
        <v>1659</v>
      </c>
      <c r="H573" s="2" t="s">
        <v>446</v>
      </c>
      <c r="I573" s="2" t="str">
        <f>IFERROR(__xludf.DUMMYFUNCTION("GOOGLETRANSLATE(C573,""fr"",""en"")"),"Catastrophic service, very long response delays, multiple errors, the worst mutual that it was given to have, but no luck is that chosen by my employer: (((")</f>
        <v>Catastrophic service, very long response delays, multiple errors, the worst mutual that it was given to have, but no luck is that chosen by my employer: (((</v>
      </c>
    </row>
    <row r="574" ht="15.75" customHeight="1">
      <c r="B574" s="2" t="s">
        <v>1660</v>
      </c>
      <c r="C574" s="2" t="s">
        <v>1661</v>
      </c>
      <c r="D574" s="2" t="s">
        <v>1409</v>
      </c>
      <c r="E574" s="2" t="s">
        <v>14</v>
      </c>
      <c r="F574" s="2" t="s">
        <v>15</v>
      </c>
      <c r="G574" s="2" t="s">
        <v>1662</v>
      </c>
      <c r="H574" s="2" t="s">
        <v>252</v>
      </c>
      <c r="I574" s="2" t="str">
        <f>IFERROR(__xludf.DUMMYFUNCTION("GOOGLETRANSLATE(C574,""fr"",""en"")"),"I had a crown I still had not been reimbursed that hard for 1 month and a half
  I am ballad from service to service, even invent me that it will be fired during the day and in the end c false
Mutual to flee they create a cash flow on the backs of the i"&amp;"nsured
")</f>
        <v>I had a crown I still had not been reimbursed that hard for 1 month and a half
  I am ballad from service to service, even invent me that it will be fired during the day and in the end c false
Mutual to flee they create a cash flow on the backs of the insured
</v>
      </c>
    </row>
    <row r="575" ht="15.75" customHeight="1">
      <c r="B575" s="2" t="s">
        <v>1663</v>
      </c>
      <c r="C575" s="2" t="s">
        <v>1664</v>
      </c>
      <c r="D575" s="2" t="s">
        <v>1409</v>
      </c>
      <c r="E575" s="2" t="s">
        <v>14</v>
      </c>
      <c r="F575" s="2" t="s">
        <v>15</v>
      </c>
      <c r="G575" s="2" t="s">
        <v>1665</v>
      </c>
      <c r="H575" s="2" t="s">
        <v>467</v>
      </c>
      <c r="I575" s="2" t="str">
        <f>IFERROR(__xludf.DUMMYFUNCTION("GOOGLETRANSLATE(C575,""fr"",""en"")"),"I have more than 2000 euros awaiting reimbursement at Mercer for more than 5 months despite all the supporting documents, some of which are several times. Customer service does not respond to messages ... It's unacceptable!")</f>
        <v>I have more than 2000 euros awaiting reimbursement at Mercer for more than 5 months despite all the supporting documents, some of which are several times. Customer service does not respond to messages ... It's unacceptable!</v>
      </c>
    </row>
    <row r="576" ht="15.75" customHeight="1">
      <c r="B576" s="2" t="s">
        <v>1666</v>
      </c>
      <c r="C576" s="2" t="s">
        <v>1667</v>
      </c>
      <c r="D576" s="2" t="s">
        <v>1409</v>
      </c>
      <c r="E576" s="2" t="s">
        <v>14</v>
      </c>
      <c r="F576" s="2" t="s">
        <v>15</v>
      </c>
      <c r="G576" s="2" t="s">
        <v>1314</v>
      </c>
      <c r="H576" s="2" t="s">
        <v>1001</v>
      </c>
      <c r="I576" s="2" t="str">
        <f>IFERROR(__xludf.DUMMYFUNCTION("GOOGLETRANSLATE(C576,""fr"",""en"")"),"I have never seen such a long customer service ... already a week that I am waiting for a answer to my refund question ...
The answers to our questions (when there is answer) his succinct extremely ... which does not make them want to answer them since 1"&amp;" month will flow before a return ...
In addition, their telephone plant should be free for customers ... (10 minutes of expectations each time)
")</f>
        <v>I have never seen such a long customer service ... already a week that I am waiting for a answer to my refund question ...
The answers to our questions (when there is answer) his succinct extremely ... which does not make them want to answer them since 1 month will flow before a return ...
In addition, their telephone plant should be free for customers ... (10 minutes of expectations each time)
</v>
      </c>
    </row>
    <row r="577" ht="15.75" customHeight="1">
      <c r="B577" s="2" t="s">
        <v>1668</v>
      </c>
      <c r="C577" s="2" t="s">
        <v>1669</v>
      </c>
      <c r="D577" s="2" t="s">
        <v>1409</v>
      </c>
      <c r="E577" s="2" t="s">
        <v>14</v>
      </c>
      <c r="F577" s="2" t="s">
        <v>15</v>
      </c>
      <c r="G577" s="2" t="s">
        <v>1670</v>
      </c>
      <c r="H577" s="2" t="s">
        <v>264</v>
      </c>
      <c r="I577" s="2" t="str">
        <f>IFERROR(__xludf.DUMMYFUNCTION("GOOGLETRANSLATE(C577,""fr"",""en"")"),"Just nullissime, a mutual insurance imposed by my box, super long reimbursement deadlines, no response to the emails we send. No email to warn that the docs are missing, it is by going to the site that we realize ... zero telephone communication too ....."&amp;" to flee if you can .....")</f>
        <v>Just nullissime, a mutual insurance imposed by my box, super long reimbursement deadlines, no response to the emails we send. No email to warn that the docs are missing, it is by going to the site that we realize ... zero telephone communication too ..... to flee if you can .....</v>
      </c>
    </row>
    <row r="578" ht="15.75" customHeight="1">
      <c r="B578" s="2" t="s">
        <v>1671</v>
      </c>
      <c r="C578" s="2" t="s">
        <v>1672</v>
      </c>
      <c r="D578" s="2" t="s">
        <v>1409</v>
      </c>
      <c r="E578" s="2" t="s">
        <v>14</v>
      </c>
      <c r="F578" s="2" t="s">
        <v>15</v>
      </c>
      <c r="G578" s="2" t="s">
        <v>1673</v>
      </c>
      <c r="H578" s="2" t="s">
        <v>264</v>
      </c>
      <c r="I578" s="2" t="str">
        <f>IFERROR(__xludf.DUMMYFUNCTION("GOOGLETRANSLATE(C578,""fr"",""en"")"),"A modern and fast mutual")</f>
        <v>A modern and fast mutual</v>
      </c>
    </row>
    <row r="579" ht="15.75" customHeight="1">
      <c r="B579" s="2" t="s">
        <v>1674</v>
      </c>
      <c r="C579" s="2" t="s">
        <v>1675</v>
      </c>
      <c r="D579" s="2" t="s">
        <v>1409</v>
      </c>
      <c r="E579" s="2" t="s">
        <v>14</v>
      </c>
      <c r="F579" s="2" t="s">
        <v>15</v>
      </c>
      <c r="G579" s="2" t="s">
        <v>1349</v>
      </c>
      <c r="H579" s="2" t="s">
        <v>277</v>
      </c>
      <c r="I579" s="2" t="str">
        <f>IFERROR(__xludf.DUMMYFUNCTION("GOOGLETRANSLATE(C579,""fr"",""en"")"),"Mutual Business")</f>
        <v>Mutual Business</v>
      </c>
    </row>
    <row r="580" ht="15.75" customHeight="1">
      <c r="B580" s="2" t="s">
        <v>1676</v>
      </c>
      <c r="C580" s="2" t="s">
        <v>1677</v>
      </c>
      <c r="D580" s="2" t="s">
        <v>1678</v>
      </c>
      <c r="E580" s="2" t="s">
        <v>1679</v>
      </c>
      <c r="F580" s="2" t="s">
        <v>15</v>
      </c>
      <c r="G580" s="2" t="s">
        <v>1680</v>
      </c>
      <c r="H580" s="2" t="s">
        <v>43</v>
      </c>
      <c r="I580" s="2" t="str">
        <f>IFERROR(__xludf.DUMMYFUNCTION("GOOGLETRANSLATE(C580,""fr"",""en"")"),"Insured at Direct Insurance for more than 10 years: Housing and Auto.
I never contacted them.
This week I declare a leak in the ceiling following a thunderstorm. They ask me for proof from the town hall: natural disaster ...
It turns out that there was"&amp;" no natural disaster. But I had a ceiling leak after a storm ...
They don't want to hear anything.
I decide to terminate my 2 contracts by choosing another insurer.")</f>
        <v>Insured at Direct Insurance for more than 10 years: Housing and Auto.
I never contacted them.
This week I declare a leak in the ceiling following a thunderstorm. They ask me for proof from the town hall: natural disaster ...
It turns out that there was no natural disaster. But I had a ceiling leak after a storm ...
They don't want to hear anything.
I decide to terminate my 2 contracts by choosing another insurer.</v>
      </c>
    </row>
    <row r="581" ht="15.75" customHeight="1">
      <c r="B581" s="2" t="s">
        <v>1681</v>
      </c>
      <c r="C581" s="2" t="s">
        <v>1682</v>
      </c>
      <c r="D581" s="2" t="s">
        <v>1678</v>
      </c>
      <c r="E581" s="2" t="s">
        <v>1679</v>
      </c>
      <c r="F581" s="2" t="s">
        <v>15</v>
      </c>
      <c r="G581" s="2" t="s">
        <v>1683</v>
      </c>
      <c r="H581" s="2" t="s">
        <v>43</v>
      </c>
      <c r="I581" s="2" t="str">
        <f>IFERROR(__xludf.DUMMYFUNCTION("GOOGLETRANSLATE(C581,""fr"",""en"")"),"Direct insurance brutally increases the tariff by 20 % for no reason (no claim, no change in situation, no end of promotion ...), does not send a price of price change, and worse, do not take into account of my termination made by LRAR.")</f>
        <v>Direct insurance brutally increases the tariff by 20 % for no reason (no claim, no change in situation, no end of promotion ...), does not send a price of price change, and worse, do not take into account of my termination made by LRAR.</v>
      </c>
    </row>
    <row r="582" ht="15.75" customHeight="1">
      <c r="B582" s="2" t="s">
        <v>1684</v>
      </c>
      <c r="C582" s="2" t="s">
        <v>1685</v>
      </c>
      <c r="D582" s="2" t="s">
        <v>1678</v>
      </c>
      <c r="E582" s="2" t="s">
        <v>1679</v>
      </c>
      <c r="F582" s="2" t="s">
        <v>15</v>
      </c>
      <c r="G582" s="2" t="s">
        <v>1686</v>
      </c>
      <c r="H582" s="2" t="s">
        <v>92</v>
      </c>
      <c r="I582" s="2" t="str">
        <f>IFERROR(__xludf.DUMMYFUNCTION("GOOGLETRANSLATE(C582,""fr"",""en"")"),"Hello,
Insured for several years with this company, I never had to complain until today. Water damage on June 30, 2020, passage of the expert on September 07, 2020 (COVVID obliges for the deadline). Since then, I have contacted the insurance by phone 1"&amp;"3 times to have news from my file .... The answer is always the same: file under processing. 11 months that I am in the work, no news from direct insurance. Lamentable.")</f>
        <v>Hello,
Insured for several years with this company, I never had to complain until today. Water damage on June 30, 2020, passage of the expert on September 07, 2020 (COVVID obliges for the deadline). Since then, I have contacted the insurance by phone 13 times to have news from my file .... The answer is always the same: file under processing. 11 months that I am in the work, no news from direct insurance. Lamentable.</v>
      </c>
    </row>
    <row r="583" ht="15.75" customHeight="1">
      <c r="B583" s="2" t="s">
        <v>1687</v>
      </c>
      <c r="C583" s="2" t="s">
        <v>1688</v>
      </c>
      <c r="D583" s="2" t="s">
        <v>1678</v>
      </c>
      <c r="E583" s="2" t="s">
        <v>1679</v>
      </c>
      <c r="F583" s="2" t="s">
        <v>15</v>
      </c>
      <c r="G583" s="2" t="s">
        <v>1689</v>
      </c>
      <c r="H583" s="2" t="s">
        <v>92</v>
      </c>
      <c r="I583" s="2" t="str">
        <f>IFERROR(__xludf.DUMMYFUNCTION("GOOGLETRANSLATE(C583,""fr"",""en"")"),"Superb insurance at an attractive price and advisers who listen to us and which gives us advice to subscribe.
Good communication.")</f>
        <v>Superb insurance at an attractive price and advisers who listen to us and which gives us advice to subscribe.
Good communication.</v>
      </c>
    </row>
    <row r="584" ht="15.75" customHeight="1">
      <c r="B584" s="2" t="s">
        <v>1690</v>
      </c>
      <c r="C584" s="2" t="s">
        <v>1691</v>
      </c>
      <c r="D584" s="2" t="s">
        <v>1678</v>
      </c>
      <c r="E584" s="2" t="s">
        <v>1679</v>
      </c>
      <c r="F584" s="2" t="s">
        <v>15</v>
      </c>
      <c r="G584" s="2" t="s">
        <v>1132</v>
      </c>
      <c r="H584" s="2" t="s">
        <v>92</v>
      </c>
      <c r="I584" s="2" t="str">
        <f>IFERROR(__xludf.DUMMYFUNCTION("GOOGLETRANSLATE(C584,""fr"",""en"")"),"Team of very professional customer advisers listening to the customer. I had the opportunity to call them 2 times 2 days, and each time the answers are clear and effective.
The waiting time is practically zero.
Thank you")</f>
        <v>Team of very professional customer advisers listening to the customer. I had the opportunity to call them 2 times 2 days, and each time the answers are clear and effective.
The waiting time is practically zero.
Thank you</v>
      </c>
    </row>
    <row r="585" ht="15.75" customHeight="1">
      <c r="B585" s="2" t="s">
        <v>1692</v>
      </c>
      <c r="C585" s="2" t="s">
        <v>1693</v>
      </c>
      <c r="D585" s="2" t="s">
        <v>1678</v>
      </c>
      <c r="E585" s="2" t="s">
        <v>1679</v>
      </c>
      <c r="F585" s="2" t="s">
        <v>15</v>
      </c>
      <c r="G585" s="2" t="s">
        <v>92</v>
      </c>
      <c r="H585" s="2" t="s">
        <v>92</v>
      </c>
      <c r="I585" s="2" t="str">
        <f>IFERROR(__xludf.DUMMYFUNCTION("GOOGLETRANSLATE(C585,""fr"",""en"")"),"Very good, cheap and fast
They are listening to our request, for a studio the insurance is not very expensive,")</f>
        <v>Very good, cheap and fast
They are listening to our request, for a studio the insurance is not very expensive,</v>
      </c>
    </row>
    <row r="586" ht="15.75" customHeight="1">
      <c r="B586" s="2" t="s">
        <v>1694</v>
      </c>
      <c r="C586" s="2" t="s">
        <v>1695</v>
      </c>
      <c r="D586" s="2" t="s">
        <v>1678</v>
      </c>
      <c r="E586" s="2" t="s">
        <v>1679</v>
      </c>
      <c r="F586" s="2" t="s">
        <v>15</v>
      </c>
      <c r="G586" s="2" t="s">
        <v>1696</v>
      </c>
      <c r="H586" s="2" t="s">
        <v>114</v>
      </c>
      <c r="I586" s="2" t="str">
        <f>IFERROR(__xludf.DUMMYFUNCTION("GOOGLETRANSLATE(C586,""fr"",""en"")"),"I am satisfied with the price and the service, and I intend to stay at home since I have been registered with you in the past and that you have always met my expectations.")</f>
        <v>I am satisfied with the price and the service, and I intend to stay at home since I have been registered with you in the past and that you have always met my expectations.</v>
      </c>
    </row>
    <row r="587" ht="15.75" customHeight="1">
      <c r="B587" s="2" t="s">
        <v>1697</v>
      </c>
      <c r="C587" s="2" t="s">
        <v>1698</v>
      </c>
      <c r="D587" s="2" t="s">
        <v>1678</v>
      </c>
      <c r="E587" s="2" t="s">
        <v>1679</v>
      </c>
      <c r="F587" s="2" t="s">
        <v>15</v>
      </c>
      <c r="G587" s="2" t="s">
        <v>1696</v>
      </c>
      <c r="H587" s="2" t="s">
        <v>114</v>
      </c>
      <c r="I587" s="2" t="str">
        <f>IFERROR(__xludf.DUMMYFUNCTION("GOOGLETRANSLATE(C587,""fr"",""en"")"),"Simple and practical*
It is good to have car insurance and home insurance at the same insurer.
Our colleagues our strongly advise direct insurance.")</f>
        <v>Simple and practical*
It is good to have car insurance and home insurance at the same insurer.
Our colleagues our strongly advise direct insurance.</v>
      </c>
    </row>
    <row r="588" ht="15.75" customHeight="1">
      <c r="B588" s="2" t="s">
        <v>1699</v>
      </c>
      <c r="C588" s="2" t="s">
        <v>1700</v>
      </c>
      <c r="D588" s="2" t="s">
        <v>1678</v>
      </c>
      <c r="E588" s="2" t="s">
        <v>1679</v>
      </c>
      <c r="F588" s="2" t="s">
        <v>15</v>
      </c>
      <c r="G588" s="2" t="s">
        <v>872</v>
      </c>
      <c r="H588" s="2" t="s">
        <v>114</v>
      </c>
      <c r="I588" s="2" t="str">
        <f>IFERROR(__xludf.DUMMYFUNCTION("GOOGLETRANSLATE(C588,""fr"",""en"")"),"Very practical, no need to consult several companies to obtain quotes.
Possible comparison between several offers.
Quick.
Many different choices are offered.")</f>
        <v>Very practical, no need to consult several companies to obtain quotes.
Possible comparison between several offers.
Quick.
Many different choices are offered.</v>
      </c>
    </row>
    <row r="589" ht="15.75" customHeight="1">
      <c r="B589" s="2" t="s">
        <v>1701</v>
      </c>
      <c r="C589" s="2" t="s">
        <v>1702</v>
      </c>
      <c r="D589" s="2" t="s">
        <v>1678</v>
      </c>
      <c r="E589" s="2" t="s">
        <v>1679</v>
      </c>
      <c r="F589" s="2" t="s">
        <v>15</v>
      </c>
      <c r="G589" s="2" t="s">
        <v>1703</v>
      </c>
      <c r="H589" s="2" t="s">
        <v>114</v>
      </c>
      <c r="I589" s="2" t="str">
        <f>IFERROR(__xludf.DUMMYFUNCTION("GOOGLETRANSLATE(C589,""fr"",""en"")"),"I do not understand why my current contract is more expensive than the quote that I get on the site. : These are the same options. ! There is no seniority bonus at Direct Insurance.")</f>
        <v>I do not understand why my current contract is more expensive than the quote that I get on the site. : These are the same options. ! There is no seniority bonus at Direct Insurance.</v>
      </c>
    </row>
    <row r="590" ht="15.75" customHeight="1">
      <c r="B590" s="2" t="s">
        <v>1704</v>
      </c>
      <c r="C590" s="2" t="s">
        <v>1705</v>
      </c>
      <c r="D590" s="2" t="s">
        <v>1678</v>
      </c>
      <c r="E590" s="2" t="s">
        <v>1679</v>
      </c>
      <c r="F590" s="2" t="s">
        <v>15</v>
      </c>
      <c r="G590" s="2" t="s">
        <v>1706</v>
      </c>
      <c r="H590" s="2" t="s">
        <v>114</v>
      </c>
      <c r="I590" s="2" t="str">
        <f>IFERROR(__xludf.DUMMYFUNCTION("GOOGLETRANSLATE(C590,""fr"",""en"")"),"I find it excellent online quotes, it allows you to compare and sign if offers are interesting. Your prices are really attractive. I subscribe so satisfied !!")</f>
        <v>I find it excellent online quotes, it allows you to compare and sign if offers are interesting. Your prices are really attractive. I subscribe so satisfied !!</v>
      </c>
    </row>
    <row r="591" ht="15.75" customHeight="1">
      <c r="B591" s="2" t="s">
        <v>1707</v>
      </c>
      <c r="C591" s="2" t="s">
        <v>1708</v>
      </c>
      <c r="D591" s="2" t="s">
        <v>1678</v>
      </c>
      <c r="E591" s="2" t="s">
        <v>1679</v>
      </c>
      <c r="F591" s="2" t="s">
        <v>15</v>
      </c>
      <c r="G591" s="2" t="s">
        <v>1709</v>
      </c>
      <c r="H591" s="2" t="s">
        <v>114</v>
      </c>
      <c r="I591" s="2" t="str">
        <f>IFERROR(__xludf.DUMMYFUNCTION("GOOGLETRANSLATE(C591,""fr"",""en"")"),"I am satisfied with this new subscription, practical and fast because directly made on the internet. Thank you for all the general conditions offering this contract")</f>
        <v>I am satisfied with this new subscription, practical and fast because directly made on the internet. Thank you for all the general conditions offering this contract</v>
      </c>
    </row>
    <row r="592" ht="15.75" customHeight="1">
      <c r="B592" s="2" t="s">
        <v>1710</v>
      </c>
      <c r="C592" s="2" t="s">
        <v>1711</v>
      </c>
      <c r="D592" s="2" t="s">
        <v>1678</v>
      </c>
      <c r="E592" s="2" t="s">
        <v>1679</v>
      </c>
      <c r="F592" s="2" t="s">
        <v>15</v>
      </c>
      <c r="G592" s="2" t="s">
        <v>721</v>
      </c>
      <c r="H592" s="2" t="s">
        <v>114</v>
      </c>
      <c r="I592" s="2" t="str">
        <f>IFERROR(__xludf.DUMMYFUNCTION("GOOGLETRANSLATE(C592,""fr"",""en"")"),"The expert of the company damage insurance company of the company who did the work did not come during the expertise in the presence of the Expert Elex for Direct Insurance. The Direct Assurance expert reported by making his expertise in the presence of t"&amp;"he company manager who did not make the repairs of the leak on the roof and not of the company's insurance expert. I think he bit it !! Procedure not respected. Flee Direct Assurance which does not offer a serious company to repair the leak on the roof !!")</f>
        <v>The expert of the company damage insurance company of the company who did the work did not come during the expertise in the presence of the Expert Elex for Direct Insurance. The Direct Assurance expert reported by making his expertise in the presence of the company manager who did not make the repairs of the leak on the roof and not of the company's insurance expert. I think he bit it !! Procedure not respected. Flee Direct Assurance which does not offer a serious company to repair the leak on the roof !!</v>
      </c>
    </row>
    <row r="593" ht="15.75" customHeight="1">
      <c r="B593" s="2" t="s">
        <v>1712</v>
      </c>
      <c r="C593" s="2" t="s">
        <v>1713</v>
      </c>
      <c r="D593" s="2" t="s">
        <v>1678</v>
      </c>
      <c r="E593" s="2" t="s">
        <v>1679</v>
      </c>
      <c r="F593" s="2" t="s">
        <v>15</v>
      </c>
      <c r="G593" s="2" t="s">
        <v>1714</v>
      </c>
      <c r="H593" s="2" t="s">
        <v>114</v>
      </c>
      <c r="I593" s="2" t="str">
        <f>IFERROR(__xludf.DUMMYFUNCTION("GOOGLETRANSLATE(C593,""fr"",""en"")"),".The services offered are not bad but I expected at a lower price anyway
The quote is easy to do and the aid to respond to them are welcome")</f>
        <v>.The services offered are not bad but I expected at a lower price anyway
The quote is easy to do and the aid to respond to them are welcome</v>
      </c>
    </row>
    <row r="594" ht="15.75" customHeight="1">
      <c r="B594" s="2" t="s">
        <v>1715</v>
      </c>
      <c r="C594" s="2" t="s">
        <v>1716</v>
      </c>
      <c r="D594" s="2" t="s">
        <v>1678</v>
      </c>
      <c r="E594" s="2" t="s">
        <v>1679</v>
      </c>
      <c r="F594" s="2" t="s">
        <v>15</v>
      </c>
      <c r="G594" s="2" t="s">
        <v>877</v>
      </c>
      <c r="H594" s="2" t="s">
        <v>114</v>
      </c>
      <c r="I594" s="2" t="str">
        <f>IFERROR(__xludf.DUMMYFUNCTION("GOOGLETRANSLATE(C594,""fr"",""en"")"),"Satisfied with the service, simple and fast, just a pity that we cannot combine with car insurance to be able to decrease the price of the two insurances.")</f>
        <v>Satisfied with the service, simple and fast, just a pity that we cannot combine with car insurance to be able to decrease the price of the two insurances.</v>
      </c>
    </row>
    <row r="595" ht="15.75" customHeight="1">
      <c r="B595" s="2" t="s">
        <v>1717</v>
      </c>
      <c r="C595" s="2" t="s">
        <v>1718</v>
      </c>
      <c r="D595" s="2" t="s">
        <v>1678</v>
      </c>
      <c r="E595" s="2" t="s">
        <v>1679</v>
      </c>
      <c r="F595" s="2" t="s">
        <v>15</v>
      </c>
      <c r="G595" s="2" t="s">
        <v>1719</v>
      </c>
      <c r="H595" s="2" t="s">
        <v>114</v>
      </c>
      <c r="I595" s="2" t="str">
        <f>IFERROR(__xludf.DUMMYFUNCTION("GOOGLETRANSLATE(C595,""fr"",""en"")"),"I am satisfied with the service
Because prices are suitable and reasonable
I like service efficiency and the questionnaire is clear and prior
speed
access facility .")</f>
        <v>I am satisfied with the service
Because prices are suitable and reasonable
I like service efficiency and the questionnaire is clear and prior
speed
access facility .</v>
      </c>
    </row>
    <row r="596" ht="15.75" customHeight="1">
      <c r="B596" s="2" t="s">
        <v>1720</v>
      </c>
      <c r="C596" s="2" t="s">
        <v>1721</v>
      </c>
      <c r="D596" s="2" t="s">
        <v>1678</v>
      </c>
      <c r="E596" s="2" t="s">
        <v>1679</v>
      </c>
      <c r="F596" s="2" t="s">
        <v>15</v>
      </c>
      <c r="G596" s="2" t="s">
        <v>1722</v>
      </c>
      <c r="H596" s="2" t="s">
        <v>126</v>
      </c>
      <c r="I596" s="2" t="str">
        <f>IFERROR(__xludf.DUMMYFUNCTION("GOOGLETRANSLATE(C596,""fr"",""en"")"),"A lot of speed to ensure but much more complicated to terminate non-compliance with the Hamon law a scandal flee because in the event of a problem there is no one left")</f>
        <v>A lot of speed to ensure but much more complicated to terminate non-compliance with the Hamon law a scandal flee because in the event of a problem there is no one left</v>
      </c>
    </row>
    <row r="597" ht="15.75" customHeight="1">
      <c r="B597" s="2" t="s">
        <v>1723</v>
      </c>
      <c r="C597" s="2" t="s">
        <v>1724</v>
      </c>
      <c r="D597" s="2" t="s">
        <v>1678</v>
      </c>
      <c r="E597" s="2" t="s">
        <v>1679</v>
      </c>
      <c r="F597" s="2" t="s">
        <v>15</v>
      </c>
      <c r="G597" s="2" t="s">
        <v>137</v>
      </c>
      <c r="H597" s="2" t="s">
        <v>126</v>
      </c>
      <c r="I597" s="2" t="str">
        <f>IFERROR(__xludf.DUMMYFUNCTION("GOOGLETRANSLATE(C597,""fr"",""en"")"),"I am satisfied with the specific service. Specification.")</f>
        <v>I am satisfied with the specific service. Specification.</v>
      </c>
    </row>
    <row r="598" ht="15.75" customHeight="1">
      <c r="B598" s="2" t="s">
        <v>1725</v>
      </c>
      <c r="C598" s="2" t="s">
        <v>1726</v>
      </c>
      <c r="D598" s="2" t="s">
        <v>1678</v>
      </c>
      <c r="E598" s="2" t="s">
        <v>1679</v>
      </c>
      <c r="F598" s="2" t="s">
        <v>15</v>
      </c>
      <c r="G598" s="2" t="s">
        <v>894</v>
      </c>
      <c r="H598" s="2" t="s">
        <v>126</v>
      </c>
      <c r="I598" s="2" t="str">
        <f>IFERROR(__xludf.DUMMYFUNCTION("GOOGLETRANSLATE(C598,""fr"",""en"")"),"I am satisfied with the services and quotes that I asked for. The prices suit me well.
It's good insurance and serious
Have a good day
Cordially")</f>
        <v>I am satisfied with the services and quotes that I asked for. The prices suit me well.
It's good insurance and serious
Have a good day
Cordially</v>
      </c>
    </row>
    <row r="599" ht="15.75" customHeight="1">
      <c r="B599" s="2" t="s">
        <v>1727</v>
      </c>
      <c r="C599" s="2" t="s">
        <v>1728</v>
      </c>
      <c r="D599" s="2" t="s">
        <v>1678</v>
      </c>
      <c r="E599" s="2" t="s">
        <v>1679</v>
      </c>
      <c r="F599" s="2" t="s">
        <v>15</v>
      </c>
      <c r="G599" s="2" t="s">
        <v>1201</v>
      </c>
      <c r="H599" s="2" t="s">
        <v>196</v>
      </c>
      <c r="I599" s="2" t="str">
        <f>IFERROR(__xludf.DUMMYFUNCTION("GOOGLETRANSLATE(C599,""fr"",""en"")"),"Scandalous.
Impossible to terminate my contract despite 2 years of contract. Despite my requests repeated by email then by mail RAR.
Direct Insurance has increased prices every year, hence my desire to leave this insurance. I had no claim. I found insur"&amp;"ance with the same services for 3 times cheaper (for a 60 m2, Direct Insurance asked me 300 euros while I found insurance that provided my apartment with exactly the same services for 99 euros annually).
Direct Insurance telephone services (now AXA) are "&amp;"nullissimes. To subscribe, to take your subscription cash, everything is fine. Everything is tied up when you want to terminate. It's a shame.")</f>
        <v>Scandalous.
Impossible to terminate my contract despite 2 years of contract. Despite my requests repeated by email then by mail RAR.
Direct Insurance has increased prices every year, hence my desire to leave this insurance. I had no claim. I found insurance with the same services for 3 times cheaper (for a 60 m2, Direct Insurance asked me 300 euros while I found insurance that provided my apartment with exactly the same services for 99 euros annually).
Direct Insurance telephone services (now AXA) are nullissimes. To subscribe, to take your subscription cash, everything is fine. Everything is tied up when you want to terminate. It's a shame.</v>
      </c>
    </row>
    <row r="600" ht="15.75" customHeight="1">
      <c r="B600" s="2" t="s">
        <v>1729</v>
      </c>
      <c r="C600" s="2" t="s">
        <v>1730</v>
      </c>
      <c r="D600" s="2" t="s">
        <v>1678</v>
      </c>
      <c r="E600" s="2" t="s">
        <v>1679</v>
      </c>
      <c r="F600" s="2" t="s">
        <v>15</v>
      </c>
      <c r="G600" s="2" t="s">
        <v>1731</v>
      </c>
      <c r="H600" s="2" t="s">
        <v>203</v>
      </c>
      <c r="I600" s="2" t="str">
        <f>IFERROR(__xludf.DUMMYFUNCTION("GOOGLETRANSLATE(C600,""fr"",""en"")"),"Impossible to reach people who have the right to act for you, incredibly long deadlines to respond. They only want to communicate by recommended and respond only if they are restarted. I am with two competitors for other insurances and it's day and night "&amp;"!!")</f>
        <v>Impossible to reach people who have the right to act for you, incredibly long deadlines to respond. They only want to communicate by recommended and respond only if they are restarted. I am with two competitors for other insurances and it's day and night !!</v>
      </c>
    </row>
    <row r="601" ht="15.75" customHeight="1">
      <c r="B601" s="2" t="s">
        <v>1732</v>
      </c>
      <c r="C601" s="2" t="s">
        <v>1733</v>
      </c>
      <c r="D601" s="2" t="s">
        <v>1678</v>
      </c>
      <c r="E601" s="2" t="s">
        <v>1679</v>
      </c>
      <c r="F601" s="2" t="s">
        <v>15</v>
      </c>
      <c r="G601" s="2" t="s">
        <v>1734</v>
      </c>
      <c r="H601" s="2" t="s">
        <v>380</v>
      </c>
      <c r="I601" s="2" t="str">
        <f>IFERROR(__xludf.DUMMYFUNCTION("GOOGLETRANSLATE(C601,""fr"",""en"")"),"I've been trying to make my various interlocutors understand for 1 month that I have moved and wish to terminate my contract.
Despite the sending of several missives, I am still not reimbursed!
I strongly advise against ensuring this company.
Disastrou"&amp;"s customer service !!!")</f>
        <v>I've been trying to make my various interlocutors understand for 1 month that I have moved and wish to terminate my contract.
Despite the sending of several missives, I am still not reimbursed!
I strongly advise against ensuring this company.
Disastrous customer service !!!</v>
      </c>
    </row>
    <row r="602" ht="15.75" customHeight="1">
      <c r="B602" s="2" t="s">
        <v>1735</v>
      </c>
      <c r="C602" s="2" t="s">
        <v>1736</v>
      </c>
      <c r="D602" s="2" t="s">
        <v>1678</v>
      </c>
      <c r="E602" s="2" t="s">
        <v>1679</v>
      </c>
      <c r="F602" s="2" t="s">
        <v>15</v>
      </c>
      <c r="G602" s="2" t="s">
        <v>1737</v>
      </c>
      <c r="H602" s="2" t="s">
        <v>384</v>
      </c>
      <c r="I602" s="2" t="str">
        <f>IFERROR(__xludf.DUMMYFUNCTION("GOOGLETRANSLATE(C602,""fr"",""en"")"),"I made a house quote the smiling person pleasant joke with you tells you that it's been 212 euros to pay you, 3 months and after you receive your quote which has 30 euros more and when you call more fun Amendment it was up to me to be careful because the "&amp;"30 euros c the samples nothing was said before and yet asked several times if it was the 212 yes yes I am answered and after not the same way to answer it was mine to know")</f>
        <v>I made a house quote the smiling person pleasant joke with you tells you that it's been 212 euros to pay you, 3 months and after you receive your quote which has 30 euros more and when you call more fun Amendment it was up to me to be careful because the 30 euros c the samples nothing was said before and yet asked several times if it was the 212 yes yes I am answered and after not the same way to answer it was mine to know</v>
      </c>
    </row>
    <row r="603" ht="15.75" customHeight="1">
      <c r="B603" s="2" t="s">
        <v>1738</v>
      </c>
      <c r="C603" s="2" t="s">
        <v>1739</v>
      </c>
      <c r="D603" s="2" t="s">
        <v>1678</v>
      </c>
      <c r="E603" s="2" t="s">
        <v>1679</v>
      </c>
      <c r="F603" s="2" t="s">
        <v>15</v>
      </c>
      <c r="G603" s="2" t="s">
        <v>1740</v>
      </c>
      <c r="H603" s="2" t="s">
        <v>403</v>
      </c>
      <c r="I603" s="2" t="str">
        <f>IFERROR(__xludf.DUMMYFUNCTION("GOOGLETRANSLATE(C603,""fr"",""en"")"),"If you have not read the guarantee conventions, as a whole, beware, you must keep all the invoices of your ancestors. The struggle is tight and although I have evidence
repairs, with series numbers and repair invoices ... but the purchase bills of 1970 ."&amp;".. I will lose. Robots do not understand humans.")</f>
        <v>If you have not read the guarantee conventions, as a whole, beware, you must keep all the invoices of your ancestors. The struggle is tight and although I have evidence
repairs, with series numbers and repair invoices ... but the purchase bills of 1970 ... I will lose. Robots do not understand humans.</v>
      </c>
    </row>
    <row r="604" ht="15.75" customHeight="1">
      <c r="B604" s="2" t="s">
        <v>1741</v>
      </c>
      <c r="C604" s="2" t="s">
        <v>1742</v>
      </c>
      <c r="D604" s="2" t="s">
        <v>1678</v>
      </c>
      <c r="E604" s="2" t="s">
        <v>1679</v>
      </c>
      <c r="F604" s="2" t="s">
        <v>15</v>
      </c>
      <c r="G604" s="2" t="s">
        <v>1743</v>
      </c>
      <c r="H604" s="2" t="s">
        <v>413</v>
      </c>
      <c r="I604" s="2" t="str">
        <f>IFERROR(__xludf.DUMMYFUNCTION("GOOGLETRANSLATE(C604,""fr"",""en"")"),"After termination accepted Hamon law The advertising announcement does not correspond to what it should be requested for a radio silence")</f>
        <v>After termination accepted Hamon law The advertising announcement does not correspond to what it should be requested for a radio silence</v>
      </c>
    </row>
    <row r="605" ht="15.75" customHeight="1">
      <c r="B605" s="2" t="s">
        <v>1744</v>
      </c>
      <c r="C605" s="2" t="s">
        <v>1745</v>
      </c>
      <c r="D605" s="2" t="s">
        <v>1678</v>
      </c>
      <c r="E605" s="2" t="s">
        <v>1679</v>
      </c>
      <c r="F605" s="2" t="s">
        <v>15</v>
      </c>
      <c r="G605" s="2" t="s">
        <v>1258</v>
      </c>
      <c r="H605" s="2" t="s">
        <v>413</v>
      </c>
      <c r="I605" s="2" t="str">
        <f>IFERROR(__xludf.DUMMYFUNCTION("GOOGLETRANSLATE(C605,""fr"",""en"")"),"There is no zero star as a choice, that's why I put a star.")</f>
        <v>There is no zero star as a choice, that's why I put a star.</v>
      </c>
    </row>
    <row r="606" ht="15.75" customHeight="1">
      <c r="B606" s="2" t="s">
        <v>1746</v>
      </c>
      <c r="C606" s="2" t="s">
        <v>1747</v>
      </c>
      <c r="D606" s="2" t="s">
        <v>1678</v>
      </c>
      <c r="E606" s="2" t="s">
        <v>1679</v>
      </c>
      <c r="F606" s="2" t="s">
        <v>15</v>
      </c>
      <c r="G606" s="2" t="s">
        <v>1748</v>
      </c>
      <c r="H606" s="2" t="s">
        <v>1620</v>
      </c>
      <c r="I606" s="2" t="str">
        <f>IFERROR(__xludf.DUMMYFUNCTION("GOOGLETRANSLATE(C606,""fr"",""en"")"),"It's been 2 months now that my house has undergone a hailstorm, I had damaged shutters but to date still awaiting repairs ... The following days, I was very satisfied with direct management Insurance (meeting with the expert and the very fast company) but"&amp;" then arrive at the disillusions ... I've been calling a direct insurance for two months for monitoring my disaster ... (the entrepreneur did not send the Quote to the expert) ... I have just learned today (following another of my calls) that the quote is"&amp;" now in the hands of the expert and that we must now wait ... This is my first scaper and I would like to be able to benefit from a commercial gesture on the part of Direct Insurance, if not, I am seriously thinking of changing insurer ...")</f>
        <v>It's been 2 months now that my house has undergone a hailstorm, I had damaged shutters but to date still awaiting repairs ... The following days, I was very satisfied with direct management Insurance (meeting with the expert and the very fast company) but then arrive at the disillusions ... I've been calling a direct insurance for two months for monitoring my disaster ... (the entrepreneur did not send the Quote to the expert) ... I have just learned today (following another of my calls) that the quote is now in the hands of the expert and that we must now wait ... This is my first scaper and I would like to be able to benefit from a commercial gesture on the part of Direct Insurance, if not, I am seriously thinking of changing insurer ...</v>
      </c>
    </row>
    <row r="607" ht="15.75" customHeight="1">
      <c r="B607" s="2" t="s">
        <v>1749</v>
      </c>
      <c r="C607" s="2" t="s">
        <v>1750</v>
      </c>
      <c r="D607" s="2" t="s">
        <v>1678</v>
      </c>
      <c r="E607" s="2" t="s">
        <v>1679</v>
      </c>
      <c r="F607" s="2" t="s">
        <v>15</v>
      </c>
      <c r="G607" s="2" t="s">
        <v>1751</v>
      </c>
      <c r="H607" s="2" t="s">
        <v>236</v>
      </c>
      <c r="I607" s="2" t="str">
        <f>IFERROR(__xludf.DUMMYFUNCTION("GOOGLETRANSLATE(C607,""fr"",""en"")"),"I was the victim of a burglary at the end of February 2019. The expert passed 2 months later and I am still waiting for his estimate. At the email where I ask for the state of the progress of things I am answered 2 weeks later to tell me that the invoices"&amp;" were given to the expert and to wait for his response ...
This is where we are and that's it all dematerialized what is worth.")</f>
        <v>I was the victim of a burglary at the end of February 2019. The expert passed 2 months later and I am still waiting for his estimate. At the email where I ask for the state of the progress of things I am answered 2 weeks later to tell me that the invoices were given to the expert and to wait for his response ...
This is where we are and that's it all dematerialized what is worth.</v>
      </c>
    </row>
    <row r="608" ht="15.75" customHeight="1">
      <c r="B608" s="2" t="s">
        <v>1752</v>
      </c>
      <c r="C608" s="2" t="s">
        <v>1753</v>
      </c>
      <c r="D608" s="2" t="s">
        <v>1678</v>
      </c>
      <c r="E608" s="2" t="s">
        <v>1679</v>
      </c>
      <c r="F608" s="2" t="s">
        <v>15</v>
      </c>
      <c r="G608" s="2" t="s">
        <v>1754</v>
      </c>
      <c r="H608" s="2" t="s">
        <v>236</v>
      </c>
      <c r="I608" s="2" t="str">
        <f>IFERROR(__xludf.DUMMYFUNCTION("GOOGLETRANSLATE(C608,""fr"",""en"")"),"To avoid ! Very mismanagement! Be careful faster to get paid than to reimburse. Very mismanagement of complaints")</f>
        <v>To avoid ! Very mismanagement! Be careful faster to get paid than to reimburse. Very mismanagement of complaints</v>
      </c>
    </row>
    <row r="609" ht="15.75" customHeight="1">
      <c r="B609" s="2" t="s">
        <v>1755</v>
      </c>
      <c r="C609" s="2" t="s">
        <v>1756</v>
      </c>
      <c r="D609" s="2" t="s">
        <v>1678</v>
      </c>
      <c r="E609" s="2" t="s">
        <v>1679</v>
      </c>
      <c r="F609" s="2" t="s">
        <v>15</v>
      </c>
      <c r="G609" s="2" t="s">
        <v>1757</v>
      </c>
      <c r="H609" s="2" t="s">
        <v>248</v>
      </c>
      <c r="I609" s="2" t="str">
        <f>IFERROR(__xludf.DUMMYFUNCTION("GOOGLETRANSLATE(C609,""fr"",""en"")"),"Landy advertising, we are just good to pay monthly, in the event of a problem, everything is good not to compensate you. I was robbed of my glasses and no refund was offered. In addition, advisers send automatic messages to response guis. TO FLEE")</f>
        <v>Landy advertising, we are just good to pay monthly, in the event of a problem, everything is good not to compensate you. I was robbed of my glasses and no refund was offered. In addition, advisers send automatic messages to response guis. TO FLEE</v>
      </c>
    </row>
    <row r="610" ht="15.75" customHeight="1">
      <c r="B610" s="2" t="s">
        <v>1758</v>
      </c>
      <c r="C610" s="2" t="s">
        <v>1759</v>
      </c>
      <c r="D610" s="2" t="s">
        <v>1678</v>
      </c>
      <c r="E610" s="2" t="s">
        <v>1679</v>
      </c>
      <c r="F610" s="2" t="s">
        <v>15</v>
      </c>
      <c r="G610" s="2" t="s">
        <v>1760</v>
      </c>
      <c r="H610" s="2" t="s">
        <v>248</v>
      </c>
      <c r="I610" s="2" t="str">
        <f>IFERROR(__xludf.DUMMYFUNCTION("GOOGLETRANSLATE(C610,""fr"",""en"")"),"All the pitiful pitiful management of my disaster without being in wrong in addition
I still wait for my reimbursement of 1369 euros that I had to move forward having chosen a partner garage I had to renew a dozen calls
 I am told that I am reminded and"&amp;" the days go by without anything happening
In short, the end of my contract
")</f>
        <v>All the pitiful pitiful management of my disaster without being in wrong in addition
I still wait for my reimbursement of 1369 euros that I had to move forward having chosen a partner garage I had to renew a dozen calls
 I am told that I am reminded and the days go by without anything happening
In short, the end of my contract
</v>
      </c>
    </row>
    <row r="611" ht="15.75" customHeight="1">
      <c r="B611" s="2" t="s">
        <v>1761</v>
      </c>
      <c r="C611" s="2" t="s">
        <v>1762</v>
      </c>
      <c r="D611" s="2" t="s">
        <v>1678</v>
      </c>
      <c r="E611" s="2" t="s">
        <v>1679</v>
      </c>
      <c r="F611" s="2" t="s">
        <v>15</v>
      </c>
      <c r="G611" s="2" t="s">
        <v>1763</v>
      </c>
      <c r="H611" s="2" t="s">
        <v>442</v>
      </c>
      <c r="I611" s="2" t="str">
        <f>IFERROR(__xludf.DUMMYFUNCTION("GOOGLETRANSLATE(C611,""fr"",""en"")"),"New maturity notice: increase of 10 percent and collection subscription 15 days in advance while I am annualized and make them credit free of charge over one year. Goodbye.")</f>
        <v>New maturity notice: increase of 10 percent and collection subscription 15 days in advance while I am annualized and make them credit free of charge over one year. Goodbye.</v>
      </c>
    </row>
    <row r="612" ht="15.75" customHeight="1">
      <c r="B612" s="2" t="s">
        <v>1764</v>
      </c>
      <c r="C612" s="2" t="s">
        <v>1765</v>
      </c>
      <c r="D612" s="2" t="s">
        <v>1678</v>
      </c>
      <c r="E612" s="2" t="s">
        <v>1679</v>
      </c>
      <c r="F612" s="2" t="s">
        <v>15</v>
      </c>
      <c r="G612" s="2" t="s">
        <v>979</v>
      </c>
      <c r="H612" s="2" t="s">
        <v>442</v>
      </c>
      <c r="I612" s="2" t="str">
        <f>IFERROR(__xludf.DUMMYFUNCTION("GOOGLETRANSLATE(C612,""fr"",""en"")"),"After a water damage I have no more heating in the middle of February for 10 days, a very high humidity level and a worktop in the kitchen which no longer holds possible to cook or warm up in full Winter and Direct Insurance does not consider it as an urg"&amp;"ent case so to choose to pay more but have a real service I will not be mistaken!")</f>
        <v>After a water damage I have no more heating in the middle of February for 10 days, a very high humidity level and a worktop in the kitchen which no longer holds possible to cook or warm up in full Winter and Direct Insurance does not consider it as an urgent case so to choose to pay more but have a real service I will not be mistaken!</v>
      </c>
    </row>
    <row r="613" ht="15.75" customHeight="1">
      <c r="B613" s="2" t="s">
        <v>1766</v>
      </c>
      <c r="C613" s="2" t="s">
        <v>1767</v>
      </c>
      <c r="D613" s="2" t="s">
        <v>1678</v>
      </c>
      <c r="E613" s="2" t="s">
        <v>1679</v>
      </c>
      <c r="F613" s="2" t="s">
        <v>15</v>
      </c>
      <c r="G613" s="2" t="s">
        <v>1768</v>
      </c>
      <c r="H613" s="2" t="s">
        <v>446</v>
      </c>
      <c r="I613" s="2" t="str">
        <f>IFERROR(__xludf.DUMMYFUNCTION("GOOGLETRANSLATE(C613,""fr"",""en"")"),"5 months for a company to intervene following a break -in in my accommodation. The door was largely fractured (bottom panel disassembled entirely), I had to secure myself. The company has not changed the door, they just gave up the bottom panel and placed"&amp;" a metal plate inside. Customer service is excessively bad. I strongly advise against")</f>
        <v>5 months for a company to intervene following a break -in in my accommodation. The door was largely fractured (bottom panel disassembled entirely), I had to secure myself. The company has not changed the door, they just gave up the bottom panel and placed a metal plate inside. Customer service is excessively bad. I strongly advise against</v>
      </c>
    </row>
    <row r="614" ht="15.75" customHeight="1">
      <c r="B614" s="2" t="s">
        <v>1769</v>
      </c>
      <c r="C614" s="2" t="s">
        <v>1770</v>
      </c>
      <c r="D614" s="2" t="s">
        <v>1678</v>
      </c>
      <c r="E614" s="2" t="s">
        <v>1679</v>
      </c>
      <c r="F614" s="2" t="s">
        <v>15</v>
      </c>
      <c r="G614" s="2" t="s">
        <v>1771</v>
      </c>
      <c r="H614" s="2" t="s">
        <v>252</v>
      </c>
      <c r="I614" s="2" t="str">
        <f>IFERROR(__xludf.DUMMYFUNCTION("GOOGLETRANSLATE(C614,""fr"",""en"")"),"No advice during subscription; lack of information ; All means are good not to reimburse the insured!")</f>
        <v>No advice during subscription; lack of information ; All means are good not to reimburse the insured!</v>
      </c>
    </row>
    <row r="615" ht="15.75" customHeight="1">
      <c r="B615" s="2" t="s">
        <v>1772</v>
      </c>
      <c r="C615" s="2" t="s">
        <v>1773</v>
      </c>
      <c r="D615" s="2" t="s">
        <v>1678</v>
      </c>
      <c r="E615" s="2" t="s">
        <v>1679</v>
      </c>
      <c r="F615" s="2" t="s">
        <v>15</v>
      </c>
      <c r="G615" s="2" t="s">
        <v>1774</v>
      </c>
      <c r="H615" s="2" t="s">
        <v>252</v>
      </c>
      <c r="I615" s="2" t="str">
        <f>IFERROR(__xludf.DUMMYFUNCTION("GOOGLETRANSLATE(C615,""fr"",""en"")"),"Hi there,
I strongly advise you not to take out a contract with Direct Insurance despite their attractive prices.
I have been a customer at home for years without having no claim. Unfortunately recently I had a break of ice at my home and it was with th"&amp;"is disaster that I realized the deplorable customer service of this insurance. We are good for paying monthly contributions but when we encounter a problem we are abandoned and far from being treated like a customer!")</f>
        <v>Hi there,
I strongly advise you not to take out a contract with Direct Insurance despite their attractive prices.
I have been a customer at home for years without having no claim. Unfortunately recently I had a break of ice at my home and it was with this disaster that I realized the deplorable customer service of this insurance. We are good for paying monthly contributions but when we encounter a problem we are abandoned and far from being treated like a customer!</v>
      </c>
    </row>
    <row r="616" ht="15.75" customHeight="1">
      <c r="B616" s="2" t="s">
        <v>1775</v>
      </c>
      <c r="C616" s="2" t="s">
        <v>1776</v>
      </c>
      <c r="D616" s="2" t="s">
        <v>1678</v>
      </c>
      <c r="E616" s="2" t="s">
        <v>1679</v>
      </c>
      <c r="F616" s="2" t="s">
        <v>15</v>
      </c>
      <c r="G616" s="2" t="s">
        <v>1777</v>
      </c>
      <c r="H616" s="2" t="s">
        <v>467</v>
      </c>
      <c r="I616" s="2" t="str">
        <f>IFERROR(__xludf.DUMMYFUNCTION("GOOGLETRANSLATE(C616,""fr"",""en"")"),"They took my subscription when I had terminated my insurance due to moving ... And from June 15 until today they refuse to reimburse me? They wander me from service to service !!!! Excuse more impossible than the other ... suddenly put in notice!")</f>
        <v>They took my subscription when I had terminated my insurance due to moving ... And from June 15 until today they refuse to reimburse me? They wander me from service to service !!!! Excuse more impossible than the other ... suddenly put in notice!</v>
      </c>
    </row>
    <row r="617" ht="15.75" customHeight="1">
      <c r="B617" s="2" t="s">
        <v>1778</v>
      </c>
      <c r="C617" s="2" t="s">
        <v>1779</v>
      </c>
      <c r="D617" s="2" t="s">
        <v>1678</v>
      </c>
      <c r="E617" s="2" t="s">
        <v>1679</v>
      </c>
      <c r="F617" s="2" t="s">
        <v>15</v>
      </c>
      <c r="G617" s="2" t="s">
        <v>1780</v>
      </c>
      <c r="H617" s="2" t="s">
        <v>1001</v>
      </c>
      <c r="I617" s="2" t="str">
        <f>IFERROR(__xludf.DUMMYFUNCTION("GOOGLETRANSLATE(C617,""fr"",""en"")"),"Hello Direct Insurance, what a great image to bring together your insurance ....! This is what we have done at home, loyal customers for 4 years ... and without ever any damage, apart from 1 broken ice where we paid our franchise, you are carrying out our"&amp;" contract. A priori you are in your right, since you can terminate for no reason. But suddenly, be honest: you only assure people who have nothing? Those who pay all year round, but who don't cost you anything? But in fact, you assure nothing at all ... Y"&amp;"ou fattened, and to terminate the contracts of people who could have something .... what a great mentality! Count on me to warn each of the people around me on your way of acting deplorable ....")</f>
        <v>Hello Direct Insurance, what a great image to bring together your insurance ....! This is what we have done at home, loyal customers for 4 years ... and without ever any damage, apart from 1 broken ice where we paid our franchise, you are carrying out our contract. A priori you are in your right, since you can terminate for no reason. But suddenly, be honest: you only assure people who have nothing? Those who pay all year round, but who don't cost you anything? But in fact, you assure nothing at all ... You fattened, and to terminate the contracts of people who could have something .... what a great mentality! Count on me to warn each of the people around me on your way of acting deplorable ....</v>
      </c>
    </row>
    <row r="618" ht="15.75" customHeight="1">
      <c r="B618" s="2" t="s">
        <v>1781</v>
      </c>
      <c r="C618" s="2" t="s">
        <v>1782</v>
      </c>
      <c r="D618" s="2" t="s">
        <v>1678</v>
      </c>
      <c r="E618" s="2" t="s">
        <v>1679</v>
      </c>
      <c r="F618" s="2" t="s">
        <v>15</v>
      </c>
      <c r="G618" s="2" t="s">
        <v>1783</v>
      </c>
      <c r="H618" s="2" t="s">
        <v>256</v>
      </c>
      <c r="I618" s="2" t="str">
        <f>IFERROR(__xludf.DUMMYFUNCTION("GOOGLETRANSLATE(C618,""fr"",""en"")"),"If the very bad box existed I will have it willingly checked for a very clear increase in my price without explanation and especially without reason, I decided to go see elsewhere they have no knowledge of the laws and Send storage letters constantly so t"&amp;"hat I pay the coming year, that I do not have the right to terminate my contract etc etc ... sure that poor people must be bana and pay twice ...")</f>
        <v>If the very bad box existed I will have it willingly checked for a very clear increase in my price without explanation and especially without reason, I decided to go see elsewhere they have no knowledge of the laws and Send storage letters constantly so that I pay the coming year, that I do not have the right to terminate my contract etc etc ... sure that poor people must be bana and pay twice ...</v>
      </c>
    </row>
    <row r="619" ht="15.75" customHeight="1">
      <c r="B619" s="2" t="s">
        <v>1784</v>
      </c>
      <c r="C619" s="2" t="s">
        <v>1785</v>
      </c>
      <c r="D619" s="2" t="s">
        <v>1678</v>
      </c>
      <c r="E619" s="2" t="s">
        <v>1679</v>
      </c>
      <c r="F619" s="2" t="s">
        <v>15</v>
      </c>
      <c r="G619" s="2" t="s">
        <v>1786</v>
      </c>
      <c r="H619" s="2" t="s">
        <v>260</v>
      </c>
      <c r="I619" s="2" t="str">
        <f>IFERROR(__xludf.DUMMYFUNCTION("GOOGLETRANSLATE(C619,""fr"",""en"")"),"Super insurance provided you don't expect anything !!!! Since the disaster of March 21 still nothing (I suspect their reaction if we took so long to settle them ...). As soon as I am compensation I resilled auto and housing ...")</f>
        <v>Super insurance provided you don't expect anything !!!! Since the disaster of March 21 still nothing (I suspect their reaction if we took so long to settle them ...). As soon as I am compensation I resilled auto and housing ...</v>
      </c>
    </row>
    <row r="620" ht="15.75" customHeight="1">
      <c r="B620" s="2" t="s">
        <v>1787</v>
      </c>
      <c r="C620" s="2" t="s">
        <v>1788</v>
      </c>
      <c r="D620" s="2" t="s">
        <v>1678</v>
      </c>
      <c r="E620" s="2" t="s">
        <v>1679</v>
      </c>
      <c r="F620" s="2" t="s">
        <v>15</v>
      </c>
      <c r="G620" s="2" t="s">
        <v>1789</v>
      </c>
      <c r="H620" s="2" t="s">
        <v>476</v>
      </c>
      <c r="I620" s="2" t="str">
        <f>IFERROR(__xludf.DUMMYFUNCTION("GOOGLETRANSLATE(C620,""fr"",""en"")"),"I do not see what to start as there is so much to say about this so-called insurance.
Everything is relocated, do not intend to have an interlocutor knowing how to express themselves (speak, write) or understand (read, listen) correctly French.
A disast"&amp;"er open since May 2017 still not settled after a year.
Worse, insurance traps me with a crooked craftsman responsible for refections whose workers are not only declared or insured but also not qualified for plumbing work, which is dangerous and inadmissi"&amp;"ble. These refections are still not completed.
No follow -up, no coverage, no listening, no interocumer.
You will have even more embarrassment (to be polite) after having declared your claim to them than before! What is surreal!
Flee this insurance bef"&amp;"ore a disaster happens to you and do not get you with forced sale!")</f>
        <v>I do not see what to start as there is so much to say about this so-called insurance.
Everything is relocated, do not intend to have an interlocutor knowing how to express themselves (speak, write) or understand (read, listen) correctly French.
A disaster open since May 2017 still not settled after a year.
Worse, insurance traps me with a crooked craftsman responsible for refections whose workers are not only declared or insured but also not qualified for plumbing work, which is dangerous and inadmissible. These refections are still not completed.
No follow -up, no coverage, no listening, no interocumer.
You will have even more embarrassment (to be polite) after having declared your claim to them than before! What is surreal!
Flee this insurance before a disaster happens to you and do not get you with forced sale!</v>
      </c>
    </row>
    <row r="621" ht="15.75" customHeight="1">
      <c r="B621" s="2" t="s">
        <v>1790</v>
      </c>
      <c r="C621" s="2" t="s">
        <v>1791</v>
      </c>
      <c r="D621" s="2" t="s">
        <v>1678</v>
      </c>
      <c r="E621" s="2" t="s">
        <v>1679</v>
      </c>
      <c r="F621" s="2" t="s">
        <v>15</v>
      </c>
      <c r="G621" s="2" t="s">
        <v>1792</v>
      </c>
      <c r="H621" s="2" t="s">
        <v>284</v>
      </c>
      <c r="I621" s="2" t="str">
        <f>IFERROR(__xludf.DUMMYFUNCTION("GOOGLETRANSLATE(C621,""fr"",""en"")"),"I took this insurance for 3 years for my old address. For my new address I resumed a new effective contract contract of November 30, 2016. I receive a letter on September 13, 2017 discovering that the new period starts from November 1 with a first levy on"&amp;" November 4 (first levy 2x more expensive because including the attack tax). On November 25, 2017 I decided to change insurance by applying the Hamon law. Mail received by Direct Insurance on November 29, 2017 with an end of effect of the contract on Dece"&amp;"mber 24, 2017. Not having news this Thursday, January 4, 2018 I decide to go see my new insurance in order to make a point. This one calls direct insurance. In the end direct assurance informs me that the termination was refused because it missed 1 day to"&amp;" do a year. (Yet for the renewal they did not wait 1 year .....) Why not have warned me? ""Monsieur we do not send to Courier but we send you an email on November 29 to warn you ...."" (however I also terminated my car contract with them on the same date "&amp;"I received a letter+ email confirmation but no trace for the home ....) Direct insurance = bad faith when I see how he manages a simple termination fortunately that I have never had sinister .....")</f>
        <v>I took this insurance for 3 years for my old address. For my new address I resumed a new effective contract contract of November 30, 2016. I receive a letter on September 13, 2017 discovering that the new period starts from November 1 with a first levy on November 4 (first levy 2x more expensive because including the attack tax). On November 25, 2017 I decided to change insurance by applying the Hamon law. Mail received by Direct Insurance on November 29, 2017 with an end of effect of the contract on December 24, 2017. Not having news this Thursday, January 4, 2018 I decide to go see my new insurance in order to make a point. This one calls direct insurance. In the end direct assurance informs me that the termination was refused because it missed 1 day to do a year. (Yet for the renewal they did not wait 1 year .....) Why not have warned me? "Monsieur we do not send to Courier but we send you an email on November 29 to warn you ...." (however I also terminated my car contract with them on the same date I received a letter+ email confirmation but no trace for the home ....) Direct insurance = bad faith when I see how he manages a simple termination fortunately that I have never had sinister .....</v>
      </c>
    </row>
    <row r="622" ht="15.75" customHeight="1">
      <c r="B622" s="2" t="s">
        <v>1793</v>
      </c>
      <c r="C622" s="2" t="s">
        <v>1794</v>
      </c>
      <c r="D622" s="2" t="s">
        <v>1678</v>
      </c>
      <c r="E622" s="2" t="s">
        <v>1679</v>
      </c>
      <c r="F622" s="2" t="s">
        <v>15</v>
      </c>
      <c r="G622" s="2" t="s">
        <v>1795</v>
      </c>
      <c r="H622" s="2" t="s">
        <v>803</v>
      </c>
      <c r="I622" s="2" t="str">
        <f>IFERROR(__xludf.DUMMYFUNCTION("GOOGLETRANSLATE(C622,""fr"",""en"")"),"HELLO
I have a sinister broken ice dated November 11 since I did not take your company and found one that was faster at the level of changing my window to date there is someone who makes Barage On my file without citing by name, I was told that it was ne"&amp;"cessary to wait 15 days then after 1 month to date 1 month ago and when I call I am answered. By email thank you for the service! I think we laugh at me! It is unacceptable that this file drags especially that to make economies I refused the security sinc"&amp;"e the company finds can effect the work 5 days later and since nothing being client for very long and having also my car contract I am very disappointed with Direct insurance. or at least the speakers who work for them!
I will not advertise.
CORDIALLY")</f>
        <v>HELLO
I have a sinister broken ice dated November 11 since I did not take your company and found one that was faster at the level of changing my window to date there is someone who makes Barage On my file without citing by name, I was told that it was necessary to wait 15 days then after 1 month to date 1 month ago and when I call I am answered. By email thank you for the service! I think we laugh at me! It is unacceptable that this file drags especially that to make economies I refused the security since the company finds can effect the work 5 days later and since nothing being client for very long and having also my car contract I am very disappointed with Direct insurance. or at least the speakers who work for them!
I will not advertise.
CORDIALLY</v>
      </c>
    </row>
    <row r="623" ht="15.75" customHeight="1">
      <c r="B623" s="2" t="s">
        <v>1796</v>
      </c>
      <c r="C623" s="2" t="s">
        <v>1797</v>
      </c>
      <c r="D623" s="2" t="s">
        <v>1678</v>
      </c>
      <c r="E623" s="2" t="s">
        <v>1679</v>
      </c>
      <c r="F623" s="2" t="s">
        <v>15</v>
      </c>
      <c r="G623" s="2" t="s">
        <v>1798</v>
      </c>
      <c r="H623" s="2" t="s">
        <v>807</v>
      </c>
      <c r="I623" s="2" t="str">
        <f>IFERROR(__xludf.DUMMYFUNCTION("GOOGLETRANSLATE(C623,""fr"",""en"")"),"Very disappointed by this company despite a loyalty of 20 !! I have always been up to date with my subscription and never any declared claims, but the check for my last contribution having been said to be lost, but yet well debited from my account, it is "&amp;"to me to prove the effective settlement !!! After several calls for customer service, and despite precise explanations, no solution found, apart from a new resolution live by CB. In short, I have proof that the check is debited and I provide my bank's doc"&amp;"ument but no I just have to pay to avoid an office termination! However as I sold my house at the same time, I had this insurance terminated via my notary and I therefore received the taking into account of this request. But they are so well organized tha"&amp;"t this morning I receive a new letter announcing that my contract is terminated for lack of settlement ...... In short, an insurer who does not provide customer service, the advisers are unpleasant, Totally incompetent and do not bring any solutions when "&amp;"they admit all their shortcomings .... I strongly advise this company, certainly in advance 20 years ago when I subscribed to Aux, but totally outdated today and this at all levels .... to be completely fleeing !!!")</f>
        <v>Very disappointed by this company despite a loyalty of 20 !! I have always been up to date with my subscription and never any declared claims, but the check for my last contribution having been said to be lost, but yet well debited from my account, it is to me to prove the effective settlement !!! After several calls for customer service, and despite precise explanations, no solution found, apart from a new resolution live by CB. In short, I have proof that the check is debited and I provide my bank's document but no I just have to pay to avoid an office termination! However as I sold my house at the same time, I had this insurance terminated via my notary and I therefore received the taking into account of this request. But they are so well organized that this morning I receive a new letter announcing that my contract is terminated for lack of settlement ...... In short, an insurer who does not provide customer service, the advisers are unpleasant, Totally incompetent and do not bring any solutions when they admit all their shortcomings .... I strongly advise this company, certainly in advance 20 years ago when I subscribed to Aux, but totally outdated today and this at all levels .... to be completely fleeing !!!</v>
      </c>
    </row>
    <row r="624" ht="15.75" customHeight="1">
      <c r="B624" s="2" t="s">
        <v>1799</v>
      </c>
      <c r="C624" s="2" t="s">
        <v>1800</v>
      </c>
      <c r="D624" s="2" t="s">
        <v>1678</v>
      </c>
      <c r="E624" s="2" t="s">
        <v>1679</v>
      </c>
      <c r="F624" s="2" t="s">
        <v>15</v>
      </c>
      <c r="G624" s="2" t="s">
        <v>1801</v>
      </c>
      <c r="H624" s="2" t="s">
        <v>499</v>
      </c>
      <c r="I624" s="2" t="str">
        <f>IFERROR(__xludf.DUMMYFUNCTION("GOOGLETRANSLATE(C624,""fr"",""en"")"),"Insured for 8 years, without disaster")</f>
        <v>Insured for 8 years, without disaster</v>
      </c>
    </row>
    <row r="625" ht="15.75" customHeight="1">
      <c r="B625" s="2" t="s">
        <v>1802</v>
      </c>
      <c r="C625" s="2" t="s">
        <v>1803</v>
      </c>
      <c r="D625" s="2" t="s">
        <v>1678</v>
      </c>
      <c r="E625" s="2" t="s">
        <v>1679</v>
      </c>
      <c r="F625" s="2" t="s">
        <v>15</v>
      </c>
      <c r="G625" s="2" t="s">
        <v>1055</v>
      </c>
      <c r="H625" s="2" t="s">
        <v>499</v>
      </c>
      <c r="I625" s="2" t="str">
        <f>IFERROR(__xludf.DUMMYFUNCTION("GOOGLETRANSLATE(C625,""fr"",""en"")"),"24% increase on my home insurance.
I had an increase of 24% on my insurance premium for 2017. I called for explanations, the advisor could not justify this increase. She told me that we were going to remember except that after 15 days always nothing: Da "&amp;"better to place contracts than to fulfill the questions of the societaires. Because my termination has not been taken into account and in addition it asks me for the total of the 2017 bonus. It is simply scandalous. I have resilled out of the watershed wh"&amp;"ile on the one hand they are infichus to answer me on the increase of 24% and moreover it was DA which made me deviate from the delays because they do not respond to my requests in time and on an hour. It is obvious that I will not pay a penny, that I wil"&amp;"l put the file in the hands of associations of consumers see a lawyer and that I will terminate my second contract with them at the layout of this one. I leave you my cord in case someone would have a little bit of the customer's sense.
joel.vial@orange."&amp;"fr
0685529685")</f>
        <v>24% increase on my home insurance.
I had an increase of 24% on my insurance premium for 2017. I called for explanations, the advisor could not justify this increase. She told me that we were going to remember except that after 15 days always nothing: Da better to place contracts than to fulfill the questions of the societaires. Because my termination has not been taken into account and in addition it asks me for the total of the 2017 bonus. It is simply scandalous. I have resilled out of the watershed while on the one hand they are infichus to answer me on the increase of 24% and moreover it was DA which made me deviate from the delays because they do not respond to my requests in time and on an hour. It is obvious that I will not pay a penny, that I will put the file in the hands of associations of consumers see a lawyer and that I will terminate my second contract with them at the layout of this one. I leave you my cord in case someone would have a little bit of the customer's sense.
joel.vial@orange.fr
0685529685</v>
      </c>
    </row>
    <row r="626" ht="15.75" customHeight="1">
      <c r="B626" s="2" t="s">
        <v>1804</v>
      </c>
      <c r="C626" s="2" t="s">
        <v>1805</v>
      </c>
      <c r="D626" s="2" t="s">
        <v>1678</v>
      </c>
      <c r="E626" s="2" t="s">
        <v>1679</v>
      </c>
      <c r="F626" s="2" t="s">
        <v>15</v>
      </c>
      <c r="G626" s="2" t="s">
        <v>1806</v>
      </c>
      <c r="H626" s="2" t="s">
        <v>526</v>
      </c>
      <c r="I626" s="2" t="str">
        <f>IFERROR(__xludf.DUMMYFUNCTION("GOOGLETRANSLATE(C626,""fr"",""en"")"),"Madam, sir you show good faith, you are very badly welcomed and in the background we are harassing by recommended letters which follow every day for a delay in receipt in their organizations of your checks for your home or car insurance They do not bother"&amp;" to check the mail while you are up to date in your payments, they have one of the worst principles to postpone all the faults on the customers they wash their hands, let's save very quickly Insurance, as far as I am concerned, they will no longer see the"&amp;" color of my money last year, I advise them to take education lessons they have no knowing how to live, nor scruples alone money does not interest them, know that I will no longer recover the recommended I will address myself to the consumer service for h"&amp;"arassment and for the language that you have on the phone, next year I will give my money to another insurance company where I will be welcome, you have a detestable behavior, a very important detail should not omit to report it your staff does not deserv"&amp;"e the post he occupies, from which Sahara does he come ????? Hi good wind send me my car sticker to stick very quickly and quickly my insurance is set for the year you have the duty to respect the mandatory conditions")</f>
        <v>Madam, sir you show good faith, you are very badly welcomed and in the background we are harassing by recommended letters which follow every day for a delay in receipt in their organizations of your checks for your home or car insurance They do not bother to check the mail while you are up to date in your payments, they have one of the worst principles to postpone all the faults on the customers they wash their hands, let's save very quickly Insurance, as far as I am concerned, they will no longer see the color of my money last year, I advise them to take education lessons they have no knowing how to live, nor scruples alone money does not interest them, know that I will no longer recover the recommended I will address myself to the consumer service for harassment and for the language that you have on the phone, next year I will give my money to another insurance company where I will be welcome, you have a detestable behavior, a very important detail should not omit to report it your staff does not deserve the post he occupies, from which Sahara does he come ????? Hi good wind send me my car sticker to stick very quickly and quickly my insurance is set for the year you have the duty to respect the mandatory conditions</v>
      </c>
    </row>
    <row r="627" ht="15.75" customHeight="1">
      <c r="B627" s="2" t="s">
        <v>1807</v>
      </c>
      <c r="C627" s="2" t="s">
        <v>1808</v>
      </c>
      <c r="D627" s="2" t="s">
        <v>1678</v>
      </c>
      <c r="E627" s="2" t="s">
        <v>1679</v>
      </c>
      <c r="F627" s="2" t="s">
        <v>15</v>
      </c>
      <c r="G627" s="2" t="s">
        <v>1809</v>
      </c>
      <c r="H627" s="2" t="s">
        <v>17</v>
      </c>
      <c r="I627" s="2" t="str">
        <f>IFERROR(__xludf.DUMMYFUNCTION("GOOGLETRANSLATE(C627,""fr"",""en"")"),"In 16 years never a loss or a housing or car today I have a disaster in my bathroom and they do not want to hear anything on their side it is status-quo, after two recommended letters I do not recommend this company. I have never been pulled out to pay, o"&amp;"n the other hand they make the deaf ear.")</f>
        <v>In 16 years never a loss or a housing or car today I have a disaster in my bathroom and they do not want to hear anything on their side it is status-quo, after two recommended letters I do not recommend this company. I have never been pulled out to pay, on the other hand they make the deaf ear.</v>
      </c>
    </row>
    <row r="628" ht="15.75" customHeight="1">
      <c r="B628" s="2" t="s">
        <v>1810</v>
      </c>
      <c r="C628" s="2" t="s">
        <v>1811</v>
      </c>
      <c r="D628" s="2" t="s">
        <v>1678</v>
      </c>
      <c r="E628" s="2" t="s">
        <v>1679</v>
      </c>
      <c r="F628" s="2" t="s">
        <v>15</v>
      </c>
      <c r="G628" s="2" t="s">
        <v>1812</v>
      </c>
      <c r="H628" s="2" t="s">
        <v>544</v>
      </c>
      <c r="I628" s="2" t="str">
        <f>IFERROR(__xludf.DUMMYFUNCTION("GOOGLETRANSLATE(C628,""fr"",""en"")"),"very bad contact and no customer monitoring awaiting a dispute always waiting for them")</f>
        <v>very bad contact and no customer monitoring awaiting a dispute always waiting for them</v>
      </c>
    </row>
    <row r="629" ht="15.75" customHeight="1">
      <c r="B629" s="2" t="s">
        <v>1813</v>
      </c>
      <c r="C629" s="2" t="s">
        <v>1814</v>
      </c>
      <c r="D629" s="2" t="s">
        <v>1815</v>
      </c>
      <c r="E629" s="2" t="s">
        <v>1679</v>
      </c>
      <c r="F629" s="2" t="s">
        <v>15</v>
      </c>
      <c r="G629" s="2" t="s">
        <v>1816</v>
      </c>
      <c r="H629" s="2" t="s">
        <v>555</v>
      </c>
      <c r="I629" s="2" t="str">
        <f>IFERROR(__xludf.DUMMYFUNCTION("GOOGLETRANSLATE(C629,""fr"",""en"")"),"To take the monthly workers no worries when it comes to defending your members there is no one. I hate to massacre people but this insurer is the worst that I was dealing with. I am canceled.")</f>
        <v>To take the monthly workers no worries when it comes to defending your members there is no one. I hate to massacre people but this insurer is the worst that I was dealing with. I am canceled.</v>
      </c>
    </row>
    <row r="630" ht="15.75" customHeight="1">
      <c r="B630" s="2" t="s">
        <v>1817</v>
      </c>
      <c r="C630" s="2" t="s">
        <v>1818</v>
      </c>
      <c r="D630" s="2" t="s">
        <v>1815</v>
      </c>
      <c r="E630" s="2" t="s">
        <v>1679</v>
      </c>
      <c r="F630" s="2" t="s">
        <v>15</v>
      </c>
      <c r="G630" s="2" t="s">
        <v>1819</v>
      </c>
      <c r="H630" s="2" t="s">
        <v>101</v>
      </c>
      <c r="I630" s="2" t="str">
        <f>IFERROR(__xludf.DUMMYFUNCTION("GOOGLETRANSLATE(C630,""fr"",""en"")"),"I had water damage in February 2021 to date no work has been done.
Pacifica sent me an entrepreneur two weeks after my declaration to make a first quote then in May they send an expert for a second quote and to date more news from Pacifica.
Impossible t"&amp;"o reach the person who takes care of the file. So I call Info Travau who finds me a lot of excuse for the fact that my file takes time.
In short did not take this insurance")</f>
        <v>I had water damage in February 2021 to date no work has been done.
Pacifica sent me an entrepreneur two weeks after my declaration to make a first quote then in May they send an expert for a second quote and to date more news from Pacifica.
Impossible to reach the person who takes care of the file. So I call Info Travau who finds me a lot of excuse for the fact that my file takes time.
In short did not take this insurance</v>
      </c>
    </row>
    <row r="631" ht="15.75" customHeight="1">
      <c r="B631" s="2" t="s">
        <v>1820</v>
      </c>
      <c r="C631" s="2" t="s">
        <v>1821</v>
      </c>
      <c r="D631" s="2" t="s">
        <v>1815</v>
      </c>
      <c r="E631" s="2" t="s">
        <v>1679</v>
      </c>
      <c r="F631" s="2" t="s">
        <v>15</v>
      </c>
      <c r="G631" s="2" t="s">
        <v>1822</v>
      </c>
      <c r="H631" s="2" t="s">
        <v>555</v>
      </c>
      <c r="I631" s="2" t="str">
        <f>IFERROR(__xludf.DUMMYFUNCTION("GOOGLETRANSLATE(C631,""fr"",""en"")"),"For the second time in 6 months my contract has been terminated without notifying it I have no payment incident or degats I will terminate the other 3 contracts at home as well as my bank account which knows the Blema who can Arriving on my very teaching "&amp;"account further when I called does not know the concern to wait Monday for more information
")</f>
        <v>For the second time in 6 months my contract has been terminated without notifying it I have no payment incident or degats I will terminate the other 3 contracts at home as well as my bank account which knows the Blema who can Arriving on my very teaching account further when I called does not know the concern to wait Monday for more information
</v>
      </c>
    </row>
    <row r="632" ht="15.75" customHeight="1">
      <c r="B632" s="2" t="s">
        <v>1823</v>
      </c>
      <c r="C632" s="2" t="s">
        <v>1824</v>
      </c>
      <c r="D632" s="2" t="s">
        <v>1815</v>
      </c>
      <c r="E632" s="2" t="s">
        <v>1679</v>
      </c>
      <c r="F632" s="2" t="s">
        <v>15</v>
      </c>
      <c r="G632" s="2" t="s">
        <v>1825</v>
      </c>
      <c r="H632" s="2" t="s">
        <v>555</v>
      </c>
      <c r="I632" s="2" t="str">
        <f>IFERROR(__xludf.DUMMYFUNCTION("GOOGLETRANSLATE(C632,""fr"",""en"")"),"Null, my bank forced my hand for the protection of our house, but people never remind you of a correct limit with you
2initers for almost 2 years and still no work started, it's not normal
I plan to leave once the work is finished if it starts one day
"&amp;"To flee and I will never recommend these people there")</f>
        <v>Null, my bank forced my hand for the protection of our house, but people never remind you of a correct limit with you
2initers for almost 2 years and still no work started, it's not normal
I plan to leave once the work is finished if it starts one day
To flee and I will never recommend these people there</v>
      </c>
    </row>
    <row r="633" ht="15.75" customHeight="1">
      <c r="B633" s="2" t="s">
        <v>1826</v>
      </c>
      <c r="C633" s="2" t="s">
        <v>1827</v>
      </c>
      <c r="D633" s="2" t="s">
        <v>1815</v>
      </c>
      <c r="E633" s="2" t="s">
        <v>1679</v>
      </c>
      <c r="F633" s="2" t="s">
        <v>15</v>
      </c>
      <c r="G633" s="2" t="s">
        <v>1828</v>
      </c>
      <c r="H633" s="2" t="s">
        <v>39</v>
      </c>
      <c r="I633" s="2" t="str">
        <f>IFERROR(__xludf.DUMMYFUNCTION("GOOGLETRANSLATE(C633,""fr"",""en"")"),"Following our claim, the insurer was very responsive. The expert's visit was also very fast. The financial help to start the work was appreciable.
We would not change insurance!")</f>
        <v>Following our claim, the insurer was very responsive. The expert's visit was also very fast. The financial help to start the work was appreciable.
We would not change insurance!</v>
      </c>
    </row>
    <row r="634" ht="15.75" customHeight="1">
      <c r="B634" s="2" t="s">
        <v>1829</v>
      </c>
      <c r="C634" s="2" t="s">
        <v>1830</v>
      </c>
      <c r="D634" s="2" t="s">
        <v>1815</v>
      </c>
      <c r="E634" s="2" t="s">
        <v>1679</v>
      </c>
      <c r="F634" s="2" t="s">
        <v>15</v>
      </c>
      <c r="G634" s="2" t="s">
        <v>1831</v>
      </c>
      <c r="H634" s="2" t="s">
        <v>39</v>
      </c>
      <c r="I634" s="2" t="str">
        <f>IFERROR(__xludf.DUMMYFUNCTION("GOOGLETRANSLATE(C634,""fr"",""en"")"),"Run away!!!!
No communication.
No care.
In short, insurance has not taken out.
Pacifica does not assure you.
They limit the service to take the monthly subscription and no longer provide any service if necessary.
Impossible to obtain a respons"&amp;"e from the advisor
I wonder even if the Rouen agency really exists
")</f>
        <v>Run away!!!!
No communication.
No care.
In short, insurance has not taken out.
Pacifica does not assure you.
They limit the service to take the monthly subscription and no longer provide any service if necessary.
Impossible to obtain a response from the advisor
I wonder even if the Rouen agency really exists
</v>
      </c>
    </row>
    <row r="635" ht="15.75" customHeight="1">
      <c r="B635" s="2" t="s">
        <v>1832</v>
      </c>
      <c r="C635" s="2" t="s">
        <v>1833</v>
      </c>
      <c r="D635" s="2" t="s">
        <v>1815</v>
      </c>
      <c r="E635" s="2" t="s">
        <v>1679</v>
      </c>
      <c r="F635" s="2" t="s">
        <v>15</v>
      </c>
      <c r="G635" s="2" t="s">
        <v>1834</v>
      </c>
      <c r="H635" s="2" t="s">
        <v>39</v>
      </c>
      <c r="I635" s="2" t="str">
        <f>IFERROR(__xludf.DUMMYFUNCTION("GOOGLETRANSLATE(C635,""fr"",""en"")"),"To flee !!!! Don't answer calls! I have an infiltration in my stay, for 10 days I have been behind and nothing! I am really upset ?????? When I have solved the problem, I will leave this insurance")</f>
        <v>To flee !!!! Don't answer calls! I have an infiltration in my stay, for 10 days I have been behind and nothing! I am really upset ?????? When I have solved the problem, I will leave this insurance</v>
      </c>
    </row>
    <row r="636" ht="15.75" customHeight="1">
      <c r="B636" s="2" t="s">
        <v>1835</v>
      </c>
      <c r="C636" s="2" t="s">
        <v>1836</v>
      </c>
      <c r="D636" s="2" t="s">
        <v>1815</v>
      </c>
      <c r="E636" s="2" t="s">
        <v>1679</v>
      </c>
      <c r="F636" s="2" t="s">
        <v>15</v>
      </c>
      <c r="G636" s="2" t="s">
        <v>1837</v>
      </c>
      <c r="H636" s="2" t="s">
        <v>39</v>
      </c>
      <c r="I636" s="2" t="str">
        <f>IFERROR(__xludf.DUMMYFUNCTION("GOOGLETRANSLATE(C636,""fr"",""en"")"),"Despite a higher cost than the average this insurer is disappointing.
The first contact is rapid, however, they must then restart them several times before having a return.
For some time, a franchise is systematically applied and if you do not wait for "&amp;"them to mandate a speaker, you must do the advance ... and wait for long weeks before being reimbursed after multiple supporting documents not always. . Justified or justifiable.
Insurer to avoid")</f>
        <v>Despite a higher cost than the average this insurer is disappointing.
The first contact is rapid, however, they must then restart them several times before having a return.
For some time, a franchise is systematically applied and if you do not wait for them to mandate a speaker, you must do the advance ... and wait for long weeks before being reimbursed after multiple supporting documents not always. . Justified or justifiable.
Insurer to avoid</v>
      </c>
    </row>
    <row r="637" ht="15.75" customHeight="1">
      <c r="B637" s="2" t="s">
        <v>1838</v>
      </c>
      <c r="C637" s="2" t="s">
        <v>1839</v>
      </c>
      <c r="D637" s="2" t="s">
        <v>1815</v>
      </c>
      <c r="E637" s="2" t="s">
        <v>1679</v>
      </c>
      <c r="F637" s="2" t="s">
        <v>15</v>
      </c>
      <c r="G637" s="2" t="s">
        <v>1840</v>
      </c>
      <c r="H637" s="2" t="s">
        <v>39</v>
      </c>
      <c r="I637" s="2" t="str">
        <f>IFERROR(__xludf.DUMMYFUNCTION("GOOGLETRANSLATE(C637,""fr"",""en"")"),"Sinister Degat des Eaux, mandated expert imbued with his person, making you uncomfortable throughout the expertise to ultimately make an expert in Zero, having prepatched his file before coming ...
No use and discussion possible with Pacifica who follows"&amp;" his report, what a shame ...
To flee, moreover, several contracts in our family will migrate to other insurers surely more competent and serious ...
And yet, I advocated the merits of this insurance to my family, my friends ...
Not anymore")</f>
        <v>Sinister Degat des Eaux, mandated expert imbued with his person, making you uncomfortable throughout the expertise to ultimately make an expert in Zero, having prepatched his file before coming ...
No use and discussion possible with Pacifica who follows his report, what a shame ...
To flee, moreover, several contracts in our family will migrate to other insurers surely more competent and serious ...
And yet, I advocated the merits of this insurance to my family, my friends ...
Not anymore</v>
      </c>
    </row>
    <row r="638" ht="15.75" customHeight="1">
      <c r="B638" s="2" t="s">
        <v>1841</v>
      </c>
      <c r="C638" s="2" t="s">
        <v>1842</v>
      </c>
      <c r="D638" s="2" t="s">
        <v>1815</v>
      </c>
      <c r="E638" s="2" t="s">
        <v>1679</v>
      </c>
      <c r="F638" s="2" t="s">
        <v>15</v>
      </c>
      <c r="G638" s="2" t="s">
        <v>1843</v>
      </c>
      <c r="H638" s="2" t="s">
        <v>39</v>
      </c>
      <c r="I638" s="2" t="str">
        <f>IFERROR(__xludf.DUMMYFUNCTION("GOOGLETRANSLATE(C638,""fr"",""en"")"),"Lamable, my advisor made me home insurance + car insurance, on July 15 I sold my apartment so I make a letter with certificate of sale of the notary of the apartment and request to terminate the insurance, while registered mail reed On 08/05/2021, today o"&amp;"n 07/09/2021 I receive a letter from Pacifica asking for their envoy the act of sale of the apartment because they did not receive my mail, I crack because each time that you telephoné you do all the services, it is a shame if it continues I will file a c"&amp;"omplaint against Pacifica and the post")</f>
        <v>Lamable, my advisor made me home insurance + car insurance, on July 15 I sold my apartment so I make a letter with certificate of sale of the notary of the apartment and request to terminate the insurance, while registered mail reed On 08/05/2021, today on 07/09/2021 I receive a letter from Pacifica asking for their envoy the act of sale of the apartment because they did not receive my mail, I crack because each time that you telephoné you do all the services, it is a shame if it continues I will file a complaint against Pacifica and the post</v>
      </c>
    </row>
    <row r="639" ht="15.75" customHeight="1">
      <c r="B639" s="2" t="s">
        <v>1844</v>
      </c>
      <c r="C639" s="2" t="s">
        <v>1845</v>
      </c>
      <c r="D639" s="2" t="s">
        <v>1815</v>
      </c>
      <c r="E639" s="2" t="s">
        <v>1679</v>
      </c>
      <c r="F639" s="2" t="s">
        <v>15</v>
      </c>
      <c r="G639" s="2" t="s">
        <v>1846</v>
      </c>
      <c r="H639" s="2" t="s">
        <v>43</v>
      </c>
      <c r="I639" s="2" t="str">
        <f>IFERROR(__xludf.DUMMYFUNCTION("GOOGLETRANSLATE(C639,""fr"",""en"")"),"Following floods recognized as a natural disaster I was very well taken care of and reimbursed: my Pacifica interlocutor is listening to me, either he calls me either he sends me a.mail but generally I have a.
We have been reimbursed for household hours."&amp;" Before, a generator to overcome the electricity and a dehumidifier, in addition to the causes caused by the floods
I recommend")</f>
        <v>Following floods recognized as a natural disaster I was very well taken care of and reimbursed: my Pacifica interlocutor is listening to me, either he calls me either he sends me a.mail but generally I have a.
We have been reimbursed for household hours. Before, a generator to overcome the electricity and a dehumidifier, in addition to the causes caused by the floods
I recommend</v>
      </c>
    </row>
    <row r="640" ht="15.75" customHeight="1">
      <c r="B640" s="2" t="s">
        <v>1847</v>
      </c>
      <c r="C640" s="2" t="s">
        <v>1848</v>
      </c>
      <c r="D640" s="2" t="s">
        <v>1815</v>
      </c>
      <c r="E640" s="2" t="s">
        <v>1679</v>
      </c>
      <c r="F640" s="2" t="s">
        <v>15</v>
      </c>
      <c r="G640" s="2" t="s">
        <v>576</v>
      </c>
      <c r="H640" s="2" t="s">
        <v>43</v>
      </c>
      <c r="I640" s="2" t="str">
        <f>IFERROR(__xludf.DUMMYFUNCTION("GOOGLETRANSLATE(C640,""fr"",""en"")"),"No worries to be reimbursed for a decoder destroyed by a thunderstorm.
Friendliness, speed, no problem on the part of Pacifica
Top insurance
Thank you")</f>
        <v>No worries to be reimbursed for a decoder destroyed by a thunderstorm.
Friendliness, speed, no problem on the part of Pacifica
Top insurance
Thank you</v>
      </c>
    </row>
    <row r="641" ht="15.75" customHeight="1">
      <c r="B641" s="2" t="s">
        <v>1849</v>
      </c>
      <c r="C641" s="2" t="s">
        <v>1850</v>
      </c>
      <c r="D641" s="2" t="s">
        <v>1815</v>
      </c>
      <c r="E641" s="2" t="s">
        <v>1679</v>
      </c>
      <c r="F641" s="2" t="s">
        <v>15</v>
      </c>
      <c r="G641" s="2" t="s">
        <v>52</v>
      </c>
      <c r="H641" s="2" t="s">
        <v>43</v>
      </c>
      <c r="I641" s="2" t="str">
        <f>IFERROR(__xludf.DUMMYFUNCTION("GOOGLETRANSLATE(C641,""fr"",""en"")"),"Null insurance from null, incredible loss of time, pretends not to understand, from one call to another and therefore from one interlocutor to the other must all re -explain a disaster! A month with a hole in my wall to hear the need for an incredibly zer"&amp;"o brief quote! I regret the Macif! I closed this sinister and go back to my old insurer !!!!!")</f>
        <v>Null insurance from null, incredible loss of time, pretends not to understand, from one call to another and therefore from one interlocutor to the other must all re -explain a disaster! A month with a hole in my wall to hear the need for an incredibly zero brief quote! I regret the Macif! I closed this sinister and go back to my old insurer !!!!!</v>
      </c>
    </row>
    <row r="642" ht="15.75" customHeight="1">
      <c r="B642" s="2" t="s">
        <v>1851</v>
      </c>
      <c r="C642" s="2" t="s">
        <v>1852</v>
      </c>
      <c r="D642" s="2" t="s">
        <v>1815</v>
      </c>
      <c r="E642" s="2" t="s">
        <v>1679</v>
      </c>
      <c r="F642" s="2" t="s">
        <v>15</v>
      </c>
      <c r="G642" s="2" t="s">
        <v>1108</v>
      </c>
      <c r="H642" s="2" t="s">
        <v>43</v>
      </c>
      <c r="I642" s="2" t="str">
        <f>IFERROR(__xludf.DUMMYFUNCTION("GOOGLETRANSLATE(C642,""fr"",""en"")"),"Shameful in the therme of home insurance, it has been almost 4 months now that a water damage leading to a complete change in my shower cabin has been declared. A plumber was commissioned by my insurance and it has been 3 months that he tells me that the "&amp;"new cabin was not delivered I therefore recalled Pacifica in order to know how we could do in order to compensate any costs rehousing since I can no longer wash in my own apartment their response was simple and clear they will not compensate me for nothin"&amp;"g since my apartment is not in a so -called insanitary condition. For them since I have access to a water point (the sink of the kitchen or the bathroom) The apartment is perfectly viable in large in 2021 Wash at the PDT toilet glove more than 3 months do"&amp;"es not seem not be a problem. This dead end is a shame I live alone in a region where I have no family and by these times of pandemic it seems very moved to go and ask office collaborators if I can show off at home; 1 time why not but 3 months it seems ab"&amp;"usive.")</f>
        <v>Shameful in the therme of home insurance, it has been almost 4 months now that a water damage leading to a complete change in my shower cabin has been declared. A plumber was commissioned by my insurance and it has been 3 months that he tells me that the new cabin was not delivered I therefore recalled Pacifica in order to know how we could do in order to compensate any costs rehousing since I can no longer wash in my own apartment their response was simple and clear they will not compensate me for nothing since my apartment is not in a so -called insanitary condition. For them since I have access to a water point (the sink of the kitchen or the bathroom) The apartment is perfectly viable in large in 2021 Wash at the PDT toilet glove more than 3 months does not seem not be a problem. This dead end is a shame I live alone in a region where I have no family and by these times of pandemic it seems very moved to go and ask office collaborators if I can show off at home; 1 time why not but 3 months it seems abusive.</v>
      </c>
    </row>
    <row r="643" ht="15.75" customHeight="1">
      <c r="B643" s="2" t="s">
        <v>1853</v>
      </c>
      <c r="C643" s="2" t="s">
        <v>1854</v>
      </c>
      <c r="D643" s="2" t="s">
        <v>1815</v>
      </c>
      <c r="E643" s="2" t="s">
        <v>1679</v>
      </c>
      <c r="F643" s="2" t="s">
        <v>15</v>
      </c>
      <c r="G643" s="2" t="s">
        <v>1855</v>
      </c>
      <c r="H643" s="2" t="s">
        <v>56</v>
      </c>
      <c r="I643" s="2" t="str">
        <f>IFERROR(__xludf.DUMMYFUNCTION("GOOGLETRANSLATE(C643,""fr"",""en"")"),"I had a degat following a strong wind a sheet left in my swimming pool and pierced my liner. I called the insurance they told me that they had no strong wind in the town or the Cato Er so that they did not cover this damage the day following the wind C is"&amp;" amplifying the sector was eligible for insurance even TF1 spoke about it to his newspaper. I am disgusted by this system which does everything so as not to compensate us. To a loan you are helpless. Lamentable.
")</f>
        <v>I had a degat following a strong wind a sheet left in my swimming pool and pierced my liner. I called the insurance they told me that they had no strong wind in the town or the Cato Er so that they did not cover this damage the day following the wind C is amplifying the sector was eligible for insurance even TF1 spoke about it to his newspaper. I am disgusted by this system which does everything so as not to compensate us. To a loan you are helpless. Lamentable.
</v>
      </c>
    </row>
    <row r="644" ht="15.75" customHeight="1">
      <c r="B644" s="2" t="s">
        <v>1856</v>
      </c>
      <c r="C644" s="2" t="s">
        <v>1857</v>
      </c>
      <c r="D644" s="2" t="s">
        <v>1815</v>
      </c>
      <c r="E644" s="2" t="s">
        <v>1679</v>
      </c>
      <c r="F644" s="2" t="s">
        <v>15</v>
      </c>
      <c r="G644" s="2" t="s">
        <v>1858</v>
      </c>
      <c r="H644" s="2" t="s">
        <v>56</v>
      </c>
      <c r="I644" s="2" t="str">
        <f>IFERROR(__xludf.DUMMYFUNCTION("GOOGLETRANSLATE(C644,""fr"",""en"")"),"Catastrophin this insurance following a disaster for which I was not responsible, my tenant left the apartment which has become unhealthy no compensation from Pacifica for the loss of loyalty incapable of finding crafts, I re -use all my contracts
I stro"&amp;"ngly advise against this insurance")</f>
        <v>Catastrophin this insurance following a disaster for which I was not responsible, my tenant left the apartment which has become unhealthy no compensation from Pacifica for the loss of loyalty incapable of finding crafts, I re -use all my contracts
I strongly advise against this insurance</v>
      </c>
    </row>
    <row r="645" ht="15.75" customHeight="1">
      <c r="B645" s="2" t="s">
        <v>1859</v>
      </c>
      <c r="C645" s="2" t="s">
        <v>1860</v>
      </c>
      <c r="D645" s="2" t="s">
        <v>1815</v>
      </c>
      <c r="E645" s="2" t="s">
        <v>1679</v>
      </c>
      <c r="F645" s="2" t="s">
        <v>15</v>
      </c>
      <c r="G645" s="2" t="s">
        <v>1118</v>
      </c>
      <c r="H645" s="2" t="s">
        <v>69</v>
      </c>
      <c r="I645" s="2" t="str">
        <f>IFERROR(__xludf.DUMMYFUNCTION("GOOGLETRANSLATE(C645,""fr"",""en"")"),"Very good insurance as long as we have no claims ... I am very disappointed with their services and does not recommend this insurance.
What is insurance if it does not guarantee our claims?
Or take only this insurance with a minimum formula if you want "&amp;"to have just compulsory insurance.")</f>
        <v>Very good insurance as long as we have no claims ... I am very disappointed with their services and does not recommend this insurance.
What is insurance if it does not guarantee our claims?
Or take only this insurance with a minimum formula if you want to have just compulsory insurance.</v>
      </c>
    </row>
    <row r="646" ht="15.75" customHeight="1">
      <c r="B646" s="2" t="s">
        <v>1861</v>
      </c>
      <c r="C646" s="2" t="s">
        <v>1862</v>
      </c>
      <c r="D646" s="2" t="s">
        <v>1815</v>
      </c>
      <c r="E646" s="2" t="s">
        <v>1679</v>
      </c>
      <c r="F646" s="2" t="s">
        <v>15</v>
      </c>
      <c r="G646" s="2" t="s">
        <v>637</v>
      </c>
      <c r="H646" s="2" t="s">
        <v>69</v>
      </c>
      <c r="I646" s="2" t="str">
        <f>IFERROR(__xludf.DUMMYFUNCTION("GOOGLETRANSLATE(C646,""fr"",""en"")"),"Hello a claim of claim in the amount of € 250 that has been dragging for 6 months
I was told that the disaster was taken care of and this morning I remind I have a Armelle on the phone to avoid or especially to change posts because it is unpleasant I wou"&amp;"ld even say aggressive, and tells me that no
Suddenly meet with my Crédit Agricole and Home /car termination bank
No claim since 2010 in addition they are expensive and reimburse very badly in view of the comments
Armelle a lost client but as you made "&amp;"me understand it does not reach you")</f>
        <v>Hello a claim of claim in the amount of € 250 that has been dragging for 6 months
I was told that the disaster was taken care of and this morning I remind I have a Armelle on the phone to avoid or especially to change posts because it is unpleasant I would even say aggressive, and tells me that no
Suddenly meet with my Crédit Agricole and Home /car termination bank
No claim since 2010 in addition they are expensive and reimburse very badly in view of the comments
Armelle a lost client but as you made me understand it does not reach you</v>
      </c>
    </row>
    <row r="647" ht="15.75" customHeight="1">
      <c r="B647" s="2" t="s">
        <v>1863</v>
      </c>
      <c r="C647" s="2" t="s">
        <v>1864</v>
      </c>
      <c r="D647" s="2" t="s">
        <v>1815</v>
      </c>
      <c r="E647" s="2" t="s">
        <v>1679</v>
      </c>
      <c r="F647" s="2" t="s">
        <v>15</v>
      </c>
      <c r="G647" s="2" t="s">
        <v>1865</v>
      </c>
      <c r="H647" s="2" t="s">
        <v>69</v>
      </c>
      <c r="I647" s="2" t="str">
        <f>IFERROR(__xludf.DUMMYFUNCTION("GOOGLETRANSLATE(C647,""fr"",""en"")"),"Sinister of waters at a tenant in August 2019. Insurance as a result. Pacifica wants to involve a company of its choice, it took months while via my management agency C was done in the day, at worst during the week. No information to the customer, I have "&amp;"to go hunting for information. After having validated a company immediately to have the exterior problem repairing it is now necessary to have the interior degates taken care of by Pacifica. A quote is sent to Pacifica by the agency. Pacifica refuses it, "&amp;"it gives the maximum amount. Second quote which enters their criteria is sent and valid. Work. Suddenly, we are warned that an expert is going to see the work to do. Except that they were done since Pacifica has agreed. Now Pacifica does not want to inter"&amp;"vene financially because the degates can no longer be verified by the expert .... for 1000 euros !!!!! Well, well we are good for a legal recourse my pacifist friends .....")</f>
        <v>Sinister of waters at a tenant in August 2019. Insurance as a result. Pacifica wants to involve a company of its choice, it took months while via my management agency C was done in the day, at worst during the week. No information to the customer, I have to go hunting for information. After having validated a company immediately to have the exterior problem repairing it is now necessary to have the interior degates taken care of by Pacifica. A quote is sent to Pacifica by the agency. Pacifica refuses it, it gives the maximum amount. Second quote which enters their criteria is sent and valid. Work. Suddenly, we are warned that an expert is going to see the work to do. Except that they were done since Pacifica has agreed. Now Pacifica does not want to intervene financially because the degates can no longer be verified by the expert .... for 1000 euros !!!!! Well, well we are good for a legal recourse my pacifist friends .....</v>
      </c>
    </row>
    <row r="648" ht="15.75" customHeight="1">
      <c r="B648" s="2" t="s">
        <v>1866</v>
      </c>
      <c r="C648" s="2" t="s">
        <v>1867</v>
      </c>
      <c r="D648" s="2" t="s">
        <v>1815</v>
      </c>
      <c r="E648" s="2" t="s">
        <v>1679</v>
      </c>
      <c r="F648" s="2" t="s">
        <v>15</v>
      </c>
      <c r="G648" s="2" t="s">
        <v>69</v>
      </c>
      <c r="H648" s="2" t="s">
        <v>69</v>
      </c>
      <c r="I648" s="2" t="str">
        <f>IFERROR(__xludf.DUMMYFUNCTION("GOOGLETRANSLATE(C648,""fr"",""en"")"),"Hello, I am assured at Pacifica, of which I am not at all satisfied with their behavior, I had a claim in May 2020 and to date I am always at the same point. Pacifica mandated a company of their choices, it came to do the work, this company unfit for vera"&amp;"nda repairs. Pacifica does not respond to LRAR letters or emails all by phone that I disapprove of since he has no writing to demonstrate. Given my dissatisfied Pacifica sent an expert after the work normally an expert comes before !!!! The one made a tru"&amp;"ly harmful report for him the business well worked on the dilapidation of my gold veranda during his passage he did not even try to slide the berries, for him the wheels are worn out to see that must be Disassemble the berries, I note that the experts are"&amp;" everything for insurance and the disaster victims only has his eyes to cry !!!
We are insured for everything except for what happens to us and good for paying shameful insurance every month!")</f>
        <v>Hello, I am assured at Pacifica, of which I am not at all satisfied with their behavior, I had a claim in May 2020 and to date I am always at the same point. Pacifica mandated a company of their choices, it came to do the work, this company unfit for veranda repairs. Pacifica does not respond to LRAR letters or emails all by phone that I disapprove of since he has no writing to demonstrate. Given my dissatisfied Pacifica sent an expert after the work normally an expert comes before !!!! The one made a truly harmful report for him the business well worked on the dilapidation of my gold veranda during his passage he did not even try to slide the berries, for him the wheels are worn out to see that must be Disassemble the berries, I note that the experts are everything for insurance and the disaster victims only has his eyes to cry !!!
We are insured for everything except for what happens to us and good for paying shameful insurance every month!</v>
      </c>
    </row>
    <row r="649" ht="15.75" customHeight="1">
      <c r="B649" s="2" t="s">
        <v>1868</v>
      </c>
      <c r="C649" s="2" t="s">
        <v>1869</v>
      </c>
      <c r="D649" s="2" t="s">
        <v>1815</v>
      </c>
      <c r="E649" s="2" t="s">
        <v>1679</v>
      </c>
      <c r="F649" s="2" t="s">
        <v>15</v>
      </c>
      <c r="G649" s="2" t="s">
        <v>651</v>
      </c>
      <c r="H649" s="2" t="s">
        <v>79</v>
      </c>
      <c r="I649" s="2" t="str">
        <f>IFERROR(__xludf.DUMMYFUNCTION("GOOGLETRANSLATE(C649,""fr"",""en"")"),"Holder of several multi -risk contracts Housing, vehicles, legal protection, we have used their services for two various files (housing, legal protection) difficulty obtaining on the phone, and after several interviews we learn that the guarantees are not"&amp;" provided for in the contract ????? Read between the lines before committing to their contracts.")</f>
        <v>Holder of several multi -risk contracts Housing, vehicles, legal protection, we have used their services for two various files (housing, legal protection) difficulty obtaining on the phone, and after several interviews we learn that the guarantees are not provided for in the contract ????? Read between the lines before committing to their contracts.</v>
      </c>
    </row>
    <row r="650" ht="15.75" customHeight="1">
      <c r="B650" s="2" t="s">
        <v>1870</v>
      </c>
      <c r="C650" s="2" t="s">
        <v>1871</v>
      </c>
      <c r="D650" s="2" t="s">
        <v>1815</v>
      </c>
      <c r="E650" s="2" t="s">
        <v>1679</v>
      </c>
      <c r="F650" s="2" t="s">
        <v>15</v>
      </c>
      <c r="G650" s="2" t="s">
        <v>322</v>
      </c>
      <c r="H650" s="2" t="s">
        <v>79</v>
      </c>
      <c r="I650" s="2" t="str">
        <f>IFERROR(__xludf.DUMMYFUNCTION("GOOGLETRANSLATE(C650,""fr"",""en"")"),"Zero pointed out of burglary an expert who asks questions who not report a claim service which no longer answers reimbursement not news does not respect the contract since August 2020 I hope to be able to change my mind")</f>
        <v>Zero pointed out of burglary an expert who asks questions who not report a claim service which no longer answers reimbursement not news does not respect the contract since August 2020 I hope to be able to change my mind</v>
      </c>
    </row>
    <row r="651" ht="15.75" customHeight="1">
      <c r="B651" s="2" t="s">
        <v>1872</v>
      </c>
      <c r="C651" s="2" t="s">
        <v>1873</v>
      </c>
      <c r="D651" s="2" t="s">
        <v>1815</v>
      </c>
      <c r="E651" s="2" t="s">
        <v>1679</v>
      </c>
      <c r="F651" s="2" t="s">
        <v>15</v>
      </c>
      <c r="G651" s="2" t="s">
        <v>1474</v>
      </c>
      <c r="H651" s="2" t="s">
        <v>79</v>
      </c>
      <c r="I651" s="2" t="str">
        <f>IFERROR(__xludf.DUMMYFUNCTION("GOOGLETRANSLATE(C651,""fr"",""en"")"),"A big thank you to Florine for the management of my water damage file, for her professionalism and kindness. The passage of experts was very cordial. The start of the work is set (replacement of a 60m2 oak parquet).
I recommend Pacifica of course, my dis"&amp;"aster was settled seriously.")</f>
        <v>A big thank you to Florine for the management of my water damage file, for her professionalism and kindness. The passage of experts was very cordial. The start of the work is set (replacement of a 60m2 oak parquet).
I recommend Pacifica of course, my disaster was settled seriously.</v>
      </c>
    </row>
    <row r="652" ht="15.75" customHeight="1">
      <c r="B652" s="2" t="s">
        <v>1874</v>
      </c>
      <c r="C652" s="2" t="s">
        <v>1875</v>
      </c>
      <c r="D652" s="2" t="s">
        <v>1815</v>
      </c>
      <c r="E652" s="2" t="s">
        <v>1679</v>
      </c>
      <c r="F652" s="2" t="s">
        <v>15</v>
      </c>
      <c r="G652" s="2" t="s">
        <v>1474</v>
      </c>
      <c r="H652" s="2" t="s">
        <v>79</v>
      </c>
      <c r="I652" s="2" t="str">
        <f>IFERROR(__xludf.DUMMYFUNCTION("GOOGLETRANSLATE(C652,""fr"",""en"")"),"I left my apartment that I rented in France since 06/2018, I paid a one -year home insurance contract but I did not know that the contract could be renewed automatically. The insurance company continued to withdraw money from my bank account for almost tw"&amp;"o years after my departure. When I carried out in 2021, I tried to terminate the contract through my LCL banking advisor, I sent nearly 8 documents to him to justify that I no longer live in this residence: Document included (my Previous France rental con"&amp;"tract which ended on 06/30/2018, school document justifying that I am on an exchange program and that I live in another country, certificate of government residence and several other documents) yet the company D 'Insurance replied by ""we will not termina"&amp;"te the contract for lack of evidence"". I have never heard a contract that you can conclude but that you can never terminate.?
Overall, I would never recommend this company, and I suggest that when subscribing to residential insurance with your bank, b"&amp;"e sure to find out about the name of the company and if it is this , stay away.
 Does anyone have suggestions?")</f>
        <v>I left my apartment that I rented in France since 06/2018, I paid a one -year home insurance contract but I did not know that the contract could be renewed automatically. The insurance company continued to withdraw money from my bank account for almost two years after my departure. When I carried out in 2021, I tried to terminate the contract through my LCL banking advisor, I sent nearly 8 documents to him to justify that I no longer live in this residence: Document included (my Previous France rental contract which ended on 06/30/2018, school document justifying that I am on an exchange program and that I live in another country, certificate of government residence and several other documents) yet the company D 'Insurance replied by "we will not terminate the contract for lack of evidence". I have never heard a contract that you can conclude but that you can never terminate.?
Overall, I would never recommend this company, and I suggest that when subscribing to residential insurance with your bank, be sure to find out about the name of the company and if it is this , stay away.
 Does anyone have suggestions?</v>
      </c>
    </row>
    <row r="653" ht="15.75" customHeight="1">
      <c r="B653" s="2" t="s">
        <v>1876</v>
      </c>
      <c r="C653" s="2" t="s">
        <v>1877</v>
      </c>
      <c r="D653" s="2" t="s">
        <v>1815</v>
      </c>
      <c r="E653" s="2" t="s">
        <v>1679</v>
      </c>
      <c r="F653" s="2" t="s">
        <v>15</v>
      </c>
      <c r="G653" s="2" t="s">
        <v>673</v>
      </c>
      <c r="H653" s="2" t="s">
        <v>92</v>
      </c>
      <c r="I653" s="2" t="str">
        <f>IFERROR(__xludf.DUMMYFUNCTION("GOOGLETRANSLATE(C653,""fr"",""en"")"),"2 years in a row that part of my palisade is swept away by the wind. The first time, Pacifica reimbursed me 800 € so that I can do the repair work (which I carried out). For this 2nd experience (another part of my palisade), I sent a quote from my craftsm"&amp;"an to replace the part torn off by an aluminum palisade. Knowing that I will also redo the whole (all the rest) at my expense so that this kind of disappointment does not happen again. Pacifica refused the quote explaining me that the identical wooden pal"&amp;"isade must be redone. Even if I have to remind them each year after each storm. I am circumspect and totally furious.")</f>
        <v>2 years in a row that part of my palisade is swept away by the wind. The first time, Pacifica reimbursed me 800 € so that I can do the repair work (which I carried out). For this 2nd experience (another part of my palisade), I sent a quote from my craftsman to replace the part torn off by an aluminum palisade. Knowing that I will also redo the whole (all the rest) at my expense so that this kind of disappointment does not happen again. Pacifica refused the quote explaining me that the identical wooden palisade must be redone. Even if I have to remind them each year after each storm. I am circumspect and totally furious.</v>
      </c>
    </row>
    <row r="654" ht="15.75" customHeight="1">
      <c r="B654" s="2" t="s">
        <v>1878</v>
      </c>
      <c r="C654" s="2" t="s">
        <v>1879</v>
      </c>
      <c r="D654" s="2" t="s">
        <v>1815</v>
      </c>
      <c r="E654" s="2" t="s">
        <v>1679</v>
      </c>
      <c r="F654" s="2" t="s">
        <v>15</v>
      </c>
      <c r="G654" s="2" t="s">
        <v>1689</v>
      </c>
      <c r="H654" s="2" t="s">
        <v>92</v>
      </c>
      <c r="I654" s="2" t="str">
        <f>IFERROR(__xludf.DUMMYFUNCTION("GOOGLETRANSLATE(C654,""fr"",""en"")"),"Hello,
Situation of situation:
After a large water damage on a solid parquet (20m² out of 40)
Work quote sent in mid-November 2020 (&gt; to 5000 euros requesting an expert pass)
Passage of the expert in early December 2020 (estimate of the expert
    "&amp;"                        ")</f>
        <v>Hello,
Situation of situation:
After a large water damage on a solid parquet (20m² out of 40)
Work quote sent in mid-November 2020 (&gt; to 5000 euros requesting an expert pass)
Passage of the expert in early December 2020 (estimate of the expert
                            </v>
      </c>
    </row>
    <row r="655" ht="15.75" customHeight="1">
      <c r="B655" s="2" t="s">
        <v>1880</v>
      </c>
      <c r="C655" s="2" t="s">
        <v>1881</v>
      </c>
      <c r="D655" s="2" t="s">
        <v>1815</v>
      </c>
      <c r="E655" s="2" t="s">
        <v>1679</v>
      </c>
      <c r="F655" s="2" t="s">
        <v>15</v>
      </c>
      <c r="G655" s="2" t="s">
        <v>95</v>
      </c>
      <c r="H655" s="2" t="s">
        <v>92</v>
      </c>
      <c r="I655" s="2" t="str">
        <f>IFERROR(__xludf.DUMMYFUNCTION("GOOGLETRANSLATE(C655,""fr"",""en"")"),"Run away ! Despite the confinements and the reduction in auto and housing risks in 2020, Pacifica is part of the few insurers who refuse to apply the law and grant a reduction in contributions on 2020. Worse, they have increased their 2021 rates ( 30 euro"&amp;"s for my part on each of my contracts and no explanation given by my advisor)! Be careful when you solve, oppose your samples right away because they continue to take deadlines well after the termination of the contracts and behind, it is a real galley to"&amp;" obtain the refund. For my part, the file has gone in dispute with the mediator!")</f>
        <v>Run away ! Despite the confinements and the reduction in auto and housing risks in 2020, Pacifica is part of the few insurers who refuse to apply the law and grant a reduction in contributions on 2020. Worse, they have increased their 2021 rates ( 30 euros for my part on each of my contracts and no explanation given by my advisor)! Be careful when you solve, oppose your samples right away because they continue to take deadlines well after the termination of the contracts and behind, it is a real galley to obtain the refund. For my part, the file has gone in dispute with the mediator!</v>
      </c>
    </row>
    <row r="656" ht="15.75" customHeight="1">
      <c r="B656" s="2" t="s">
        <v>1882</v>
      </c>
      <c r="C656" s="2" t="s">
        <v>1883</v>
      </c>
      <c r="D656" s="2" t="s">
        <v>1815</v>
      </c>
      <c r="E656" s="2" t="s">
        <v>1679</v>
      </c>
      <c r="F656" s="2" t="s">
        <v>15</v>
      </c>
      <c r="G656" s="2" t="s">
        <v>1513</v>
      </c>
      <c r="H656" s="2" t="s">
        <v>101</v>
      </c>
      <c r="I656" s="2" t="str">
        <f>IFERROR(__xludf.DUMMYFUNCTION("GOOGLETRANSLATE(C656,""fr"",""en"")"),"I contacted insurance on two occasions, an accident that occurred in the home in 2020 and penetration with theft that night. A lot of trouble reaching them and in both cases we did not return to their boxes ... in short, very expensive insurance, little a"&amp;"vailable but never covers :-( live the asterisks at the bottom of the contract ... I do not recommend very strongly.")</f>
        <v>I contacted insurance on two occasions, an accident that occurred in the home in 2020 and penetration with theft that night. A lot of trouble reaching them and in both cases we did not return to their boxes ... in short, very expensive insurance, little available but never covers :-( live the asterisks at the bottom of the contract ... I do not recommend very strongly.</v>
      </c>
    </row>
    <row r="657" ht="15.75" customHeight="1">
      <c r="B657" s="2" t="s">
        <v>1884</v>
      </c>
      <c r="C657" s="2" t="s">
        <v>1885</v>
      </c>
      <c r="D657" s="2" t="s">
        <v>1815</v>
      </c>
      <c r="E657" s="2" t="s">
        <v>1679</v>
      </c>
      <c r="F657" s="2" t="s">
        <v>15</v>
      </c>
      <c r="G657" s="2" t="s">
        <v>1513</v>
      </c>
      <c r="H657" s="2" t="s">
        <v>101</v>
      </c>
      <c r="I657" s="2" t="str">
        <f>IFERROR(__xludf.DUMMYFUNCTION("GOOGLETRANSLATE(C657,""fr"",""en"")"),"Given the situation, it seems to me necessary to make a return of experience on my Pacifica insurance from Crédit Agricole and the company of ""Expert"" Polyexpert. Both are to be avoided !!!! The purpose of this feedback is to inform you and notify you a"&amp;"bout the quality of service of this insurance/bank as well as the expertise company.
He is 4 months old, a driver collided with one of the low walls of our portal. The wall is always smashed. The electric gate is always inoperative. All this is only due "&amp;"to my insurance. Driver's assurance was no problem.
Here are the facts:
Once the observation was sent to Pacifica, they sent two craftsmen who made quotes (one for the portal and the other for the low wall)
Then, the insurance sent an ""expert"" from P"&amp;"olyexpert. This ""expert"" was very condescending and his report is ""neither done nor to do"". In this report, he mixes the amounts and craftsmen, all to cut the quotes in half. Naturally the craftsmen refused the site.
Another company (Rousset Closure)"&amp;", which I found on Evreux, came to make a quote that I have never seen, in the end ... I called twice. The first time, the secretary asked me if I still wanted a quote, even if he exceeded the amount of the expert. I tell her yes and, after a week, I remi"&amp;"nd you ... She asks me the same question by stressing that, anyway, they will not take the site.
In parallel, a new company, coming from Paris and commissioned by Pacifica, came to make a quote, more than a week ago. Since then, still no news while Pacif"&amp;"ica has been a quote for a week according to the company.
FYI, I called on another expert company (Lamy sinister in Evreux) for counter-expertise. Unfortunately, once again, I exchanged with them, at the beginning, and after they no longer given new ones"&amp;" despite my calls. Fortunately, I hadn't signed anything with them yet.
Conclusion, I would simply advise you to avoid named companies. I give you any other comment in order to give way to the facts and just to the facts.
NB: Insurance repairs only what"&amp;" is broken, suddenly, it will not redo the low wall but that the part which is broken (remains to be seen if it will last in time ...). They will still redo the coating of the entire wall but not that of the other low wall, if this is accepted by the ""ex"&amp;"pert"" ... suddenly, I will end up with two different low walls. Thank you Crédit Agricole ...
PS: I had the Crédit Agricole customer relations service but that hasn't changed anything ...
")</f>
        <v>Given the situation, it seems to me necessary to make a return of experience on my Pacifica insurance from Crédit Agricole and the company of "Expert" Polyexpert. Both are to be avoided !!!! The purpose of this feedback is to inform you and notify you about the quality of service of this insurance/bank as well as the expertise company.
He is 4 months old, a driver collided with one of the low walls of our portal. The wall is always smashed. The electric gate is always inoperative. All this is only due to my insurance. Driver's assurance was no problem.
Here are the facts:
Once the observation was sent to Pacifica, they sent two craftsmen who made quotes (one for the portal and the other for the low wall)
Then, the insurance sent an "expert" from Polyexpert. This "expert" was very condescending and his report is "neither done nor to do". In this report, he mixes the amounts and craftsmen, all to cut the quotes in half. Naturally the craftsmen refused the site.
Another company (Rousset Closure), which I found on Evreux, came to make a quote that I have never seen, in the end ... I called twice. The first time, the secretary asked me if I still wanted a quote, even if he exceeded the amount of the expert. I tell her yes and, after a week, I remind you ... She asks me the same question by stressing that, anyway, they will not take the site.
In parallel, a new company, coming from Paris and commissioned by Pacifica, came to make a quote, more than a week ago. Since then, still no news while Pacifica has been a quote for a week according to the company.
FYI, I called on another expert company (Lamy sinister in Evreux) for counter-expertise. Unfortunately, once again, I exchanged with them, at the beginning, and after they no longer given new ones despite my calls. Fortunately, I hadn't signed anything with them yet.
Conclusion, I would simply advise you to avoid named companies. I give you any other comment in order to give way to the facts and just to the facts.
NB: Insurance repairs only what is broken, suddenly, it will not redo the low wall but that the part which is broken (remains to be seen if it will last in time ...). They will still redo the coating of the entire wall but not that of the other low wall, if this is accepted by the "expert" ... suddenly, I will end up with two different low walls. Thank you Crédit Agricole ...
PS: I had the Crédit Agricole customer relations service but that hasn't changed anything ...
</v>
      </c>
    </row>
    <row r="658" ht="15.75" customHeight="1">
      <c r="B658" s="2" t="s">
        <v>1886</v>
      </c>
      <c r="C658" s="2" t="s">
        <v>1887</v>
      </c>
      <c r="D658" s="2" t="s">
        <v>1815</v>
      </c>
      <c r="E658" s="2" t="s">
        <v>1679</v>
      </c>
      <c r="F658" s="2" t="s">
        <v>15</v>
      </c>
      <c r="G658" s="2" t="s">
        <v>1888</v>
      </c>
      <c r="H658" s="2" t="s">
        <v>101</v>
      </c>
      <c r="I658" s="2" t="str">
        <f>IFERROR(__xludf.DUMMYFUNCTION("GOOGLETRANSLATE(C658,""fr"",""en"")"),"Expected expertise following a fire loss which has completely destroyed my apartment
I received a compensation proposal 11 months after the facts but as the ""content"" was underestimated I asked for the separation of real estate which was refused! Havin"&amp;"g initiated work I have been obliged to sign this proposal that I always dispute. I would like to recover the expert's document
No favorable response no going back .... and this despite many reminders!
")</f>
        <v>Expected expertise following a fire loss which has completely destroyed my apartment
I received a compensation proposal 11 months after the facts but as the "content" was underestimated I asked for the separation of real estate which was refused! Having initiated work I have been obliged to sign this proposal that I always dispute. I would like to recover the expert's document
No favorable response no going back .... and this despite many reminders!
</v>
      </c>
    </row>
    <row r="659" ht="15.75" customHeight="1">
      <c r="B659" s="2" t="s">
        <v>1889</v>
      </c>
      <c r="C659" s="2" t="s">
        <v>1890</v>
      </c>
      <c r="D659" s="2" t="s">
        <v>1815</v>
      </c>
      <c r="E659" s="2" t="s">
        <v>1679</v>
      </c>
      <c r="F659" s="2" t="s">
        <v>15</v>
      </c>
      <c r="G659" s="2" t="s">
        <v>107</v>
      </c>
      <c r="H659" s="2" t="s">
        <v>101</v>
      </c>
      <c r="I659" s="2" t="str">
        <f>IFERROR(__xludf.DUMMYFUNCTION("GOOGLETRANSLATE(C659,""fr"",""en"")"),"I find it unacceptable that my subscription increases without being warned. I discover it by looking at my account statement.
Surely because of the covid. (The good excuse)")</f>
        <v>I find it unacceptable that my subscription increases without being warned. I discover it by looking at my account statement.
Surely because of the covid. (The good excuse)</v>
      </c>
    </row>
    <row r="660" ht="15.75" customHeight="1">
      <c r="B660" s="2" t="s">
        <v>1891</v>
      </c>
      <c r="C660" s="2" t="s">
        <v>1892</v>
      </c>
      <c r="D660" s="2" t="s">
        <v>1815</v>
      </c>
      <c r="E660" s="2" t="s">
        <v>1679</v>
      </c>
      <c r="F660" s="2" t="s">
        <v>15</v>
      </c>
      <c r="G660" s="2" t="s">
        <v>107</v>
      </c>
      <c r="H660" s="2" t="s">
        <v>101</v>
      </c>
      <c r="I660" s="2" t="str">
        <f>IFERROR(__xludf.DUMMYFUNCTION("GOOGLETRANSLATE(C660,""fr"",""en"")"),"16 years at Pacifica I assure a swimming pool a house of 200m2 today following the water floods and returns home everywhere I declare the claim he answers my insurance on your insurance there is not the garden pack despite whom at 2 years He takes me 8eur"&amp;"o more for the insurance pool to have ever taken I have already made quotes I by home unacceptable really assurance to avoid taker not to lose 3euro elsewhere. That at Pacifica
")</f>
        <v>16 years at Pacifica I assure a swimming pool a house of 200m2 today following the water floods and returns home everywhere I declare the claim he answers my insurance on your insurance there is not the garden pack despite whom at 2 years He takes me 8euro more for the insurance pool to have ever taken I have already made quotes I by home unacceptable really assurance to avoid taker not to lose 3euro elsewhere. That at Pacifica
</v>
      </c>
    </row>
    <row r="661" ht="15.75" customHeight="1">
      <c r="B661" s="2" t="s">
        <v>1893</v>
      </c>
      <c r="C661" s="2" t="s">
        <v>1894</v>
      </c>
      <c r="D661" s="2" t="s">
        <v>1815</v>
      </c>
      <c r="E661" s="2" t="s">
        <v>1679</v>
      </c>
      <c r="F661" s="2" t="s">
        <v>15</v>
      </c>
      <c r="G661" s="2" t="s">
        <v>886</v>
      </c>
      <c r="H661" s="2" t="s">
        <v>126</v>
      </c>
      <c r="I661" s="2" t="str">
        <f>IFERROR(__xludf.DUMMYFUNCTION("GOOGLETRANSLATE(C661,""fr"",""en"")"),"Competent and available sinister service.
However, the craftsmen proposed for the repair no longer given news after their first visit, which delayed the resolution of the claim.
Prices are much higher than those that can be found at other insurers
(Com"&amp;"parison for the same guarantees: 35 €/month GMF against 53 €/month Pacifica).")</f>
        <v>Competent and available sinister service.
However, the craftsmen proposed for the repair no longer given news after their first visit, which delayed the resolution of the claim.
Prices are much higher than those that can be found at other insurers
(Comparison for the same guarantees: 35 €/month GMF against 53 €/month Pacifica).</v>
      </c>
    </row>
    <row r="662" ht="15.75" customHeight="1">
      <c r="B662" s="2" t="s">
        <v>1895</v>
      </c>
      <c r="C662" s="2" t="s">
        <v>1896</v>
      </c>
      <c r="D662" s="2" t="s">
        <v>1815</v>
      </c>
      <c r="E662" s="2" t="s">
        <v>1679</v>
      </c>
      <c r="F662" s="2" t="s">
        <v>15</v>
      </c>
      <c r="G662" s="2" t="s">
        <v>1897</v>
      </c>
      <c r="H662" s="2" t="s">
        <v>126</v>
      </c>
      <c r="I662" s="2" t="str">
        <f>IFERROR(__xludf.DUMMYFUNCTION("GOOGLETRANSLATE(C662,""fr"",""en"")"),"No site to see the contracts. The bank. 10 years old insured at Eu. And not a claim.
I'm going to go to MMA on Limoux .......
.., ...
")</f>
        <v>No site to see the contracts. The bank. 10 years old insured at Eu. And not a claim.
I'm going to go to MMA on Limoux .......
.., ...
</v>
      </c>
    </row>
    <row r="663" ht="15.75" customHeight="1">
      <c r="B663" s="2" t="s">
        <v>1898</v>
      </c>
      <c r="C663" s="2" t="s">
        <v>1899</v>
      </c>
      <c r="D663" s="2" t="s">
        <v>1815</v>
      </c>
      <c r="E663" s="2" t="s">
        <v>1679</v>
      </c>
      <c r="F663" s="2" t="s">
        <v>15</v>
      </c>
      <c r="G663" s="2" t="s">
        <v>134</v>
      </c>
      <c r="H663" s="2" t="s">
        <v>126</v>
      </c>
      <c r="I663" s="2" t="str">
        <f>IFERROR(__xludf.DUMMYFUNCTION("GOOGLETRANSLATE(C663,""fr"",""en"")"),"By far the worst insurance with really without skills.
In effect they forgot to change the address I was therefore insured at the bad address. Then I learn that my contract has been terminated without my request. And today a really haughty man hangs up w"&amp;"ith me and it was done on purpose. After having called a woman several times deign to answer me but is not of any help and on the contrary she is really tired of her insinu work serious things against me without any embarrassment
 No professionalism on t"&amp;"heir part and I am talking about the two people I had on the phone.
Really it is a shame to hire people who have neither the sense of relational nor professional. I had all my insurance at home (cars, house, mutual) I will be happy to go elsewhere. Just "&amp;"because of these two incompetent people.
Be sure to hire people who will not flee your customers!")</f>
        <v>By far the worst insurance with really without skills.
In effect they forgot to change the address I was therefore insured at the bad address. Then I learn that my contract has been terminated without my request. And today a really haughty man hangs up with me and it was done on purpose. After having called a woman several times deign to answer me but is not of any help and on the contrary she is really tired of her insinu work serious things against me without any embarrassment
 No professionalism on their part and I am talking about the two people I had on the phone.
Really it is a shame to hire people who have neither the sense of relational nor professional. I had all my insurance at home (cars, house, mutual) I will be happy to go elsewhere. Just because of these two incompetent people.
Be sure to hire people who will not flee your customers!</v>
      </c>
    </row>
    <row r="664" ht="15.75" customHeight="1">
      <c r="B664" s="2" t="s">
        <v>1900</v>
      </c>
      <c r="C664" s="2" t="s">
        <v>1901</v>
      </c>
      <c r="D664" s="2" t="s">
        <v>1815</v>
      </c>
      <c r="E664" s="2" t="s">
        <v>1679</v>
      </c>
      <c r="F664" s="2" t="s">
        <v>15</v>
      </c>
      <c r="G664" s="2" t="s">
        <v>894</v>
      </c>
      <c r="H664" s="2" t="s">
        <v>126</v>
      </c>
      <c r="I664" s="2" t="str">
        <f>IFERROR(__xludf.DUMMYFUNCTION("GOOGLETRANSLATE(C664,""fr"",""en"")"),"I was the victim of a drought disaster. Pacifica, my insurer, mandated an expert from the famous cabinet (Elex).
Experts who do not move, in any case not mine.
Who speak badly on the phone, I had the impression of speaking with God.
On the phone, the e"&amp;"xpert tells me that he will give a favorable opinion to Pacifica and the procedure could be very long.
4 Less after all no news, I contact Pacifica and there a person said to me:
Are you not aware?
The expert gave us an unfavorable opinion.
Why didn't"&amp;" you tell me earlier, I wasted time!
Here is their response:
The insurer is not forced to warn the insured ????????
My expert gave me an expertise or his name is not anywhere.
His expertise is filled with contradiction.
However Pacifica too happy not"&amp;" to reimburse does nothing to facilitate a meeting for a counter expertise.
The expert in question Mr. P. never responds to justify his expertise.
I mandated an independent expert he told me that the work of the Pacifica expert was botched.
He is upset"&amp;" when he saw that he was not even signed.
I do not recommend this insurance. Nor this expert cabin.
(An elderly friend had a concern with Elex also the expert said to him ""It is I who decides and I put what I want in my report"" Bravo Elex)
To obtain "&amp;"the expert report of Alex Expertise, it was a great moment, it took me 4 recommended letters to the Cabinet Alex and Pacifica and several nerve crises on the phone.
(I just learned that this expert is no longer part of Elex.
Perhaps Pacifica will be int"&amp;"elligent and will avoid justice because I count in January 2021 go defend my rights)
I specify that all my neighbors (their experts are moved) have been compensated
")</f>
        <v>I was the victim of a drought disaster. Pacifica, my insurer, mandated an expert from the famous cabinet (Elex).
Experts who do not move, in any case not mine.
Who speak badly on the phone, I had the impression of speaking with God.
On the phone, the expert tells me that he will give a favorable opinion to Pacifica and the procedure could be very long.
4 Less after all no news, I contact Pacifica and there a person said to me:
Are you not aware?
The expert gave us an unfavorable opinion.
Why didn't you tell me earlier, I wasted time!
Here is their response:
The insurer is not forced to warn the insured ????????
My expert gave me an expertise or his name is not anywhere.
His expertise is filled with contradiction.
However Pacifica too happy not to reimburse does nothing to facilitate a meeting for a counter expertise.
The expert in question Mr. P. never responds to justify his expertise.
I mandated an independent expert he told me that the work of the Pacifica expert was botched.
He is upset when he saw that he was not even signed.
I do not recommend this insurance. Nor this expert cabin.
(An elderly friend had a concern with Elex also the expert said to him "It is I who decides and I put what I want in my report" Bravo Elex)
To obtain the expert report of Alex Expertise, it was a great moment, it took me 4 recommended letters to the Cabinet Alex and Pacifica and several nerve crises on the phone.
(I just learned that this expert is no longer part of Elex.
Perhaps Pacifica will be intelligent and will avoid justice because I count in January 2021 go defend my rights)
I specify that all my neighbors (their experts are moved) have been compensated
</v>
      </c>
    </row>
    <row r="665" ht="15.75" customHeight="1">
      <c r="B665" s="2" t="s">
        <v>1902</v>
      </c>
      <c r="C665" s="2" t="s">
        <v>1903</v>
      </c>
      <c r="D665" s="2" t="s">
        <v>1815</v>
      </c>
      <c r="E665" s="2" t="s">
        <v>1679</v>
      </c>
      <c r="F665" s="2" t="s">
        <v>15</v>
      </c>
      <c r="G665" s="2" t="s">
        <v>1557</v>
      </c>
      <c r="H665" s="2" t="s">
        <v>141</v>
      </c>
      <c r="I665" s="2" t="str">
        <f>IFERROR(__xludf.DUMMYFUNCTION("GOOGLETRANSLATE(C665,""fr"",""en"")"),"I have 5 home insurance at Crédit Agricole through Pacifica. Prices are higher than at Matmut. No possibility of negotiating with the interlocutor of Crédit Agricole. I have to change the establishment.")</f>
        <v>I have 5 home insurance at Crédit Agricole through Pacifica. Prices are higher than at Matmut. No possibility of negotiating with the interlocutor of Crédit Agricole. I have to change the establishment.</v>
      </c>
    </row>
    <row r="666" ht="15.75" customHeight="1">
      <c r="B666" s="2" t="s">
        <v>1904</v>
      </c>
      <c r="C666" s="2" t="s">
        <v>1905</v>
      </c>
      <c r="D666" s="2" t="s">
        <v>1815</v>
      </c>
      <c r="E666" s="2" t="s">
        <v>1679</v>
      </c>
      <c r="F666" s="2" t="s">
        <v>15</v>
      </c>
      <c r="G666" s="2" t="s">
        <v>364</v>
      </c>
      <c r="H666" s="2" t="s">
        <v>141</v>
      </c>
      <c r="I666" s="2" t="str">
        <f>IFERROR(__xludf.DUMMYFUNCTION("GOOGLETRANSLATE(C666,""fr"",""en"")"),"But what is this insurance without any online platform, they don't even have an email, suddenly, during this covid period, impossible to exchange with them on a dematerialized platform.
They have no email ...")</f>
        <v>But what is this insurance without any online platform, they don't even have an email, suddenly, during this covid period, impossible to exchange with them on a dematerialized platform.
They have no email ...</v>
      </c>
    </row>
    <row r="667" ht="15.75" customHeight="1">
      <c r="B667" s="2" t="s">
        <v>1906</v>
      </c>
      <c r="C667" s="2" t="s">
        <v>1907</v>
      </c>
      <c r="D667" s="2" t="s">
        <v>1815</v>
      </c>
      <c r="E667" s="2" t="s">
        <v>1679</v>
      </c>
      <c r="F667" s="2" t="s">
        <v>15</v>
      </c>
      <c r="G667" s="2" t="s">
        <v>157</v>
      </c>
      <c r="H667" s="2" t="s">
        <v>141</v>
      </c>
      <c r="I667" s="2" t="str">
        <f>IFERROR(__xludf.DUMMYFUNCTION("GOOGLETRANSLATE(C667,""fr"",""en"")"),"Water damage for 18 months. We had to fight just to obtain the reports of the craftsmen that Pacifica sent us. Employees on the phone do not know many of them do not even make the difference between everything with a sewer and septic tank or micro treatme"&amp;"nt plant. It procrastinates as much as possible, Pacifica supports us that the repairs were done when there was only research of leaks. There is a photo, on a report, from the inside of the sink below and Pacifica furniture support that it is the crawl sp"&amp;"ace because it is dark. They make the dead, never come back to us. Currently my baby sleeps in an 85% humidity room! I put a star because it is impossible to put it zero.")</f>
        <v>Water damage for 18 months. We had to fight just to obtain the reports of the craftsmen that Pacifica sent us. Employees on the phone do not know many of them do not even make the difference between everything with a sewer and septic tank or micro treatment plant. It procrastinates as much as possible, Pacifica supports us that the repairs were done when there was only research of leaks. There is a photo, on a report, from the inside of the sink below and Pacifica furniture support that it is the crawl space because it is dark. They make the dead, never come back to us. Currently my baby sleeps in an 85% humidity room! I put a star because it is impossible to put it zero.</v>
      </c>
    </row>
    <row r="668" ht="15.75" customHeight="1">
      <c r="B668" s="2" t="s">
        <v>1908</v>
      </c>
      <c r="C668" s="2" t="s">
        <v>1909</v>
      </c>
      <c r="D668" s="2" t="s">
        <v>1815</v>
      </c>
      <c r="E668" s="2" t="s">
        <v>1679</v>
      </c>
      <c r="F668" s="2" t="s">
        <v>15</v>
      </c>
      <c r="G668" s="2" t="s">
        <v>1565</v>
      </c>
      <c r="H668" s="2" t="s">
        <v>141</v>
      </c>
      <c r="I668" s="2" t="str">
        <f>IFERROR(__xludf.DUMMYFUNCTION("GOOGLETRANSLATE(C668,""fr"",""en"")"),"Absolutely satisfied with rapid intervention and immediate reimbursement on quote with a large deposit and the balance upon receipt of invoices. I fully recommend this insurance for its seriousness.")</f>
        <v>Absolutely satisfied with rapid intervention and immediate reimbursement on quote with a large deposit and the balance upon receipt of invoices. I fully recommend this insurance for its seriousness.</v>
      </c>
    </row>
    <row r="669" ht="15.75" customHeight="1">
      <c r="B669" s="2" t="s">
        <v>1910</v>
      </c>
      <c r="C669" s="2" t="s">
        <v>1911</v>
      </c>
      <c r="D669" s="2" t="s">
        <v>1815</v>
      </c>
      <c r="E669" s="2" t="s">
        <v>1679</v>
      </c>
      <c r="F669" s="2" t="s">
        <v>15</v>
      </c>
      <c r="G669" s="2" t="s">
        <v>1164</v>
      </c>
      <c r="H669" s="2" t="s">
        <v>167</v>
      </c>
      <c r="I669" s="2" t="str">
        <f>IFERROR(__xludf.DUMMYFUNCTION("GOOGLETRANSLATE(C669,""fr"",""en"")"),"Flee this insurance !!! They do everything so as not to take care of your natural disaster disaster! They don't even intervene expert! And when they do it is not video! As if an expert could realize the condition of a house by video then after they seek a"&amp;"ll the ways to put the fault on something else without really pointing the finger at something in particular that would have been badly done during construction . They do not give any explanations, they keep you posted with nothing and never answer on the"&amp;" phone!")</f>
        <v>Flee this insurance !!! They do everything so as not to take care of your natural disaster disaster! They don't even intervene expert! And when they do it is not video! As if an expert could realize the condition of a house by video then after they seek all the ways to put the fault on something else without really pointing the finger at something in particular that would have been badly done during construction . They do not give any explanations, they keep you posted with nothing and never answer on the phone!</v>
      </c>
    </row>
    <row r="670" ht="15.75" customHeight="1">
      <c r="B670" s="2" t="s">
        <v>1912</v>
      </c>
      <c r="C670" s="2" t="s">
        <v>1913</v>
      </c>
      <c r="D670" s="2" t="s">
        <v>1815</v>
      </c>
      <c r="E670" s="2" t="s">
        <v>1679</v>
      </c>
      <c r="F670" s="2" t="s">
        <v>15</v>
      </c>
      <c r="G670" s="2" t="s">
        <v>1914</v>
      </c>
      <c r="H670" s="2" t="s">
        <v>167</v>
      </c>
      <c r="I670" s="2" t="str">
        <f>IFERROR(__xludf.DUMMYFUNCTION("GOOGLETRANSLATE(C670,""fr"",""en"")"),"Has several times have been dealt with peaceful following unfortunate damage in our house.
Seek by all means to reimburse as little as possible, you will tell me this is the objective of all insurance, however there are ways to do that do not pass.
Refl"&amp;"ections on the phone by a adviser concerning the weather, no damage linked to the storm at home (so much the better for you), no garden pack DC not supported, we only learn it during the loss of course. Regarding our water damage, the search for leakage i"&amp;"s not taken care of and the work has generated it seems to us a battle between them and their approved society, and all this during the COVVID, letting pass a few months thought that We would have forgotten some details ... Expert result OK, company OK, a"&amp;"nd Pacifica reimburses the work on the outskirts of the formwork located under the water leak !!!! We walk on the head !!!! And we learned all of this thanks to the honesty of the worker working on the site.
Our concerns will have lasted more than a ye"&amp;"ar, the files several times ""left aside"" I quote, have revived the advisers several times. It is an aberration.
Pacifica is finished for us.")</f>
        <v>Has several times have been dealt with peaceful following unfortunate damage in our house.
Seek by all means to reimburse as little as possible, you will tell me this is the objective of all insurance, however there are ways to do that do not pass.
Reflections on the phone by a adviser concerning the weather, no damage linked to the storm at home (so much the better for you), no garden pack DC not supported, we only learn it during the loss of course. Regarding our water damage, the search for leakage is not taken care of and the work has generated it seems to us a battle between them and their approved society, and all this during the COVVID, letting pass a few months thought that We would have forgotten some details ... Expert result OK, company OK, and Pacifica reimburses the work on the outskirts of the formwork located under the water leak !!!! We walk on the head !!!! And we learned all of this thanks to the honesty of the worker working on the site.
Our concerns will have lasted more than a year, the files several times "left aside" I quote, have revived the advisers several times. It is an aberration.
Pacifica is finished for us.</v>
      </c>
    </row>
    <row r="671" ht="15.75" customHeight="1">
      <c r="B671" s="2" t="s">
        <v>1915</v>
      </c>
      <c r="C671" s="2" t="s">
        <v>1916</v>
      </c>
      <c r="D671" s="2" t="s">
        <v>1815</v>
      </c>
      <c r="E671" s="2" t="s">
        <v>1679</v>
      </c>
      <c r="F671" s="2" t="s">
        <v>15</v>
      </c>
      <c r="G671" s="2" t="s">
        <v>1914</v>
      </c>
      <c r="H671" s="2" t="s">
        <v>167</v>
      </c>
      <c r="I671" s="2" t="str">
        <f>IFERROR(__xludf.DUMMYFUNCTION("GOOGLETRANSLATE(C671,""fr"",""en"")"),"For 16 years I was insured at Pacifica, with a single damage following a hailstorm to report. So from the rental of my house and the termination of my home insurance, no one told me that I had to take owner insurance not occupying and of course we only le"&amp;"arn it when we have problems and there ... We learn that Pacifica never wants to assure us! Fortunately, competitors are more understanding. But congratulations to Pacifica in her way of treating her customer loyalty! Zero pointed")</f>
        <v>For 16 years I was insured at Pacifica, with a single damage following a hailstorm to report. So from the rental of my house and the termination of my home insurance, no one told me that I had to take owner insurance not occupying and of course we only learn it when we have problems and there ... We learn that Pacifica never wants to assure us! Fortunately, competitors are more understanding. But congratulations to Pacifica in her way of treating her customer loyalty! Zero pointed</v>
      </c>
    </row>
    <row r="672" ht="15.75" customHeight="1">
      <c r="B672" s="2" t="s">
        <v>1917</v>
      </c>
      <c r="C672" s="2" t="s">
        <v>1918</v>
      </c>
      <c r="D672" s="2" t="s">
        <v>1815</v>
      </c>
      <c r="E672" s="2" t="s">
        <v>1679</v>
      </c>
      <c r="F672" s="2" t="s">
        <v>15</v>
      </c>
      <c r="G672" s="2" t="s">
        <v>1914</v>
      </c>
      <c r="H672" s="2" t="s">
        <v>167</v>
      </c>
      <c r="I672" s="2" t="str">
        <f>IFERROR(__xludf.DUMMYFUNCTION("GOOGLETRANSLATE(C672,""fr"",""en"")"),"Guarantees that are difficult to make: reconstruction ""identically"", replacement of everything that is not new real estate, whatever the age, special blow (assumption of credit monthly payments in the event of a disaster not allowing More to live in the"&amp;" house and up to 2 years of rehousing), franchise gift after 3 years without claims, right to error, high compensation ceiling, competitive price, no need for invoice.")</f>
        <v>Guarantees that are difficult to make: reconstruction "identically", replacement of everything that is not new real estate, whatever the age, special blow (assumption of credit monthly payments in the event of a disaster not allowing More to live in the house and up to 2 years of rehousing), franchise gift after 3 years without claims, right to error, high compensation ceiling, competitive price, no need for invoice.</v>
      </c>
    </row>
    <row r="673" ht="15.75" customHeight="1">
      <c r="B673" s="2" t="s">
        <v>1919</v>
      </c>
      <c r="C673" s="2" t="s">
        <v>1920</v>
      </c>
      <c r="D673" s="2" t="s">
        <v>1815</v>
      </c>
      <c r="E673" s="2" t="s">
        <v>1679</v>
      </c>
      <c r="F673" s="2" t="s">
        <v>15</v>
      </c>
      <c r="G673" s="2" t="s">
        <v>1578</v>
      </c>
      <c r="H673" s="2" t="s">
        <v>167</v>
      </c>
      <c r="I673" s="2" t="str">
        <f>IFERROR(__xludf.DUMMYFUNCTION("GOOGLETRANSLATE(C673,""fr"",""en"")"),"I have been trying to terminate home insurance since May for accommodation left in January!
We are in October and I continue to be taken,
They are there to take the money.
Insurance to flee as quickly as possible. No response from them ...
Of course I"&amp;" will not be reimbursed for the payments paid too much ........
It leaves a very deplorable image of this insurance really, but I will make all the necessary advertisement so that as many people as possible does not ensure at Crédit Agricole.")</f>
        <v>I have been trying to terminate home insurance since May for accommodation left in January!
We are in October and I continue to be taken,
They are there to take the money.
Insurance to flee as quickly as possible. No response from them ...
Of course I will not be reimbursed for the payments paid too much ........
It leaves a very deplorable image of this insurance really, but I will make all the necessary advertisement so that as many people as possible does not ensure at Crédit Agricole.</v>
      </c>
    </row>
    <row r="674" ht="15.75" customHeight="1">
      <c r="B674" s="2" t="s">
        <v>1921</v>
      </c>
      <c r="C674" s="2" t="s">
        <v>1922</v>
      </c>
      <c r="D674" s="2" t="s">
        <v>1815</v>
      </c>
      <c r="E674" s="2" t="s">
        <v>1679</v>
      </c>
      <c r="F674" s="2" t="s">
        <v>15</v>
      </c>
      <c r="G674" s="2" t="s">
        <v>1198</v>
      </c>
      <c r="H674" s="2" t="s">
        <v>196</v>
      </c>
      <c r="I674" s="2" t="str">
        <f>IFERROR(__xludf.DUMMYFUNCTION("GOOGLETRANSLATE(C674,""fr"",""en"")"),"I bitterly regret being staying with this Pacifica Crédit Agricole insurer. Required when obtaining the loan with Crédit Agricole, everything is easy to subscribe to it. A small signature with your bank advisor and that's all good!
On the other hand foll"&amp;"owing the sale of the property, they drag the termination and requests a handwritten letter by mail. So even that the reimbursed loan belongs to the same company, namely Crédit Agricole.
I advise you to change your home insurance after the first year und"&amp;"er the terms of the Hamon law, and to choose a real insurer. What I should have done.")</f>
        <v>I bitterly regret being staying with this Pacifica Crédit Agricole insurer. Required when obtaining the loan with Crédit Agricole, everything is easy to subscribe to it. A small signature with your bank advisor and that's all good!
On the other hand following the sale of the property, they drag the termination and requests a handwritten letter by mail. So even that the reimbursed loan belongs to the same company, namely Crédit Agricole.
I advise you to change your home insurance after the first year under the terms of the Hamon law, and to choose a real insurer. What I should have done.</v>
      </c>
    </row>
    <row r="675" ht="15.75" customHeight="1">
      <c r="B675" s="2" t="s">
        <v>1923</v>
      </c>
      <c r="C675" s="2" t="s">
        <v>1924</v>
      </c>
      <c r="D675" s="2" t="s">
        <v>1815</v>
      </c>
      <c r="E675" s="2" t="s">
        <v>1679</v>
      </c>
      <c r="F675" s="2" t="s">
        <v>15</v>
      </c>
      <c r="G675" s="2" t="s">
        <v>1201</v>
      </c>
      <c r="H675" s="2" t="s">
        <v>196</v>
      </c>
      <c r="I675" s="2" t="str">
        <f>IFERROR(__xludf.DUMMYFUNCTION("GOOGLETRANSLATE(C675,""fr"",""en"")"),"Hi there,
Pacifica is home insurance for boundar practices!
1st damage: they mandated me a company that did the work very badly and without respecting the contract which stipulated that the work had to be carried out according to the existing. Since"&amp;" then, no intervention on their part, the advisers save time ...
2nd damage: my file has been hanging around for two years and their strategy seems to be saving time again. The last expertise on their part seems to show that there is no evidence of inf"&amp;"iltration, and for good reason: I live on site so I obviously clean the damage between 2018 and 2020. I have the invoice of 'Company who came to climb infiltration and videos of the damage dating from before the repair, yet Pacifica insurance refuses the "&amp;"care (contractual), I am in an impasse: they won ...
Flee before signing!")</f>
        <v>Hi there,
Pacifica is home insurance for boundar practices!
1st damage: they mandated me a company that did the work very badly and without respecting the contract which stipulated that the work had to be carried out according to the existing. Since then, no intervention on their part, the advisers save time ...
2nd damage: my file has been hanging around for two years and their strategy seems to be saving time again. The last expertise on their part seems to show that there is no evidence of infiltration, and for good reason: I live on site so I obviously clean the damage between 2018 and 2020. I have the invoice of 'Company who came to climb infiltration and videos of the damage dating from before the repair, yet Pacifica insurance refuses the care (contractual), I am in an impasse: they won ...
Flee before signing!</v>
      </c>
    </row>
    <row r="676" ht="15.75" customHeight="1">
      <c r="B676" s="2" t="s">
        <v>1925</v>
      </c>
      <c r="C676" s="2" t="s">
        <v>1926</v>
      </c>
      <c r="D676" s="2" t="s">
        <v>1815</v>
      </c>
      <c r="E676" s="2" t="s">
        <v>1679</v>
      </c>
      <c r="F676" s="2" t="s">
        <v>15</v>
      </c>
      <c r="G676" s="2" t="s">
        <v>1927</v>
      </c>
      <c r="H676" s="2" t="s">
        <v>196</v>
      </c>
      <c r="I676" s="2" t="str">
        <f>IFERROR(__xludf.DUMMYFUNCTION("GOOGLETRANSLATE(C676,""fr"",""en"")"),"Pacifica has been my insurer for many years. Too expensive, I wanted to compare with cheaper insurers and with the advantages of Pacifica, no deductible, new to new, different options to stick to as many people as possible, no fuss, a simple telephone con"&amp;"tact outside the platform . I found nothing to replace Pacifica at a comparable price. The call prices being made outside options and with considerable deductibles.")</f>
        <v>Pacifica has been my insurer for many years. Too expensive, I wanted to compare with cheaper insurers and with the advantages of Pacifica, no deductible, new to new, different options to stick to as many people as possible, no fuss, a simple telephone contact outside the platform . I found nothing to replace Pacifica at a comparable price. The call prices being made outside options and with considerable deductibles.</v>
      </c>
    </row>
    <row r="677" ht="15.75" customHeight="1">
      <c r="B677" s="2" t="s">
        <v>1928</v>
      </c>
      <c r="C677" s="2" t="s">
        <v>1929</v>
      </c>
      <c r="D677" s="2" t="s">
        <v>1815</v>
      </c>
      <c r="E677" s="2" t="s">
        <v>1679</v>
      </c>
      <c r="F677" s="2" t="s">
        <v>15</v>
      </c>
      <c r="G677" s="2" t="s">
        <v>1930</v>
      </c>
      <c r="H677" s="2" t="s">
        <v>196</v>
      </c>
      <c r="I677" s="2" t="str">
        <f>IFERROR(__xludf.DUMMYFUNCTION("GOOGLETRANSLATE(C677,""fr"",""en"")"),"Insurance that does not play its role. Accepts the contributions but leaves you in the galley in the event of a sinister.
Meeting taken for a leak search and final cancellation of the appointment the day before.
I do not recommend this insurance which i"&amp;"s not the cheapest with a service that is limited.")</f>
        <v>Insurance that does not play its role. Accepts the contributions but leaves you in the galley in the event of a sinister.
Meeting taken for a leak search and final cancellation of the appointment the day before.
I do not recommend this insurance which is not the cheapest with a service that is limited.</v>
      </c>
    </row>
    <row r="678" ht="15.75" customHeight="1">
      <c r="B678" s="2" t="s">
        <v>1931</v>
      </c>
      <c r="C678" s="2" t="s">
        <v>1932</v>
      </c>
      <c r="D678" s="2" t="s">
        <v>1815</v>
      </c>
      <c r="E678" s="2" t="s">
        <v>1679</v>
      </c>
      <c r="F678" s="2" t="s">
        <v>15</v>
      </c>
      <c r="G678" s="2" t="s">
        <v>916</v>
      </c>
      <c r="H678" s="2" t="s">
        <v>196</v>
      </c>
      <c r="I678" s="2" t="str">
        <f>IFERROR(__xludf.DUMMYFUNCTION("GOOGLETRANSLATE(C678,""fr"",""en"")"),"We found ourselves locked up with us last night, so I call the assistance to have a locksmith breakdown to open the entrance door. The I receive a first message telling me that on the city closest to us, no affiliated provider in Pacifica, the closest bei"&amp;"ng in Bourg en Bresse, but closed. I remind you, I am offered a Depanner on Anse (about 1:30 of my home). And OK tells me that insurance will only cover travel costs (150 euros around) but not the intervention, without giving me an amount (one more Sunday"&amp;" ...). In short, I refuse, suddenly with my neighbor there is a solution by deciding a defense grid of a window overlooking the garage, and forcing it we can access the garage and enter the house. I recall this morning to find out if care would be possibl"&amp;"e to reappear the grid by a company that I know well who offer me to carry out the intervention, which will not exceed 80 euros ... I am reminded to tell me that unfortunately none Management is not possible, that we had refused their solutions and as it "&amp;"was we who had cut the grid, that did not go into their conditions and that even for a disaster, I had a chance to be reimbursed. . In short pay 46 euros per month to have a maximum of a maximum cover, and in the first pepper not having a solution, a mont"&amp;"h of ""doubting"" financial level, finding a solution yourself, less expensive, and having no Gesture behind ... I will not stay customer at home, I was forced for a year, because of my home loan, I will go to see elsewhere. Very disappointed.")</f>
        <v>We found ourselves locked up with us last night, so I call the assistance to have a locksmith breakdown to open the entrance door. The I receive a first message telling me that on the city closest to us, no affiliated provider in Pacifica, the closest being in Bourg en Bresse, but closed. I remind you, I am offered a Depanner on Anse (about 1:30 of my home). And OK tells me that insurance will only cover travel costs (150 euros around) but not the intervention, without giving me an amount (one more Sunday ...). In short, I refuse, suddenly with my neighbor there is a solution by deciding a defense grid of a window overlooking the garage, and forcing it we can access the garage and enter the house. I recall this morning to find out if care would be possible to reappear the grid by a company that I know well who offer me to carry out the intervention, which will not exceed 80 euros ... I am reminded to tell me that unfortunately none Management is not possible, that we had refused their solutions and as it was we who had cut the grid, that did not go into their conditions and that even for a disaster, I had a chance to be reimbursed. . In short pay 46 euros per month to have a maximum of a maximum cover, and in the first pepper not having a solution, a month of "doubting" financial level, finding a solution yourself, less expensive, and having no Gesture behind ... I will not stay customer at home, I was forced for a year, because of my home loan, I will go to see elsewhere. Very disappointed.</v>
      </c>
    </row>
    <row r="679" ht="15.75" customHeight="1">
      <c r="B679" s="2" t="s">
        <v>1933</v>
      </c>
      <c r="C679" s="2" t="s">
        <v>1934</v>
      </c>
      <c r="D679" s="2" t="s">
        <v>1815</v>
      </c>
      <c r="E679" s="2" t="s">
        <v>1679</v>
      </c>
      <c r="F679" s="2" t="s">
        <v>15</v>
      </c>
      <c r="G679" s="2" t="s">
        <v>1935</v>
      </c>
      <c r="H679" s="2" t="s">
        <v>203</v>
      </c>
      <c r="I679" s="2" t="str">
        <f>IFERROR(__xludf.DUMMYFUNCTION("GOOGLETRANSLATE(C679,""fr"",""en"")"),"Since 2002, I had only one sinister ice break that I repaired myself (chimney insert window), Pacifica had only to reimburse the part, I am responsible for all the steps.")</f>
        <v>Since 2002, I had only one sinister ice break that I repaired myself (chimney insert window), Pacifica had only to reimburse the part, I am responsible for all the steps.</v>
      </c>
    </row>
    <row r="680" ht="15.75" customHeight="1">
      <c r="B680" s="2" t="s">
        <v>1936</v>
      </c>
      <c r="C680" s="2" t="s">
        <v>1937</v>
      </c>
      <c r="D680" s="2" t="s">
        <v>1815</v>
      </c>
      <c r="E680" s="2" t="s">
        <v>1679</v>
      </c>
      <c r="F680" s="2" t="s">
        <v>15</v>
      </c>
      <c r="G680" s="2" t="s">
        <v>1938</v>
      </c>
      <c r="H680" s="2" t="s">
        <v>203</v>
      </c>
      <c r="I680" s="2" t="str">
        <f>IFERROR(__xludf.DUMMYFUNCTION("GOOGLETRANSLATE(C680,""fr"",""en"")"),"TO FLEE. Pacifica does not care about its customers. I asked for explanations by email following a dispute: after 12 days of waiting, still no response from them !!! Following a Pacifica sinister has brought in a craftsman at my home who has made no repai"&amp;"r work and who nevertheless dubbed my 250 euros deductible check. Pacifica remains deaf at my request for the invoice of the so -called work that would have done that
The craftsman !! probably because this invoice does not exist. So I lost 250 euros in 1"&amp;"5 minutes and Pacifica does nothing and remains silent. IT IS UNACCEPTABLE. Insurer to flee !!!!!")</f>
        <v>TO FLEE. Pacifica does not care about its customers. I asked for explanations by email following a dispute: after 12 days of waiting, still no response from them !!! Following a Pacifica sinister has brought in a craftsman at my home who has made no repair work and who nevertheless dubbed my 250 euros deductible check. Pacifica remains deaf at my request for the invoice of the so -called work that would have done that
The craftsman !! probably because this invoice does not exist. So I lost 250 euros in 15 minutes and Pacifica does nothing and remains silent. IT IS UNACCEPTABLE. Insurer to flee !!!!!</v>
      </c>
    </row>
    <row r="681" ht="15.75" customHeight="1">
      <c r="B681" s="2" t="s">
        <v>1939</v>
      </c>
      <c r="C681" s="2" t="s">
        <v>1940</v>
      </c>
      <c r="D681" s="2" t="s">
        <v>1815</v>
      </c>
      <c r="E681" s="2" t="s">
        <v>1679</v>
      </c>
      <c r="F681" s="2" t="s">
        <v>15</v>
      </c>
      <c r="G681" s="2" t="s">
        <v>933</v>
      </c>
      <c r="H681" s="2" t="s">
        <v>210</v>
      </c>
      <c r="I681" s="2" t="str">
        <f>IFERROR(__xludf.DUMMYFUNCTION("GOOGLETRANSLATE(C681,""fr"",""en"")"),"Since Monday, June 1, I have had a water damage to my basement, I have called my insurance for water damage and since today still nothing of their share, as I had in Telephone Monday June 8 not before Tuesday or Wednesday that my file was processed.
To g"&amp;"o faster, it would have to be me who faces the steps for a plumber and leave the continuation called them so that he can give their agreement and make a deposit for repairs .. a ral the bowl, I am pregnant and pregnant and pregnant and pregnant SA starts "&amp;"to be long to intervene.
Not satisfied with this home insurance ...
")</f>
        <v>Since Monday, June 1, I have had a water damage to my basement, I have called my insurance for water damage and since today still nothing of their share, as I had in Telephone Monday June 8 not before Tuesday or Wednesday that my file was processed.
To go faster, it would have to be me who faces the steps for a plumber and leave the continuation called them so that he can give their agreement and make a deposit for repairs .. a ral the bowl, I am pregnant and pregnant and pregnant and pregnant SA starts to be long to intervene.
Not satisfied with this home insurance ...
</v>
      </c>
    </row>
    <row r="682" ht="15.75" customHeight="1">
      <c r="B682" s="2" t="s">
        <v>1941</v>
      </c>
      <c r="C682" s="2" t="s">
        <v>1942</v>
      </c>
      <c r="D682" s="2" t="s">
        <v>1815</v>
      </c>
      <c r="E682" s="2" t="s">
        <v>1679</v>
      </c>
      <c r="F682" s="2" t="s">
        <v>15</v>
      </c>
      <c r="G682" s="2" t="s">
        <v>1943</v>
      </c>
      <c r="H682" s="2" t="s">
        <v>218</v>
      </c>
      <c r="I682" s="2" t="str">
        <f>IFERROR(__xludf.DUMMYFUNCTION("GOOGLETRANSLATE(C682,""fr"",""en"")"),"For a refund following an electric loss
I was robbed of almost 300 euros I brought in my advisor but I await the court-circuit is
End of October")</f>
        <v>For a refund following an electric loss
I was robbed of almost 300 euros I brought in my advisor but I await the court-circuit is
End of October</v>
      </c>
    </row>
    <row r="683" ht="15.75" customHeight="1">
      <c r="B683" s="2" t="s">
        <v>1944</v>
      </c>
      <c r="C683" s="2" t="s">
        <v>1945</v>
      </c>
      <c r="D683" s="2" t="s">
        <v>1815</v>
      </c>
      <c r="E683" s="2" t="s">
        <v>1679</v>
      </c>
      <c r="F683" s="2" t="s">
        <v>15</v>
      </c>
      <c r="G683" s="2" t="s">
        <v>1946</v>
      </c>
      <c r="H683" s="2" t="s">
        <v>380</v>
      </c>
      <c r="I683" s="2" t="str">
        <f>IFERROR(__xludf.DUMMYFUNCTION("GOOGLETRANSLATE(C683,""fr"",""en"")"),"I have been in Pacifica recently following a Degas cause storm The expert came within 15 days and 8 days harsh his visit I was credited on my account the sum of 4070 euro which corresponds to 80 percent of the total amount of the damage thank you Pacifica"&amp;" For the management of my professional and fast file")</f>
        <v>I have been in Pacifica recently following a Degas cause storm The expert came within 15 days and 8 days harsh his visit I was credited on my account the sum of 4070 euro which corresponds to 80 percent of the total amount of the damage thank you Pacifica For the management of my professional and fast file</v>
      </c>
    </row>
    <row r="684" ht="15.75" customHeight="1">
      <c r="B684" s="2" t="s">
        <v>1947</v>
      </c>
      <c r="C684" s="2" t="s">
        <v>1948</v>
      </c>
      <c r="D684" s="2" t="s">
        <v>1815</v>
      </c>
      <c r="E684" s="2" t="s">
        <v>1679</v>
      </c>
      <c r="F684" s="2" t="s">
        <v>15</v>
      </c>
      <c r="G684" s="2" t="s">
        <v>393</v>
      </c>
      <c r="H684" s="2" t="s">
        <v>222</v>
      </c>
      <c r="I684" s="2" t="str">
        <f>IFERROR(__xludf.DUMMYFUNCTION("GOOGLETRANSLATE(C684,""fr"",""en"")"),"EXERVIE because too many claims ...
1/1 Inclusion Explosion Pipe not even 5000 euros of breakage
2/ 1innondation because of the municipality of the road 3000 euros no more
3/And just declare loss of tile following the storm of 12/13/19 natural disaster"&amp;" ... For the moment nothing appraised but perhaps 1000 euros to break everything with 250 euros of franchise.
So when you are not lucky with them, they resound. 5 contracts A 6th was coming home and 1 joint account ... and Beh Tampeis for them without co"&amp;"unting the bad advertising that I will take care of ... Fleeing they are bankers not insurers, they want your money C 'is all. 1 star, failing to be able to put 0
")</f>
        <v>EXERVIE because too many claims ...
1/1 Inclusion Explosion Pipe not even 5000 euros of breakage
2/ 1innondation because of the municipality of the road 3000 euros no more
3/And just declare loss of tile following the storm of 12/13/19 natural disaster ... For the moment nothing appraised but perhaps 1000 euros to break everything with 250 euros of franchise.
So when you are not lucky with them, they resound. 5 contracts A 6th was coming home and 1 joint account ... and Beh Tampeis for them without counting the bad advertising that I will take care of ... Fleeing they are bankers not insurers, they want your money C 'is all. 1 star, failing to be able to put 0
</v>
      </c>
    </row>
    <row r="685" ht="15.75" customHeight="1">
      <c r="B685" s="2" t="s">
        <v>1949</v>
      </c>
      <c r="C685" s="2" t="s">
        <v>1950</v>
      </c>
      <c r="D685" s="2" t="s">
        <v>1815</v>
      </c>
      <c r="E685" s="2" t="s">
        <v>1679</v>
      </c>
      <c r="F685" s="2" t="s">
        <v>15</v>
      </c>
      <c r="G685" s="2" t="s">
        <v>1951</v>
      </c>
      <c r="H685" s="2" t="s">
        <v>403</v>
      </c>
      <c r="I685" s="2" t="str">
        <f>IFERROR(__xludf.DUMMYFUNCTION("GOOGLETRANSLATE(C685,""fr"",""en"")"),"Listening interlocutor and very very pro, October 23 following the floods I had big damage and my Pacifica insurance was really up to the task and particularly my interlocutor Marie, I advised a lot of people to orient SAPIFICA Because it is serious I hav"&amp;"e all my insurance at home and I do not intend to change.")</f>
        <v>Listening interlocutor and very very pro, October 23 following the floods I had big damage and my Pacifica insurance was really up to the task and particularly my interlocutor Marie, I advised a lot of people to orient SAPIFICA Because it is serious I have all my insurance at home and I do not intend to change.</v>
      </c>
    </row>
    <row r="686" ht="15.75" customHeight="1">
      <c r="B686" s="2" t="s">
        <v>1952</v>
      </c>
      <c r="C686" s="2" t="s">
        <v>1953</v>
      </c>
      <c r="D686" s="2" t="s">
        <v>1815</v>
      </c>
      <c r="E686" s="2" t="s">
        <v>1679</v>
      </c>
      <c r="F686" s="2" t="s">
        <v>15</v>
      </c>
      <c r="G686" s="2" t="s">
        <v>1954</v>
      </c>
      <c r="H686" s="2" t="s">
        <v>403</v>
      </c>
      <c r="I686" s="2" t="str">
        <f>IFERROR(__xludf.DUMMYFUNCTION("GOOGLETRANSLATE(C686,""fr"",""en"")"),"I was robbed two months ago and since then, no compensation or taking into account my invoices for reimbursement")</f>
        <v>I was robbed two months ago and since then, no compensation or taking into account my invoices for reimbursement</v>
      </c>
    </row>
    <row r="687" ht="15.75" customHeight="1">
      <c r="B687" s="2" t="s">
        <v>1955</v>
      </c>
      <c r="C687" s="2" t="s">
        <v>1956</v>
      </c>
      <c r="D687" s="2" t="s">
        <v>1815</v>
      </c>
      <c r="E687" s="2" t="s">
        <v>1679</v>
      </c>
      <c r="F687" s="2" t="s">
        <v>15</v>
      </c>
      <c r="G687" s="2" t="s">
        <v>1957</v>
      </c>
      <c r="H687" s="2" t="s">
        <v>413</v>
      </c>
      <c r="I687" s="2" t="str">
        <f>IFERROR(__xludf.DUMMYFUNCTION("GOOGLETRANSLATE(C687,""fr"",""en"")"),"I had a non -responsible water damage
Three months to give me the answer that they don't care as a craftsman in my city and that it was therefore up to me to find a business for the work for a budget of 1400 euros
I made several quotes and the cheapest "&amp;"was 1400 euros
Just price given the damage that has been and when I called them to find a solution the answer was not looking for a supporter it is not our fault if you have had a water damage")</f>
        <v>I had a non -responsible water damage
Three months to give me the answer that they don't care as a craftsman in my city and that it was therefore up to me to find a business for the work for a budget of 1400 euros
I made several quotes and the cheapest was 1400 euros
Just price given the damage that has been and when I called them to find a solution the answer was not looking for a supporter it is not our fault if you have had a water damage</v>
      </c>
    </row>
    <row r="688" ht="15.75" customHeight="1">
      <c r="B688" s="2" t="s">
        <v>1958</v>
      </c>
      <c r="C688" s="2" t="s">
        <v>1959</v>
      </c>
      <c r="D688" s="2" t="s">
        <v>1815</v>
      </c>
      <c r="E688" s="2" t="s">
        <v>1679</v>
      </c>
      <c r="F688" s="2" t="s">
        <v>15</v>
      </c>
      <c r="G688" s="2" t="s">
        <v>1960</v>
      </c>
      <c r="H688" s="2" t="s">
        <v>413</v>
      </c>
      <c r="I688" s="2" t="str">
        <f>IFERROR(__xludf.DUMMYFUNCTION("GOOGLETRANSLATE(C688,""fr"",""en"")"),"Following the forced sale of a housing contract by our agricultural credit advisor who has understood that if we did not take Pacifica home insurance, our mortgage loan request would be largely compromised, we subscribed to Pacifica. After 2 years, I want"&amp;" to terminate this insurance. After 2 registered mail, they answer me that I do not have the right to terminate this contract on my own initiative, and that it is my future insurance that must take care of the termination procedures. However, the law does"&amp;" not oblige owners to have home insurance (even if this is very very highly recommended). I also know that after the 1st year of contract, termination is possible at any time as the law allows. I made an appointment with my advisor CA, and I signed 1 lett"&amp;"er of termination of this contract.
After all these attempts, Pacifica replies that I cannot terminate my housing contract until I have new insurance which will take care of the termination procedures. Pacifica equal assurance to flee and banish. Their c"&amp;"ommercial approaches is at the limit of legality, and especially contrary to the insurance code and despite this, they persevere ...
I will therefore resign myself to signing 1 contract at the MAAF (which I had the intention to subscribe anyway) and also"&amp;" call on the insurance mediator, in order to know his opinion on Pacifica practices.
Thank you for taking the time to read me and I hope that it will help some of you not be pigeon.")</f>
        <v>Following the forced sale of a housing contract by our agricultural credit advisor who has understood that if we did not take Pacifica home insurance, our mortgage loan request would be largely compromised, we subscribed to Pacifica. After 2 years, I want to terminate this insurance. After 2 registered mail, they answer me that I do not have the right to terminate this contract on my own initiative, and that it is my future insurance that must take care of the termination procedures. However, the law does not oblige owners to have home insurance (even if this is very very highly recommended). I also know that after the 1st year of contract, termination is possible at any time as the law allows. I made an appointment with my advisor CA, and I signed 1 letter of termination of this contract.
After all these attempts, Pacifica replies that I cannot terminate my housing contract until I have new insurance which will take care of the termination procedures. Pacifica equal assurance to flee and banish. Their commercial approaches is at the limit of legality, and especially contrary to the insurance code and despite this, they persevere ...
I will therefore resign myself to signing 1 contract at the MAAF (which I had the intention to subscribe anyway) and also call on the insurance mediator, in order to know his opinion on Pacifica practices.
Thank you for taking the time to read me and I hope that it will help some of you not be pigeon.</v>
      </c>
    </row>
    <row r="689" ht="15.75" customHeight="1">
      <c r="B689" s="2" t="s">
        <v>1961</v>
      </c>
      <c r="C689" s="2" t="s">
        <v>1962</v>
      </c>
      <c r="D689" s="2" t="s">
        <v>1815</v>
      </c>
      <c r="E689" s="2" t="s">
        <v>1679</v>
      </c>
      <c r="F689" s="2" t="s">
        <v>15</v>
      </c>
      <c r="G689" s="2" t="s">
        <v>1963</v>
      </c>
      <c r="H689" s="2" t="s">
        <v>1620</v>
      </c>
      <c r="I689" s="2" t="str">
        <f>IFERROR(__xludf.DUMMYFUNCTION("GOOGLETRANSLATE(C689,""fr"",""en"")"),"Without being a customer, but just the third party in a claim intervened with Pacifica customer friends. This insurer quickly refunds the damage caused on a material property in 3 weeks.")</f>
        <v>Without being a customer, but just the third party in a claim intervened with Pacifica customer friends. This insurer quickly refunds the damage caused on a material property in 3 weeks.</v>
      </c>
    </row>
    <row r="690" ht="15.75" customHeight="1">
      <c r="B690" s="2" t="s">
        <v>1964</v>
      </c>
      <c r="C690" s="2" t="s">
        <v>1965</v>
      </c>
      <c r="D690" s="2" t="s">
        <v>1815</v>
      </c>
      <c r="E690" s="2" t="s">
        <v>1679</v>
      </c>
      <c r="F690" s="2" t="s">
        <v>15</v>
      </c>
      <c r="G690" s="2" t="s">
        <v>1966</v>
      </c>
      <c r="H690" s="2" t="s">
        <v>1620</v>
      </c>
      <c r="I690" s="2" t="str">
        <f>IFERROR(__xludf.DUMMYFUNCTION("GOOGLETRANSLATE(C690,""fr"",""en"")"),"Well covered but not during a disaster! They always find an excellent reason not to pay (example: you have taken the risk of ...). Lack of kindness of certain staff.")</f>
        <v>Well covered but not during a disaster! They always find an excellent reason not to pay (example: you have taken the risk of ...). Lack of kindness of certain staff.</v>
      </c>
    </row>
    <row r="691" ht="15.75" customHeight="1">
      <c r="B691" s="2" t="s">
        <v>1967</v>
      </c>
      <c r="C691" s="2" t="s">
        <v>1968</v>
      </c>
      <c r="D691" s="2" t="s">
        <v>1815</v>
      </c>
      <c r="E691" s="2" t="s">
        <v>1679</v>
      </c>
      <c r="F691" s="2" t="s">
        <v>15</v>
      </c>
      <c r="G691" s="2" t="s">
        <v>1751</v>
      </c>
      <c r="H691" s="2" t="s">
        <v>236</v>
      </c>
      <c r="I691" s="2" t="str">
        <f>IFERROR(__xludf.DUMMYFUNCTION("GOOGLETRANSLATE(C691,""fr"",""en"")"),"Our apartment was sold, request for termination by phone not by email so attestation of the notary sent and the samples continue after in month
faster to pluck you than to react")</f>
        <v>Our apartment was sold, request for termination by phone not by email so attestation of the notary sent and the samples continue after in month
faster to pluck you than to react</v>
      </c>
    </row>
    <row r="692" ht="15.75" customHeight="1">
      <c r="B692" s="2" t="s">
        <v>1969</v>
      </c>
      <c r="C692" s="2" t="s">
        <v>1970</v>
      </c>
      <c r="D692" s="2" t="s">
        <v>1815</v>
      </c>
      <c r="E692" s="2" t="s">
        <v>1679</v>
      </c>
      <c r="F692" s="2" t="s">
        <v>15</v>
      </c>
      <c r="G692" s="2" t="s">
        <v>244</v>
      </c>
      <c r="H692" s="2" t="s">
        <v>244</v>
      </c>
      <c r="I692" s="2" t="str">
        <f>IFERROR(__xludf.DUMMYFUNCTION("GOOGLETRANSLATE(C692,""fr"",""en"")"),"A year ago I had a water damage, today there is still nothing that has advanced!
I am walking as soon as I phone!")</f>
        <v>A year ago I had a water damage, today there is still nothing that has advanced!
I am walking as soon as I phone!</v>
      </c>
    </row>
    <row r="693" ht="15.75" customHeight="1">
      <c r="B693" s="2" t="s">
        <v>1971</v>
      </c>
      <c r="C693" s="2" t="s">
        <v>1972</v>
      </c>
      <c r="D693" s="2" t="s">
        <v>1815</v>
      </c>
      <c r="E693" s="2" t="s">
        <v>1679</v>
      </c>
      <c r="F693" s="2" t="s">
        <v>15</v>
      </c>
      <c r="G693" s="2" t="s">
        <v>1973</v>
      </c>
      <c r="H693" s="2" t="s">
        <v>442</v>
      </c>
      <c r="I693" s="2" t="str">
        <f>IFERROR(__xludf.DUMMYFUNCTION("GOOGLETRANSLATE(C693,""fr"",""en"")"),"We have been Pacifica customers for years ... Until then we had no problem. All the people we had telephone contacts were at the top. I have a file in progress currently, the person who takes care of the file is very unpleasant ... can we change advisor ."&amp;".. Today, it makes us want to stop our insurance at Pacifica.")</f>
        <v>We have been Pacifica customers for years ... Until then we had no problem. All the people we had telephone contacts were at the top. I have a file in progress currently, the person who takes care of the file is very unpleasant ... can we change advisor ... Today, it makes us want to stop our insurance at Pacifica.</v>
      </c>
    </row>
    <row r="694" ht="15.75" customHeight="1">
      <c r="B694" s="2" t="s">
        <v>1974</v>
      </c>
      <c r="C694" s="2" t="s">
        <v>1975</v>
      </c>
      <c r="D694" s="2" t="s">
        <v>1815</v>
      </c>
      <c r="E694" s="2" t="s">
        <v>1679</v>
      </c>
      <c r="F694" s="2" t="s">
        <v>15</v>
      </c>
      <c r="G694" s="2" t="s">
        <v>1656</v>
      </c>
      <c r="H694" s="2" t="s">
        <v>446</v>
      </c>
      <c r="I694" s="2" t="str">
        <f>IFERROR(__xludf.DUMMYFUNCTION("GOOGLETRANSLATE(C694,""fr"",""en"")"),"Very good insurance damage that the staff are not up to the task: lack of obvious professionalism. I strongly advise against! My 10 contracts go to competition!")</f>
        <v>Very good insurance damage that the staff are not up to the task: lack of obvious professionalism. I strongly advise against! My 10 contracts go to competition!</v>
      </c>
    </row>
    <row r="695" ht="15.75" customHeight="1">
      <c r="B695" s="2" t="s">
        <v>1976</v>
      </c>
      <c r="C695" s="2" t="s">
        <v>1977</v>
      </c>
      <c r="D695" s="2" t="s">
        <v>1815</v>
      </c>
      <c r="E695" s="2" t="s">
        <v>1679</v>
      </c>
      <c r="F695" s="2" t="s">
        <v>15</v>
      </c>
      <c r="G695" s="2" t="s">
        <v>1978</v>
      </c>
      <c r="H695" s="2" t="s">
        <v>446</v>
      </c>
      <c r="I695" s="2" t="str">
        <f>IFERROR(__xludf.DUMMYFUNCTION("GOOGLETRANSLATE(C695,""fr"",""en"")"),"I have home insurance for a rental apartment.
I have had a claim for 4 months and I have no news from my insurance. And each time we call them we are sent for a walk with remarks at the limit of the insult.")</f>
        <v>I have home insurance for a rental apartment.
I have had a claim for 4 months and I have no news from my insurance. And each time we call them we are sent for a walk with remarks at the limit of the insult.</v>
      </c>
    </row>
    <row r="696" ht="15.75" customHeight="1">
      <c r="B696" s="2" t="s">
        <v>1979</v>
      </c>
      <c r="C696" s="2" t="s">
        <v>1980</v>
      </c>
      <c r="D696" s="2" t="s">
        <v>1815</v>
      </c>
      <c r="E696" s="2" t="s">
        <v>1679</v>
      </c>
      <c r="F696" s="2" t="s">
        <v>15</v>
      </c>
      <c r="G696" s="2" t="s">
        <v>1768</v>
      </c>
      <c r="H696" s="2" t="s">
        <v>446</v>
      </c>
      <c r="I696" s="2" t="str">
        <f>IFERROR(__xludf.DUMMYFUNCTION("GOOGLETRANSLATE(C696,""fr"",""en"")"),"Rare incompetence. Leak for more than a week, after the refusal to send a plumber to search for a leak, I was laughing at the nose saying that I am not a priority")</f>
        <v>Rare incompetence. Leak for more than a week, after the refusal to send a plumber to search for a leak, I was laughing at the nose saying that I am not a priority</v>
      </c>
    </row>
    <row r="697" ht="15.75" customHeight="1">
      <c r="B697" s="2" t="s">
        <v>1981</v>
      </c>
      <c r="C697" s="2" t="s">
        <v>1982</v>
      </c>
      <c r="D697" s="2" t="s">
        <v>1815</v>
      </c>
      <c r="E697" s="2" t="s">
        <v>1679</v>
      </c>
      <c r="F697" s="2" t="s">
        <v>15</v>
      </c>
      <c r="G697" s="2" t="s">
        <v>1983</v>
      </c>
      <c r="H697" s="2" t="s">
        <v>453</v>
      </c>
      <c r="I697" s="2" t="str">
        <f>IFERROR(__xludf.DUMMYFUNCTION("GOOGLETRANSLATE(C697,""fr"",""en"")"),"No customer advice! No taking into account the requests to take care of the claim following the expertise")</f>
        <v>No customer advice! No taking into account the requests to take care of the claim following the expertise</v>
      </c>
    </row>
    <row r="698" ht="15.75" customHeight="1">
      <c r="B698" s="2" t="s">
        <v>1984</v>
      </c>
      <c r="C698" s="2" t="s">
        <v>1985</v>
      </c>
      <c r="D698" s="2" t="s">
        <v>1815</v>
      </c>
      <c r="E698" s="2" t="s">
        <v>1679</v>
      </c>
      <c r="F698" s="2" t="s">
        <v>15</v>
      </c>
      <c r="G698" s="2" t="s">
        <v>1986</v>
      </c>
      <c r="H698" s="2" t="s">
        <v>453</v>
      </c>
      <c r="I698" s="2" t="str">
        <f>IFERROR(__xludf.DUMMYFUNCTION("GOOGLETRANSLATE(C698,""fr"",""en"")"),"Flee this insurance unable to follow loss files. Always forced to relaunch them to have an expert report. 4 months to obtain an expert report. He never recalls to communicate on the advancement of files.")</f>
        <v>Flee this insurance unable to follow loss files. Always forced to relaunch them to have an expert report. 4 months to obtain an expert report. He never recalls to communicate on the advancement of files.</v>
      </c>
    </row>
    <row r="699" ht="15.75" customHeight="1">
      <c r="B699" s="2" t="s">
        <v>1987</v>
      </c>
      <c r="C699" s="2" t="s">
        <v>1988</v>
      </c>
      <c r="D699" s="2" t="s">
        <v>1815</v>
      </c>
      <c r="E699" s="2" t="s">
        <v>1679</v>
      </c>
      <c r="F699" s="2" t="s">
        <v>15</v>
      </c>
      <c r="G699" s="2" t="s">
        <v>1989</v>
      </c>
      <c r="H699" s="2" t="s">
        <v>252</v>
      </c>
      <c r="I699" s="2" t="str">
        <f>IFERROR(__xludf.DUMMYFUNCTION("GOOGLETRANSLATE(C699,""fr"",""en"")"),"No information on the details of the sums paid, despite the request by email. Pas of monitoring the file despite the requests. And when you get a person, it is to learn that the file is closed and if dissatisfaction, ask for a counter- Expertise ""at our "&amp;"expense"".")</f>
        <v>No information on the details of the sums paid, despite the request by email. Pas of monitoring the file despite the requests. And when you get a person, it is to learn that the file is closed and if dissatisfaction, ask for a counter- Expertise "at our expense".</v>
      </c>
    </row>
    <row r="700" ht="15.75" customHeight="1">
      <c r="B700" s="2" t="s">
        <v>1990</v>
      </c>
      <c r="C700" s="2" t="s">
        <v>1991</v>
      </c>
      <c r="D700" s="2" t="s">
        <v>1815</v>
      </c>
      <c r="E700" s="2" t="s">
        <v>1679</v>
      </c>
      <c r="F700" s="2" t="s">
        <v>15</v>
      </c>
      <c r="G700" s="2" t="s">
        <v>1992</v>
      </c>
      <c r="H700" s="2" t="s">
        <v>467</v>
      </c>
      <c r="I700" s="2" t="str">
        <f>IFERROR(__xludf.DUMMYFUNCTION("GOOGLETRANSLATE(C700,""fr"",""en"")"),"Insurer to flee because it is dangerous.")</f>
        <v>Insurer to flee because it is dangerous.</v>
      </c>
    </row>
    <row r="701" ht="15.75" customHeight="1">
      <c r="B701" s="2" t="s">
        <v>1993</v>
      </c>
      <c r="C701" s="2" t="s">
        <v>1994</v>
      </c>
      <c r="D701" s="2" t="s">
        <v>1815</v>
      </c>
      <c r="E701" s="2" t="s">
        <v>1679</v>
      </c>
      <c r="F701" s="2" t="s">
        <v>15</v>
      </c>
      <c r="G701" s="2" t="s">
        <v>1995</v>
      </c>
      <c r="H701" s="2" t="s">
        <v>467</v>
      </c>
      <c r="I701" s="2" t="str">
        <f>IFERROR(__xludf.DUMMYFUNCTION("GOOGLETRANSLATE(C701,""fr"",""en"")"),"did not want to know anything for a bicycle flight in my garage, each television, a different response ... IMCOMETENCE and real bad advice, explanations when I have been at home for over 10 years and that I I never had anything")</f>
        <v>did not want to know anything for a bicycle flight in my garage, each television, a different response ... IMCOMETENCE and real bad advice, explanations when I have been at home for over 10 years and that I I never had anything</v>
      </c>
    </row>
    <row r="702" ht="15.75" customHeight="1">
      <c r="B702" s="2" t="s">
        <v>1996</v>
      </c>
      <c r="C702" s="2" t="s">
        <v>1997</v>
      </c>
      <c r="D702" s="2" t="s">
        <v>1815</v>
      </c>
      <c r="E702" s="2" t="s">
        <v>1679</v>
      </c>
      <c r="F702" s="2" t="s">
        <v>15</v>
      </c>
      <c r="G702" s="2" t="s">
        <v>1998</v>
      </c>
      <c r="H702" s="2" t="s">
        <v>467</v>
      </c>
      <c r="I702" s="2" t="str">
        <f>IFERROR(__xludf.DUMMYFUNCTION("GOOGLETRANSLATE(C702,""fr"",""en"")"),"A shame, I do not know what words to use to show my distress and my dissatisfaction, for 1 year that my file is in progress, I am in an im .... immeasurable because it does not reimburse me the damage of the waters what has been estimated at more than 900"&amp;"0 euros, they do not care about the situation in which they put us and maintain us I do not recommend at all, if the agricultural credit make it take especially Fleezzzzz")</f>
        <v>A shame, I do not know what words to use to show my distress and my dissatisfaction, for 1 year that my file is in progress, I am in an im .... immeasurable because it does not reimburse me the damage of the waters what has been estimated at more than 9000 euros, they do not care about the situation in which they put us and maintain us I do not recommend at all, if the agricultural credit make it take especially Fleezzzzz</v>
      </c>
    </row>
    <row r="703" ht="15.75" customHeight="1">
      <c r="B703" s="2" t="s">
        <v>1999</v>
      </c>
      <c r="C703" s="2" t="s">
        <v>2000</v>
      </c>
      <c r="D703" s="2" t="s">
        <v>1815</v>
      </c>
      <c r="E703" s="2" t="s">
        <v>1679</v>
      </c>
      <c r="F703" s="2" t="s">
        <v>15</v>
      </c>
      <c r="G703" s="2" t="s">
        <v>2001</v>
      </c>
      <c r="H703" s="2" t="s">
        <v>260</v>
      </c>
      <c r="I703" s="2" t="str">
        <f>IFERROR(__xludf.DUMMYFUNCTION("GOOGLETRANSLATE(C703,""fr"",""en"")"),"The roof of my home (located in the Vaucluse) was destroyed following a fire on 24/10/2017. The following week, the ""sinister"" sector of my Pacifica insurer after validation of the expert, mandated a business for a complete cleaning and a stimulation of"&amp;" the house to be carried out. After giving my agreement, a prime contractor organized and coordinated the trades necessary for the work: mason, tilers, electrician, plating, painter. This one has always been listening to me with always good advice. I have"&amp;" just recovered the house after six months work which is more than satisfactory and six months of rental which have been fully taken care of. I would like to greatly thank all the people who participated in the rehabilitation of my house and also the seri"&amp;"ousness of my Pacifica insurer who took my requests into account and who has always been listening to me. I highly recommend this reactive and serious insurance.")</f>
        <v>The roof of my home (located in the Vaucluse) was destroyed following a fire on 24/10/2017. The following week, the "sinister" sector of my Pacifica insurer after validation of the expert, mandated a business for a complete cleaning and a stimulation of the house to be carried out. After giving my agreement, a prime contractor organized and coordinated the trades necessary for the work: mason, tilers, electrician, plating, painter. This one has always been listening to me with always good advice. I have just recovered the house after six months work which is more than satisfactory and six months of rental which have been fully taken care of. I would like to greatly thank all the people who participated in the rehabilitation of my house and also the seriousness of my Pacifica insurer who took my requests into account and who has always been listening to me. I highly recommend this reactive and serious insurance.</v>
      </c>
    </row>
    <row r="704" ht="15.75" customHeight="1">
      <c r="B704" s="2" t="s">
        <v>2002</v>
      </c>
      <c r="C704" s="2" t="s">
        <v>2003</v>
      </c>
      <c r="D704" s="2" t="s">
        <v>1815</v>
      </c>
      <c r="E704" s="2" t="s">
        <v>1679</v>
      </c>
      <c r="F704" s="2" t="s">
        <v>15</v>
      </c>
      <c r="G704" s="2" t="s">
        <v>2004</v>
      </c>
      <c r="H704" s="2" t="s">
        <v>264</v>
      </c>
      <c r="I704" s="2" t="str">
        <f>IFERROR(__xludf.DUMMYFUNCTION("GOOGLETRANSLATE(C704,""fr"",""en"")"),"Very expensive insurance and disrespectful advisor. I have to stay with them for a year because of a loan to Crédit Agricole and in a year return to the Macif!
Parquet stuck because of a water damage to telephone: wait for your dry to see if it is recove"&amp;"ring on its own because according to them it is worth better than we manage alone if you do not want to pay a franchise. So why do I pay them every month?")</f>
        <v>Very expensive insurance and disrespectful advisor. I have to stay with them for a year because of a loan to Crédit Agricole and in a year return to the Macif!
Parquet stuck because of a water damage to telephone: wait for your dry to see if it is recovering on its own because according to them it is worth better than we manage alone if you do not want to pay a franchise. So why do I pay them every month?</v>
      </c>
    </row>
    <row r="705" ht="15.75" customHeight="1">
      <c r="B705" s="2" t="s">
        <v>2005</v>
      </c>
      <c r="C705" s="2" t="s">
        <v>2006</v>
      </c>
      <c r="D705" s="2" t="s">
        <v>1815</v>
      </c>
      <c r="E705" s="2" t="s">
        <v>1679</v>
      </c>
      <c r="F705" s="2" t="s">
        <v>15</v>
      </c>
      <c r="G705" s="2" t="s">
        <v>2007</v>
      </c>
      <c r="H705" s="2" t="s">
        <v>277</v>
      </c>
      <c r="I705" s="2" t="str">
        <f>IFERROR(__xludf.DUMMYFUNCTION("GOOGLETRANSLATE(C705,""fr"",""en"")"),"Catastrophic")</f>
        <v>Catastrophic</v>
      </c>
    </row>
    <row r="706" ht="15.75" customHeight="1">
      <c r="B706" s="2" t="s">
        <v>2008</v>
      </c>
      <c r="C706" s="2" t="s">
        <v>2009</v>
      </c>
      <c r="D706" s="2" t="s">
        <v>1815</v>
      </c>
      <c r="E706" s="2" t="s">
        <v>1679</v>
      </c>
      <c r="F706" s="2" t="s">
        <v>15</v>
      </c>
      <c r="G706" s="2" t="s">
        <v>277</v>
      </c>
      <c r="H706" s="2" t="s">
        <v>277</v>
      </c>
      <c r="I706" s="2" t="str">
        <f>IFERROR(__xludf.DUMMYFUNCTION("GOOGLETRANSLATE(C706,""fr"",""en"")"),"Catastrophic insurance in the event of a claim. The advisor in front of me is unreachable, disrespectful, does not take the time to keep me informed of my file and even begins to raise my voice on the phone when I point out to her undispatheric things. Sp"&amp;"end 20 minutes to be bad on the phone, when we are a victim of an accident, thank you but no. Then, no feeling of being supported in relation to opposing insurance, all supporting documents are always insufficient. Finally, the platform is poorly made: ce"&amp;"rtainly we can deposit the documents online, but we cannot add a comment to it, so that the advisor rises not to understand what the documents correspond to. We therefore have the right to a reminder (if we are lucky) of the advisor, who takes us once aga"&amp;"in high. At worst the file remains blocked. Great.
We cannot send an email to the advisor, but only reach them by phone, which is very difficult (I have never succeeded, in more than two months of file processing to have my advisor the first time).
Comm"&amp;"unication is disastrous, and the way we take us high once it is established is just revolting.
In short, once the disaster is adjusted, I take my legs around my neck and I terminate this contract.")</f>
        <v>Catastrophic insurance in the event of a claim. The advisor in front of me is unreachable, disrespectful, does not take the time to keep me informed of my file and even begins to raise my voice on the phone when I point out to her undispatheric things. Spend 20 minutes to be bad on the phone, when we are a victim of an accident, thank you but no. Then, no feeling of being supported in relation to opposing insurance, all supporting documents are always insufficient. Finally, the platform is poorly made: certainly we can deposit the documents online, but we cannot add a comment to it, so that the advisor rises not to understand what the documents correspond to. We therefore have the right to a reminder (if we are lucky) of the advisor, who takes us once again high. At worst the file remains blocked. Great.
We cannot send an email to the advisor, but only reach them by phone, which is very difficult (I have never succeeded, in more than two months of file processing to have my advisor the first time).
Communication is disastrous, and the way we take us high once it is established is just revolting.
In short, once the disaster is adjusted, I take my legs around my neck and I terminate this contract.</v>
      </c>
    </row>
    <row r="707" ht="15.75" customHeight="1">
      <c r="B707" s="2" t="s">
        <v>2010</v>
      </c>
      <c r="C707" s="2" t="s">
        <v>2011</v>
      </c>
      <c r="D707" s="2" t="s">
        <v>1815</v>
      </c>
      <c r="E707" s="2" t="s">
        <v>1679</v>
      </c>
      <c r="F707" s="2" t="s">
        <v>15</v>
      </c>
      <c r="G707" s="2" t="s">
        <v>283</v>
      </c>
      <c r="H707" s="2" t="s">
        <v>284</v>
      </c>
      <c r="I707" s="2" t="str">
        <f>IFERROR(__xludf.DUMMYFUNCTION("GOOGLETRANSLATE(C707,""fr"",""en"")"),"Following a water damage in August 2016, my file is still not closed. I applied me the vestuste on my furniture while I am in new re -equipment and for access to the non -existent personal services. Do not trust Pacifica. Tiles cracks and sounds hollow in"&amp;" several places, there is a smell in the house and the ceiling bands live and cracks. It only takes the walls in painting and the house was dried 14 months after the disaster.")</f>
        <v>Following a water damage in August 2016, my file is still not closed. I applied me the vestuste on my furniture while I am in new re -equipment and for access to the non -existent personal services. Do not trust Pacifica. Tiles cracks and sounds hollow in several places, there is a smell in the house and the ceiling bands live and cracks. It only takes the walls in painting and the house was dried 14 months after the disaster.</v>
      </c>
    </row>
    <row r="708" ht="15.75" customHeight="1">
      <c r="B708" s="2" t="s">
        <v>2012</v>
      </c>
      <c r="C708" s="2" t="s">
        <v>2013</v>
      </c>
      <c r="D708" s="2" t="s">
        <v>1815</v>
      </c>
      <c r="E708" s="2" t="s">
        <v>1679</v>
      </c>
      <c r="F708" s="2" t="s">
        <v>15</v>
      </c>
      <c r="G708" s="2" t="s">
        <v>806</v>
      </c>
      <c r="H708" s="2" t="s">
        <v>807</v>
      </c>
      <c r="I708" s="2" t="str">
        <f>IFERROR(__xludf.DUMMYFUNCTION("GOOGLETRANSLATE(C708,""fr"",""en"")"),"Afflicting sinister service; Refuse squarely to record a disaster on the grounds that the opposing company is an efficient and competent mutual.")</f>
        <v>Afflicting sinister service; Refuse squarely to record a disaster on the grounds that the opposing company is an efficient and competent mutual.</v>
      </c>
    </row>
    <row r="709" ht="15.75" customHeight="1">
      <c r="B709" s="2" t="s">
        <v>2014</v>
      </c>
      <c r="C709" s="2" t="s">
        <v>2015</v>
      </c>
      <c r="D709" s="2" t="s">
        <v>1815</v>
      </c>
      <c r="E709" s="2" t="s">
        <v>1679</v>
      </c>
      <c r="F709" s="2" t="s">
        <v>15</v>
      </c>
      <c r="G709" s="2" t="s">
        <v>2016</v>
      </c>
      <c r="H709" s="2" t="s">
        <v>1049</v>
      </c>
      <c r="I709" s="2" t="str">
        <f>IFERROR(__xludf.DUMMYFUNCTION("GOOGLETRANSLATE(C709,""fr"",""en"")"),"Flee this insurance.
We have taken more than a year to be reimbursed following a sinister roof after storm. They put unscrupulous entrepreneurs from the auto entrepreneurs, who take customers for fools and get fat in passing (€ 1,200 for a complete reshu"&amp;"ffle of the roof when he discovered 3 m2 and did not even take out the foam. ..).
In addition, we are walking from service to service, never recalled, and forced to make letters with AR and photo file so that they move a little.
In addition, 2 times mor"&amp;"e expensive per year as at A ** for the same conditions.
And it's the same for borrower insurance ... Forced sale of the contract at the time of the credit (if you do not take the housing contract and borrower insurance with us I am not sure that your cr"&amp;"edit is accepted ... ))")</f>
        <v>Flee this insurance.
We have taken more than a year to be reimbursed following a sinister roof after storm. They put unscrupulous entrepreneurs from the auto entrepreneurs, who take customers for fools and get fat in passing (€ 1,200 for a complete reshuffle of the roof when he discovered 3 m2 and did not even take out the foam. ..).
In addition, we are walking from service to service, never recalled, and forced to make letters with AR and photo file so that they move a little.
In addition, 2 times more expensive per year as at A ** for the same conditions.
And it's the same for borrower insurance ... Forced sale of the contract at the time of the credit (if you do not take the housing contract and borrower insurance with us I am not sure that your credit is accepted ... ))</v>
      </c>
    </row>
    <row r="710" ht="15.75" customHeight="1">
      <c r="B710" s="2" t="s">
        <v>2017</v>
      </c>
      <c r="C710" s="2" t="s">
        <v>2018</v>
      </c>
      <c r="D710" s="2" t="s">
        <v>1815</v>
      </c>
      <c r="E710" s="2" t="s">
        <v>1679</v>
      </c>
      <c r="F710" s="2" t="s">
        <v>15</v>
      </c>
      <c r="G710" s="2" t="s">
        <v>2019</v>
      </c>
      <c r="H710" s="2" t="s">
        <v>288</v>
      </c>
      <c r="I710" s="2" t="str">
        <f>IFERROR(__xludf.DUMMYFUNCTION("GOOGLETRANSLATE(C710,""fr"",""en"")"),"I am completely disappointed and highly raised from this insurance after registered mail, emails, and many calls always naked from this ""customer relationship"" service, no one knows how to give us news.
At the moment I am always dedicated and Pacifica "&amp;"kindly terminated me so -called for a missing paper that I would have been asked by registered mail (I ask to see the receipt and there I am told that it is not not possible .. hahaha!)
Deplorable customer service and the MAAF which resumed my contract i"&amp;"s not at all surprised by my dissatisfaction, they are resuming many of your contracts!")</f>
        <v>I am completely disappointed and highly raised from this insurance after registered mail, emails, and many calls always naked from this "customer relationship" service, no one knows how to give us news.
At the moment I am always dedicated and Pacifica kindly terminated me so -called for a missing paper that I would have been asked by registered mail (I ask to see the receipt and there I am told that it is not not possible .. hahaha!)
Deplorable customer service and the MAAF which resumed my contract is not at all surprised by my dissatisfaction, they are resuming many of your contracts!</v>
      </c>
    </row>
    <row r="711" ht="15.75" customHeight="1">
      <c r="B711" s="2" t="s">
        <v>1974</v>
      </c>
      <c r="C711" s="2" t="s">
        <v>2020</v>
      </c>
      <c r="D711" s="2" t="s">
        <v>1815</v>
      </c>
      <c r="E711" s="2" t="s">
        <v>1679</v>
      </c>
      <c r="F711" s="2" t="s">
        <v>15</v>
      </c>
      <c r="G711" s="2" t="s">
        <v>2021</v>
      </c>
      <c r="H711" s="2" t="s">
        <v>516</v>
      </c>
      <c r="I711" s="2" t="str">
        <f>IFERROR(__xludf.DUMMYFUNCTION("GOOGLETRANSLATE(C711,""fr"",""en"")"),"As a volunteer trustee, I had to manage a big claim: sinister on 4 floors. The only tenant insurer who was effective is Pacifica. Maif and Maaf: the experts were on vacation, bpo: not responsive")</f>
        <v>As a volunteer trustee, I had to manage a big claim: sinister on 4 floors. The only tenant insurer who was effective is Pacifica. Maif and Maaf: the experts were on vacation, bpo: not responsive</v>
      </c>
    </row>
    <row r="712" ht="15.75" customHeight="1">
      <c r="B712" s="2" t="s">
        <v>2022</v>
      </c>
      <c r="C712" s="2" t="s">
        <v>2023</v>
      </c>
      <c r="D712" s="2" t="s">
        <v>1815</v>
      </c>
      <c r="E712" s="2" t="s">
        <v>1679</v>
      </c>
      <c r="F712" s="2" t="s">
        <v>15</v>
      </c>
      <c r="G712" s="2" t="s">
        <v>2024</v>
      </c>
      <c r="H712" s="2" t="s">
        <v>526</v>
      </c>
      <c r="I712" s="2" t="str">
        <f>IFERROR(__xludf.DUMMYFUNCTION("GOOGLETRANSLATE(C712,""fr"",""en"")"),"August 2015, break -in of my home, theft of my vehicle, camera and laptop.
3 days later after declaration, reception of a new camera and a laptop from Boulanger.
For the car, it is quite another thing, she disappears for 3 months, they do not want to re"&amp;"imburse me my monthly payments, the car is found in Belgium and C me who must go and get it in Belgium, he paid me the train ticket , !! Why do you pay insurance ????
3 weeks ago, I set a damn of the waters, a company passes for a quote, but Pacifica r"&amp;"efuses and passes an expert who cannot validate the quote, given the too old damage, I will be able to be a cable !!! !!!!!!!!!!!!!!!!
")</f>
        <v>August 2015, break -in of my home, theft of my vehicle, camera and laptop.
3 days later after declaration, reception of a new camera and a laptop from Boulanger.
For the car, it is quite another thing, she disappears for 3 months, they do not want to reimburse me my monthly payments, the car is found in Belgium and C me who must go and get it in Belgium, he paid me the train ticket , !! Why do you pay insurance ????
3 weeks ago, I set a damn of the waters, a company passes for a quote, but Pacifica refuses and passes an expert who cannot validate the quote, given the too old damage, I will be able to be a cable !!! !!!!!!!!!!!!!!!!
</v>
      </c>
    </row>
    <row r="713" ht="15.75" customHeight="1">
      <c r="B713" s="2" t="s">
        <v>2025</v>
      </c>
      <c r="C713" s="2" t="s">
        <v>2026</v>
      </c>
      <c r="D713" s="2" t="s">
        <v>1815</v>
      </c>
      <c r="E713" s="2" t="s">
        <v>1679</v>
      </c>
      <c r="F713" s="2" t="s">
        <v>15</v>
      </c>
      <c r="G713" s="2" t="s">
        <v>2027</v>
      </c>
      <c r="H713" s="2" t="s">
        <v>526</v>
      </c>
      <c r="I713" s="2" t="str">
        <f>IFERROR(__xludf.DUMMYFUNCTION("GOOGLETRANSLATE(C713,""fr"",""en"")"),"A completely dismissed nine re -equipment (the general conditions of sales stipulates of quality, and identical characteristics). A real desolation, a partnership with catastrophic baker with incompetent and insulting people (at Boulanger). I never asked "&amp;"that lightning fell home and would have preferred to keep my old TV ...")</f>
        <v>A completely dismissed nine re -equipment (the general conditions of sales stipulates of quality, and identical characteristics). A real desolation, a partnership with catastrophic baker with incompetent and insulting people (at Boulanger). I never asked that lightning fell home and would have preferred to keep my old TV ...</v>
      </c>
    </row>
    <row r="714" ht="15.75" customHeight="1">
      <c r="B714" s="2" t="s">
        <v>2028</v>
      </c>
      <c r="C714" s="2" t="s">
        <v>2029</v>
      </c>
      <c r="D714" s="2" t="s">
        <v>1815</v>
      </c>
      <c r="E714" s="2" t="s">
        <v>1679</v>
      </c>
      <c r="F714" s="2" t="s">
        <v>15</v>
      </c>
      <c r="G714" s="2" t="s">
        <v>2030</v>
      </c>
      <c r="H714" s="2" t="s">
        <v>526</v>
      </c>
      <c r="I714" s="2" t="str">
        <f>IFERROR(__xludf.DUMMYFUNCTION("GOOGLETRANSLATE(C714,""fr"",""en"")"),"Tenant of an apartment for my student daughter, I had to use peaceful following a water damage. The costs were borne by the owner's insurance, but in this situation, he returned to the tenant's insurance to take care of the well-being of the resident. The"&amp;" expert mandated by Pacifica went to the scene less than a week after the facts. /Orleans.45/; My daughter had to be relocated during the work. First at the hotel, then in a furnished. Pacifica has covered hotel fees and rents. The assurance of the owner "&amp;"making deaf oral; Fortunately, I was well informed by my advisor Pacifica /Vannes.56/.")</f>
        <v>Tenant of an apartment for my student daughter, I had to use peaceful following a water damage. The costs were borne by the owner's insurance, but in this situation, he returned to the tenant's insurance to take care of the well-being of the resident. The expert mandated by Pacifica went to the scene less than a week after the facts. /Orleans.45/; My daughter had to be relocated during the work. First at the hotel, then in a furnished. Pacifica has covered hotel fees and rents. The assurance of the owner making deaf oral; Fortunately, I was well informed by my advisor Pacifica /Vannes.56/.</v>
      </c>
    </row>
    <row r="715" ht="15.75" customHeight="1">
      <c r="B715" s="2" t="s">
        <v>2031</v>
      </c>
      <c r="C715" s="2" t="s">
        <v>2032</v>
      </c>
      <c r="D715" s="2" t="s">
        <v>1815</v>
      </c>
      <c r="E715" s="2" t="s">
        <v>1679</v>
      </c>
      <c r="F715" s="2" t="s">
        <v>15</v>
      </c>
      <c r="G715" s="2" t="s">
        <v>2033</v>
      </c>
      <c r="H715" s="2" t="s">
        <v>816</v>
      </c>
      <c r="I715" s="2" t="str">
        <f>IFERROR(__xludf.DUMMYFUNCTION("GOOGLETRANSLATE(C715,""fr"",""en"")"),"We have had a sinister for two days to have a plumber you had to wait 24 hours but the 24 hours are going and still nothing. We call and the right woman please remember the service is closing. How do we do ?????? And for the service number is useless ...")</f>
        <v>We have had a sinister for two days to have a plumber you had to wait 24 hours but the 24 hours are going and still nothing. We call and the right woman please remember the service is closing. How do we do ?????? And for the service number is useless ...</v>
      </c>
    </row>
    <row r="716" ht="15.75" customHeight="1">
      <c r="B716" s="2" t="s">
        <v>2034</v>
      </c>
      <c r="C716" s="2" t="s">
        <v>2035</v>
      </c>
      <c r="D716" s="2" t="s">
        <v>1815</v>
      </c>
      <c r="E716" s="2" t="s">
        <v>1679</v>
      </c>
      <c r="F716" s="2" t="s">
        <v>15</v>
      </c>
      <c r="G716" s="2" t="s">
        <v>2036</v>
      </c>
      <c r="H716" s="2" t="s">
        <v>816</v>
      </c>
      <c r="I716" s="2" t="str">
        <f>IFERROR(__xludf.DUMMYFUNCTION("GOOGLETRANSLATE(C716,""fr"",""en"")"),"Having long experience with other insurance companies I must admit that Pacifia is certainly better equipped to respond to the different claims and settle them quickly. I personally experienced it that it is also of my house that on the subject of one of "&amp;"my cars.")</f>
        <v>Having long experience with other insurance companies I must admit that Pacifia is certainly better equipped to respond to the different claims and settle them quickly. I personally experienced it that it is also of my house that on the subject of one of my cars.</v>
      </c>
    </row>
    <row r="717" ht="15.75" customHeight="1">
      <c r="B717" s="2" t="s">
        <v>2037</v>
      </c>
      <c r="C717" s="2" t="s">
        <v>2038</v>
      </c>
      <c r="D717" s="2" t="s">
        <v>1815</v>
      </c>
      <c r="E717" s="2" t="s">
        <v>1679</v>
      </c>
      <c r="F717" s="2" t="s">
        <v>15</v>
      </c>
      <c r="G717" s="2" t="s">
        <v>2039</v>
      </c>
      <c r="H717" s="2" t="s">
        <v>544</v>
      </c>
      <c r="I717" s="2" t="str">
        <f>IFERROR(__xludf.DUMMYFUNCTION("GOOGLETRANSLATE(C717,""fr"",""en"")"),"Only good thing, and again, with them it is the price not too expensive.
Null insurance I do not recommend, I am changing all my insurance from home")</f>
        <v>Only good thing, and again, with them it is the price not too expensive.
Null insurance I do not recommend, I am changing all my insurance from home</v>
      </c>
    </row>
    <row r="718" ht="15.75" customHeight="1">
      <c r="B718" s="2" t="s">
        <v>2040</v>
      </c>
      <c r="C718" s="2" t="s">
        <v>2041</v>
      </c>
      <c r="D718" s="2" t="s">
        <v>1815</v>
      </c>
      <c r="E718" s="2" t="s">
        <v>1679</v>
      </c>
      <c r="F718" s="2" t="s">
        <v>15</v>
      </c>
      <c r="G718" s="2" t="s">
        <v>2042</v>
      </c>
      <c r="H718" s="2" t="s">
        <v>544</v>
      </c>
      <c r="I718" s="2" t="str">
        <f>IFERROR(__xludf.DUMMYFUNCTION("GOOGLETRANSLATE(C718,""fr"",""en"")"),"Flee while, there is still time. Issurance nonexistent. You will find the little details that it will allow them to flee their responsibilities.")</f>
        <v>Flee while, there is still time. Issurance nonexistent. You will find the little details that it will allow them to flee their responsibilities.</v>
      </c>
    </row>
    <row r="719" ht="15.75" customHeight="1">
      <c r="B719" s="2" t="s">
        <v>2043</v>
      </c>
      <c r="C719" s="2" t="s">
        <v>2044</v>
      </c>
      <c r="D719" s="2" t="s">
        <v>1815</v>
      </c>
      <c r="E719" s="2" t="s">
        <v>1679</v>
      </c>
      <c r="F719" s="2" t="s">
        <v>15</v>
      </c>
      <c r="G719" s="2" t="s">
        <v>2045</v>
      </c>
      <c r="H719" s="2" t="s">
        <v>24</v>
      </c>
      <c r="I719" s="2" t="str">
        <f>IFERROR(__xludf.DUMMYFUNCTION("GOOGLETRANSLATE(C719,""fr"",""en"")"),"6 months of waiting to replace a fractured door despite a complaint on the gendarmerie. We constantly call you to change crafts or differ the appointments !!!! Worse, I was asked to see for myself to find a craftsman who does the work to me faster !!!! Co"&amp;"nclusion I have to chew their work !!!!! A shame and these people are paid to do their job !!!!! If for my part I am not on time to pay for my thing that has never happened before, they remind you of order as soon as possible !!!! It's simply scandalous t"&amp;"o treat people in this way !!!!")</f>
        <v>6 months of waiting to replace a fractured door despite a complaint on the gendarmerie. We constantly call you to change crafts or differ the appointments !!!! Worse, I was asked to see for myself to find a craftsman who does the work to me faster !!!! Conclusion I have to chew their work !!!!! A shame and these people are paid to do their job !!!!! If for my part I am not on time to pay for my thing that has never happened before, they remind you of order as soon as possible !!!! It's simply scandalous to treat people in this way !!!!</v>
      </c>
    </row>
    <row r="720" ht="15.75" customHeight="1">
      <c r="B720" s="2" t="s">
        <v>2046</v>
      </c>
      <c r="C720" s="2" t="s">
        <v>2047</v>
      </c>
      <c r="D720" s="2" t="s">
        <v>2048</v>
      </c>
      <c r="E720" s="2" t="s">
        <v>1679</v>
      </c>
      <c r="F720" s="2" t="s">
        <v>15</v>
      </c>
      <c r="G720" s="2" t="s">
        <v>2049</v>
      </c>
      <c r="H720" s="2" t="s">
        <v>555</v>
      </c>
      <c r="I720" s="2" t="str">
        <f>IFERROR(__xludf.DUMMYFUNCTION("GOOGLETRANSLATE(C720,""fr"",""en"")"),"I had the misfortune to have a disaster for which I was not responsible. Following the damage of the neighbor's waters above us you have to do work and find a solution to be relocated for work because I am 100% in teleworking.
Know that the GMF sinister "&amp;"service is unreachable! On the communicated number and there is no waiting system so when you call all the advisers are online and we invite you to recall. The contact by messaging of the customer area is not more effective I wrote several times for 2 mon"&amp;"ths without any return from them.
This insurer is expensive, unreachable when you are affected I do not recommend it. has")</f>
        <v>I had the misfortune to have a disaster for which I was not responsible. Following the damage of the neighbor's waters above us you have to do work and find a solution to be relocated for work because I am 100% in teleworking.
Know that the GMF sinister service is unreachable! On the communicated number and there is no waiting system so when you call all the advisers are online and we invite you to recall. The contact by messaging of the customer area is not more effective I wrote several times for 2 months without any return from them.
This insurer is expensive, unreachable when you are affected I do not recommend it. has</v>
      </c>
    </row>
    <row r="721" ht="15.75" customHeight="1">
      <c r="B721" s="2" t="s">
        <v>2050</v>
      </c>
      <c r="C721" s="2" t="s">
        <v>2051</v>
      </c>
      <c r="D721" s="2" t="s">
        <v>2048</v>
      </c>
      <c r="E721" s="2" t="s">
        <v>1679</v>
      </c>
      <c r="F721" s="2" t="s">
        <v>15</v>
      </c>
      <c r="G721" s="2" t="s">
        <v>2052</v>
      </c>
      <c r="H721" s="2" t="s">
        <v>39</v>
      </c>
      <c r="I721" s="2" t="str">
        <f>IFERROR(__xludf.DUMMYFUNCTION("GOOGLETRANSLATE(C721,""fr"",""en"")"),"Electric damage on June 1. HS TV. Documents provided. Expertise requested for 600th reimbursement. Still not settled. We have been customers for 20 years.
A shame. I move everything.")</f>
        <v>Electric damage on June 1. HS TV. Documents provided. Expertise requested for 600th reimbursement. Still not settled. We have been customers for 20 years.
A shame. I move everything.</v>
      </c>
    </row>
    <row r="722" ht="15.75" customHeight="1">
      <c r="B722" s="2" t="s">
        <v>2053</v>
      </c>
      <c r="C722" s="2" t="s">
        <v>2054</v>
      </c>
      <c r="D722" s="2" t="s">
        <v>2048</v>
      </c>
      <c r="E722" s="2" t="s">
        <v>1679</v>
      </c>
      <c r="F722" s="2" t="s">
        <v>15</v>
      </c>
      <c r="G722" s="2" t="s">
        <v>1837</v>
      </c>
      <c r="H722" s="2" t="s">
        <v>39</v>
      </c>
      <c r="I722" s="2" t="str">
        <f>IFERROR(__xludf.DUMMYFUNCTION("GOOGLETRANSLATE(C722,""fr"",""en"")"),"I have provided my second home for 18 months now and everything is going well.
I had to make changes to my contract twice and the responsiveness was there.")</f>
        <v>I have provided my second home for 18 months now and everything is going well.
I had to make changes to my contract twice and the responsiveness was there.</v>
      </c>
    </row>
    <row r="723" ht="15.75" customHeight="1">
      <c r="B723" s="2" t="s">
        <v>2055</v>
      </c>
      <c r="C723" s="2" t="s">
        <v>2056</v>
      </c>
      <c r="D723" s="2" t="s">
        <v>2048</v>
      </c>
      <c r="E723" s="2" t="s">
        <v>1679</v>
      </c>
      <c r="F723" s="2" t="s">
        <v>15</v>
      </c>
      <c r="G723" s="2" t="s">
        <v>2057</v>
      </c>
      <c r="H723" s="2" t="s">
        <v>301</v>
      </c>
      <c r="I723" s="2" t="str">
        <f>IFERROR(__xludf.DUMMYFUNCTION("GOOGLETRANSLATE(C723,""fr"",""en"")"),"With confidence we have subscribed by contribution to assistance because as auto assistance is a perfect service, we have subscribed to the home insurance also at GMF. Just nothing to do, at no level the same. To declare a disaster, freezing and robotic w"&amp;"elcome. Follow the file 16 to 23 minutes of waiting. For more banal answers than worse ??. We are afraid to discover the care. Termination to come.")</f>
        <v>With confidence we have subscribed by contribution to assistance because as auto assistance is a perfect service, we have subscribed to the home insurance also at GMF. Just nothing to do, at no level the same. To declare a disaster, freezing and robotic welcome. Follow the file 16 to 23 minutes of waiting. For more banal answers than worse ??. We are afraid to discover the care. Termination to come.</v>
      </c>
    </row>
    <row r="724" ht="15.75" customHeight="1">
      <c r="B724" s="2" t="s">
        <v>2058</v>
      </c>
      <c r="C724" s="2" t="s">
        <v>2059</v>
      </c>
      <c r="D724" s="2" t="s">
        <v>2048</v>
      </c>
      <c r="E724" s="2" t="s">
        <v>1679</v>
      </c>
      <c r="F724" s="2" t="s">
        <v>15</v>
      </c>
      <c r="G724" s="2" t="s">
        <v>2060</v>
      </c>
      <c r="H724" s="2" t="s">
        <v>301</v>
      </c>
      <c r="I724" s="2" t="str">
        <f>IFERROR(__xludf.DUMMYFUNCTION("GOOGLETRANSLATE(C724,""fr"",""en"")"),"The extension of my home insurance to nomadic devices such as computer, tablet, telephone ..... is quite exceptional.
My daughter breaks her computer screen by leaving the socket between the keyboard and the screen when she closes it.
Declaration of cla"&amp;"im made, quote sent with photos. Repair made, cost 639 euros minus 110 euros in deductible = 529 euros reimbursed by the GMF all in a week.
Bravo the GMF. I highly recommend.")</f>
        <v>The extension of my home insurance to nomadic devices such as computer, tablet, telephone ..... is quite exceptional.
My daughter breaks her computer screen by leaving the socket between the keyboard and the screen when she closes it.
Declaration of claim made, quote sent with photos. Repair made, cost 639 euros minus 110 euros in deductible = 529 euros reimbursed by the GMF all in a week.
Bravo the GMF. I highly recommend.</v>
      </c>
    </row>
    <row r="725" ht="15.75" customHeight="1">
      <c r="B725" s="2" t="s">
        <v>2061</v>
      </c>
      <c r="C725" s="2" t="s">
        <v>2062</v>
      </c>
      <c r="D725" s="2" t="s">
        <v>2048</v>
      </c>
      <c r="E725" s="2" t="s">
        <v>1679</v>
      </c>
      <c r="F725" s="2" t="s">
        <v>15</v>
      </c>
      <c r="G725" s="2" t="s">
        <v>52</v>
      </c>
      <c r="H725" s="2" t="s">
        <v>43</v>
      </c>
      <c r="I725" s="2" t="str">
        <f>IFERROR(__xludf.DUMMYFUNCTION("GOOGLETRANSLATE(C725,""fr"",""en"")"),"I am affected by GMF's ability to ignore customers at the time of a disaster, however it seems to me that they are paid for this. Sinister in 2020 I had to fend for myself a real masquerade in their services (I had no more hot water). I told myself that i"&amp;"t had to be exceptional a slightly ben, I was wrong it seems customary because, the claims are not their priority, I have my fridge which dropped following the storm, I followed their request sends invoice and quotes via the member space and no response, "&amp;"to date I have made several recovery email, the GMF continues to shine by its absence. I have two children at home, I manage with a cooler every day I will look for ice and races after my day of work.
I would like to thank my GMF insurer for ignoring my "&amp;"requests and leaving me this very uncomfortable situation despite the samples of several contracts from them.")</f>
        <v>I am affected by GMF's ability to ignore customers at the time of a disaster, however it seems to me that they are paid for this. Sinister in 2020 I had to fend for myself a real masquerade in their services (I had no more hot water). I told myself that it had to be exceptional a slightly ben, I was wrong it seems customary because, the claims are not their priority, I have my fridge which dropped following the storm, I followed their request sends invoice and quotes via the member space and no response, to date I have made several recovery email, the GMF continues to shine by its absence. I have two children at home, I manage with a cooler every day I will look for ice and races after my day of work.
I would like to thank my GMF insurer for ignoring my requests and leaving me this very uncomfortable situation despite the samples of several contracts from them.</v>
      </c>
    </row>
    <row r="726" ht="15.75" customHeight="1">
      <c r="B726" s="2" t="s">
        <v>2063</v>
      </c>
      <c r="C726" s="2" t="s">
        <v>2064</v>
      </c>
      <c r="D726" s="2" t="s">
        <v>2048</v>
      </c>
      <c r="E726" s="2" t="s">
        <v>1679</v>
      </c>
      <c r="F726" s="2" t="s">
        <v>15</v>
      </c>
      <c r="G726" s="2" t="s">
        <v>2065</v>
      </c>
      <c r="H726" s="2" t="s">
        <v>43</v>
      </c>
      <c r="I726" s="2" t="str">
        <f>IFERROR(__xludf.DUMMYFUNCTION("GOOGLETRANSLATE(C726,""fr"",""en"")"),"Very decided with this home insurance. Indeed, you have no follow -up, SMS and mail are signed GMF !!! When there is a claim when we pay insurance they no longer want to reimburse us !!! It's scandalous. On the other hand to take the contributions no prob"&amp;"lem ELA is made on time !!! I will certainly be obliged to seize an insurance mediator or may be to go to court to obtain my due. To flee. It is better to pay a little more expensive but have an interlocutor who takes care of your file and not falling con"&amp;"stantly on different people on telephone platforms. And be compensated in the event of a problem.")</f>
        <v>Very decided with this home insurance. Indeed, you have no follow -up, SMS and mail are signed GMF !!! When there is a claim when we pay insurance they no longer want to reimburse us !!! It's scandalous. On the other hand to take the contributions no problem ELA is made on time !!! I will certainly be obliged to seize an insurance mediator or may be to go to court to obtain my due. To flee. It is better to pay a little more expensive but have an interlocutor who takes care of your file and not falling constantly on different people on telephone platforms. And be compensated in the event of a problem.</v>
      </c>
    </row>
    <row r="727" ht="15.75" customHeight="1">
      <c r="B727" s="2" t="s">
        <v>2066</v>
      </c>
      <c r="C727" s="2" t="s">
        <v>2067</v>
      </c>
      <c r="D727" s="2" t="s">
        <v>2048</v>
      </c>
      <c r="E727" s="2" t="s">
        <v>1679</v>
      </c>
      <c r="F727" s="2" t="s">
        <v>15</v>
      </c>
      <c r="G727" s="2" t="s">
        <v>59</v>
      </c>
      <c r="H727" s="2" t="s">
        <v>56</v>
      </c>
      <c r="I727" s="2" t="str">
        <f>IFERROR(__xludf.DUMMYFUNCTION("GOOGLETRANSLATE(C727,""fr"",""en"")"),"Fire in the home of my elderly neighbors, I decide to take care of them. Insured at GMF for over 40 years, I say to myself ""it's good"" for them, the poor. Well no, a rehousing certainly compensated, but not the additional costs (agency fees, inventory, "&amp;"etc.). As the damage is important, the file goes from the regional GMF of Marseille to the GMF headquarters of Paris. And there, we go from a benevolent and empathy of the GMF Marseille to an accounting and contactual logic of the GMF Paris. More human co"&amp;"nsideration, request from the insured, of ""commercial"" care, for the well -being of the relocation. So, when we talk about militant insurer, listening or close to its members, I would like GMF to be in line with its values, especially with insured perso"&amp;"ns of almost half a century of multiple contributions (houses, car, juridic assistance…). Case to follow, since it is now time to go to the reconstruction of part of the house ... But I fear monitoring, and the explanations to give to my neighbors over 80"&amp;" years old.")</f>
        <v>Fire in the home of my elderly neighbors, I decide to take care of them. Insured at GMF for over 40 years, I say to myself "it's good" for them, the poor. Well no, a rehousing certainly compensated, but not the additional costs (agency fees, inventory, etc.). As the damage is important, the file goes from the regional GMF of Marseille to the GMF headquarters of Paris. And there, we go from a benevolent and empathy of the GMF Marseille to an accounting and contactual logic of the GMF Paris. More human consideration, request from the insured, of "commercial" care, for the well -being of the relocation. So, when we talk about militant insurer, listening or close to its members, I would like GMF to be in line with its values, especially with insured persons of almost half a century of multiple contributions (houses, car, juridic assistance…). Case to follow, since it is now time to go to the reconstruction of part of the house ... But I fear monitoring, and the explanations to give to my neighbors over 80 years old.</v>
      </c>
    </row>
    <row r="728" ht="15.75" customHeight="1">
      <c r="B728" s="2" t="s">
        <v>2068</v>
      </c>
      <c r="C728" s="2" t="s">
        <v>2069</v>
      </c>
      <c r="D728" s="2" t="s">
        <v>2048</v>
      </c>
      <c r="E728" s="2" t="s">
        <v>1679</v>
      </c>
      <c r="F728" s="2" t="s">
        <v>15</v>
      </c>
      <c r="G728" s="2" t="s">
        <v>625</v>
      </c>
      <c r="H728" s="2" t="s">
        <v>69</v>
      </c>
      <c r="I728" s="2" t="str">
        <f>IFERROR(__xludf.DUMMYFUNCTION("GOOGLETRANSLATE(C728,""fr"",""en"")"),"In the event of a dispute, you will not receive any listening. In addition, this insurance has a completely obsolete digital platform, with all the risks that it induces.")</f>
        <v>In the event of a dispute, you will not receive any listening. In addition, this insurance has a completely obsolete digital platform, with all the risks that it induces.</v>
      </c>
    </row>
    <row r="729" ht="15.75" customHeight="1">
      <c r="B729" s="2" t="s">
        <v>2070</v>
      </c>
      <c r="C729" s="2" t="s">
        <v>2071</v>
      </c>
      <c r="D729" s="2" t="s">
        <v>2048</v>
      </c>
      <c r="E729" s="2" t="s">
        <v>1679</v>
      </c>
      <c r="F729" s="2" t="s">
        <v>15</v>
      </c>
      <c r="G729" s="2" t="s">
        <v>1686</v>
      </c>
      <c r="H729" s="2" t="s">
        <v>92</v>
      </c>
      <c r="I729" s="2" t="str">
        <f>IFERROR(__xludf.DUMMYFUNCTION("GOOGLETRANSLATE(C729,""fr"",""en"")"),"Hello,
I have a disaster open to the GMF. I do not agree with the resolution of this disaster ... disagreement on which I spoke live with the service that is responsible for it. It was agreed that I send them a letter, something that was done. I didn't h"&amp;"ave any news. Since then this service is unreachable. I have never had an answer to my emails sent from my personal space on the GMF website. I went to an agency (Pau) on 12/03 ... It was a question after this interview that I was contacted by phone: stil"&amp;"l nothing. I have since phoned the call platform, sending an email via the GMF platform ... but in vain (this dossier dates from 2016!). Customer service 0 pointed!
")</f>
        <v>Hello,
I have a disaster open to the GMF. I do not agree with the resolution of this disaster ... disagreement on which I spoke live with the service that is responsible for it. It was agreed that I send them a letter, something that was done. I didn't have any news. Since then this service is unreachable. I have never had an answer to my emails sent from my personal space on the GMF website. I went to an agency (Pau) on 12/03 ... It was a question after this interview that I was contacted by phone: still nothing. I have since phoned the call platform, sending an email via the GMF platform ... but in vain (this dossier dates from 2016!). Customer service 0 pointed!
</v>
      </c>
    </row>
    <row r="730" ht="15.75" customHeight="1">
      <c r="B730" s="2" t="s">
        <v>2072</v>
      </c>
      <c r="C730" s="2" t="s">
        <v>2073</v>
      </c>
      <c r="D730" s="2" t="s">
        <v>2048</v>
      </c>
      <c r="E730" s="2" t="s">
        <v>1679</v>
      </c>
      <c r="F730" s="2" t="s">
        <v>15</v>
      </c>
      <c r="G730" s="2" t="s">
        <v>329</v>
      </c>
      <c r="H730" s="2" t="s">
        <v>92</v>
      </c>
      <c r="I730" s="2" t="str">
        <f>IFERROR(__xludf.DUMMYFUNCTION("GOOGLETRANSLATE(C730,""fr"",""en"")"),"To flee ! Insured for many years at the GMF specific risks and happy with being, today I have radically changed their minds! For a loss of water damage, dating from November 5, 2020, I was entitled to the opening of the claim file only on November 23, 202"&amp;"0 and since nothing, no answer on my 2 recommended letters, impossible to contact who is in Line, person answers. In short the company no longer exists! Well done, the contributions were rather ""salty"". The services remain nonexistent.
")</f>
        <v>To flee ! Insured for many years at the GMF specific risks and happy with being, today I have radically changed their minds! For a loss of water damage, dating from November 5, 2020, I was entitled to the opening of the claim file only on November 23, 2020 and since nothing, no answer on my 2 recommended letters, impossible to contact who is in Line, person answers. In short the company no longer exists! Well done, the contributions were rather "salty". The services remain nonexistent.
</v>
      </c>
    </row>
    <row r="731" ht="15.75" customHeight="1">
      <c r="B731" s="2" t="s">
        <v>2074</v>
      </c>
      <c r="C731" s="2" t="s">
        <v>2075</v>
      </c>
      <c r="D731" s="2" t="s">
        <v>2048</v>
      </c>
      <c r="E731" s="2" t="s">
        <v>1679</v>
      </c>
      <c r="F731" s="2" t="s">
        <v>15</v>
      </c>
      <c r="G731" s="2" t="s">
        <v>2076</v>
      </c>
      <c r="H731" s="2" t="s">
        <v>92</v>
      </c>
      <c r="I731" s="2" t="str">
        <f>IFERROR(__xludf.DUMMYFUNCTION("GOOGLETRANSLATE(C731,""fr"",""en"")"),"5 years of procedure for natural disaster on our house in the Gard! Flawed on clay soil. Well, not successful. Yet our contributions are paid in due time. We will turn on 60 million consumers.")</f>
        <v>5 years of procedure for natural disaster on our house in the Gard! Flawed on clay soil. Well, not successful. Yet our contributions are paid in due time. We will turn on 60 million consumers.</v>
      </c>
    </row>
    <row r="732" ht="15.75" customHeight="1">
      <c r="B732" s="2" t="s">
        <v>2077</v>
      </c>
      <c r="C732" s="2" t="s">
        <v>2078</v>
      </c>
      <c r="D732" s="2" t="s">
        <v>2048</v>
      </c>
      <c r="E732" s="2" t="s">
        <v>1679</v>
      </c>
      <c r="F732" s="2" t="s">
        <v>15</v>
      </c>
      <c r="G732" s="2" t="s">
        <v>1140</v>
      </c>
      <c r="H732" s="2" t="s">
        <v>101</v>
      </c>
      <c r="I732" s="2" t="str">
        <f>IFERROR(__xludf.DUMMYFUNCTION("GOOGLETRANSLATE(C732,""fr"",""en"")"),"The worst telephone customer service never met. They even found a way to hang up on me instead of advising me
To flee when everything is done at a distance")</f>
        <v>The worst telephone customer service never met. They even found a way to hang up on me instead of advising me
To flee when everything is done at a distance</v>
      </c>
    </row>
    <row r="733" ht="15.75" customHeight="1">
      <c r="B733" s="2" t="s">
        <v>2079</v>
      </c>
      <c r="C733" s="2" t="s">
        <v>2080</v>
      </c>
      <c r="D733" s="2" t="s">
        <v>2048</v>
      </c>
      <c r="E733" s="2" t="s">
        <v>1679</v>
      </c>
      <c r="F733" s="2" t="s">
        <v>15</v>
      </c>
      <c r="G733" s="2" t="s">
        <v>706</v>
      </c>
      <c r="H733" s="2" t="s">
        <v>101</v>
      </c>
      <c r="I733" s="2" t="str">
        <f>IFERROR(__xludf.DUMMYFUNCTION("GOOGLETRANSLATE(C733,""fr"",""en"")"),"Advisers who are listening to all about all questions clearly, on the various products that may suit each customer
Price on the very appreciable first year
Welcome telephone
")</f>
        <v>Advisers who are listening to all about all questions clearly, on the various products that may suit each customer
Price on the very appreciable first year
Welcome telephone
</v>
      </c>
    </row>
    <row r="734" ht="15.75" customHeight="1">
      <c r="B734" s="2" t="s">
        <v>2081</v>
      </c>
      <c r="C734" s="2" t="s">
        <v>2082</v>
      </c>
      <c r="D734" s="2" t="s">
        <v>2048</v>
      </c>
      <c r="E734" s="2" t="s">
        <v>1679</v>
      </c>
      <c r="F734" s="2" t="s">
        <v>15</v>
      </c>
      <c r="G734" s="2" t="s">
        <v>709</v>
      </c>
      <c r="H734" s="2" t="s">
        <v>101</v>
      </c>
      <c r="I734" s="2" t="str">
        <f>IFERROR(__xludf.DUMMYFUNCTION("GOOGLETRANSLATE(C734,""fr"",""en"")"),"This insurance is deplorable. Has a temperature my fireplace has fallen causing a few damage to the roof. I have only been compensated for half the value, the expert makes the estimate he wants without moving, after several reminders To challenge the comp"&amp;"any to entrench the expert behind the expert, he must recall but never recalls. This insurance is to be flee. I will withdraw all my contracts from their home.")</f>
        <v>This insurance is deplorable. Has a temperature my fireplace has fallen causing a few damage to the roof. I have only been compensated for half the value, the expert makes the estimate he wants without moving, after several reminders To challenge the company to entrench the expert behind the expert, he must recall but never recalls. This insurance is to be flee. I will withdraw all my contracts from their home.</v>
      </c>
    </row>
    <row r="735" ht="15.75" customHeight="1">
      <c r="B735" s="2" t="s">
        <v>2083</v>
      </c>
      <c r="C735" s="2" t="s">
        <v>2084</v>
      </c>
      <c r="D735" s="2" t="s">
        <v>2048</v>
      </c>
      <c r="E735" s="2" t="s">
        <v>1679</v>
      </c>
      <c r="F735" s="2" t="s">
        <v>15</v>
      </c>
      <c r="G735" s="2" t="s">
        <v>340</v>
      </c>
      <c r="H735" s="2" t="s">
        <v>101</v>
      </c>
      <c r="I735" s="2" t="str">
        <f>IFERROR(__xludf.DUMMYFUNCTION("GOOGLETRANSLATE(C735,""fr"",""en"")"),"I put a star to be able to continue but this insurance does not deserve a grain of sand.
We have undergone a fire in the attic of the building, as we live just below, our apartment has undergone important damage to water+ soot (firefighter).
An expert h"&amp;"as passed, under evaluated the damage, in the meantime bcp of rains and snow have fallen what has worsened things. We have lost everything.
GMF does the deaf by compensating 1000th for the moment.
I contacted the assistance today, an ultra unpleasant pe"&amp;"rson who told me to go and show me and treat me with his ** PE because I asked him to drop in a tone.
shocking !!! Flee insurance The slogan is just opposite what it offers.")</f>
        <v>I put a star to be able to continue but this insurance does not deserve a grain of sand.
We have undergone a fire in the attic of the building, as we live just below, our apartment has undergone important damage to water+ soot (firefighter).
An expert has passed, under evaluated the damage, in the meantime bcp of rains and snow have fallen what has worsened things. We have lost everything.
GMF does the deaf by compensating 1000th for the moment.
I contacted the assistance today, an ultra unpleasant person who told me to go and show me and treat me with his ** PE because I asked him to drop in a tone.
shocking !!! Flee insurance The slogan is just opposite what it offers.</v>
      </c>
    </row>
    <row r="736" ht="15.75" customHeight="1">
      <c r="B736" s="2" t="s">
        <v>2085</v>
      </c>
      <c r="C736" s="2" t="s">
        <v>2086</v>
      </c>
      <c r="D736" s="2" t="s">
        <v>2048</v>
      </c>
      <c r="E736" s="2" t="s">
        <v>1679</v>
      </c>
      <c r="F736" s="2" t="s">
        <v>15</v>
      </c>
      <c r="G736" s="2" t="s">
        <v>2087</v>
      </c>
      <c r="H736" s="2" t="s">
        <v>114</v>
      </c>
      <c r="I736" s="2" t="str">
        <f>IFERROR(__xludf.DUMMYFUNCTION("GOOGLETRANSLATE(C736,""fr"",""en"")"),"It will be almost 10 months since I declared a disaster home, broken glass.
My disaster is still not set I have to relaunch each time to have news from my file
I sent a recommended to my Villefranche sur Saône agency, I am still not contacted.
It is un"&amp;"acceptable.")</f>
        <v>It will be almost 10 months since I declared a disaster home, broken glass.
My disaster is still not set I have to relaunch each time to have news from my file
I sent a recommended to my Villefranche sur Saône agency, I am still not contacted.
It is unacceptable.</v>
      </c>
    </row>
    <row r="737" ht="15.75" customHeight="1">
      <c r="B737" s="2" t="s">
        <v>2088</v>
      </c>
      <c r="C737" s="2" t="s">
        <v>2089</v>
      </c>
      <c r="D737" s="2" t="s">
        <v>2048</v>
      </c>
      <c r="E737" s="2" t="s">
        <v>1679</v>
      </c>
      <c r="F737" s="2" t="s">
        <v>15</v>
      </c>
      <c r="G737" s="2" t="s">
        <v>122</v>
      </c>
      <c r="H737" s="2" t="s">
        <v>114</v>
      </c>
      <c r="I737" s="2" t="str">
        <f>IFERROR(__xludf.DUMMYFUNCTION("GOOGLETRANSLATE(C737,""fr"",""en"")"),"All my contracts and meets my family insured with their homes for several years I had a claim for the storm Alex my tenants had to leave the accommodation because the house no longer has more electricity more electricity finally insured for my loss Rent w"&amp;"ith the costing of the experts my advisor told me that I will be compensated for the loss of rent and when he reimburses me the costs from to the storm for the house of the crumbs of course I was released that I was not More assured for the loss of rent b"&amp;"ecause it had happened in natural disaster !!! So more reimbursement I am scandalized I am disgusted they have played on the words run away from the rascals I will terminate all my contracts so assured for 30 years")</f>
        <v>All my contracts and meets my family insured with their homes for several years I had a claim for the storm Alex my tenants had to leave the accommodation because the house no longer has more electricity more electricity finally insured for my loss Rent with the costing of the experts my advisor told me that I will be compensated for the loss of rent and when he reimburses me the costs from to the storm for the house of the crumbs of course I was released that I was not More assured for the loss of rent because it had happened in natural disaster !!! So more reimbursement I am scandalized I am disgusted they have played on the words run away from the rascals I will terminate all my contracts so assured for 30 years</v>
      </c>
    </row>
    <row r="738" ht="15.75" customHeight="1">
      <c r="B738" s="2" t="s">
        <v>2090</v>
      </c>
      <c r="C738" s="2" t="s">
        <v>2091</v>
      </c>
      <c r="D738" s="2" t="s">
        <v>2048</v>
      </c>
      <c r="E738" s="2" t="s">
        <v>1679</v>
      </c>
      <c r="F738" s="2" t="s">
        <v>15</v>
      </c>
      <c r="G738" s="2" t="s">
        <v>1714</v>
      </c>
      <c r="H738" s="2" t="s">
        <v>114</v>
      </c>
      <c r="I738" s="2" t="str">
        <f>IFERROR(__xludf.DUMMYFUNCTION("GOOGLETRANSLATE(C738,""fr"",""en"")"),"EXICE for the alteration of the commercial relationship on January 12, 2021.
More than 30 years insure with the GMF which is certainly called humans.
Incomprehensible on the part of a mutual")</f>
        <v>EXICE for the alteration of the commercial relationship on January 12, 2021.
More than 30 years insure with the GMF which is certainly called humans.
Incomprehensible on the part of a mutual</v>
      </c>
    </row>
    <row r="739" ht="15.75" customHeight="1">
      <c r="B739" s="2" t="s">
        <v>2092</v>
      </c>
      <c r="C739" s="2" t="s">
        <v>2093</v>
      </c>
      <c r="D739" s="2" t="s">
        <v>2048</v>
      </c>
      <c r="E739" s="2" t="s">
        <v>1679</v>
      </c>
      <c r="F739" s="2" t="s">
        <v>15</v>
      </c>
      <c r="G739" s="2" t="s">
        <v>2094</v>
      </c>
      <c r="H739" s="2" t="s">
        <v>114</v>
      </c>
      <c r="I739" s="2" t="str">
        <f>IFERROR(__xludf.DUMMYFUNCTION("GOOGLETRANSLATE(C739,""fr"",""en"")"),"It has been almost 20 years since we are insured with GMF, cars, homes ....
Like many, some minor incidents (windshield ...) nothing more. But in 2020, the worst happened to us: fire (without victims) of our main home, with significant damage.
-tore con"&amp;"tract indicates that within 10 days at the maximum of the claim, an advance is paid for rehousing; After several phone calls, emails (from us and experts), travel to the regional agency, this advance was paid after almost two months !!
-We are the compen"&amp;"sation and reconstruction party: not won there too, and we understand that everything is done to compensate at least;
We hope for a better end in this galley ...
")</f>
        <v>It has been almost 20 years since we are insured with GMF, cars, homes ....
Like many, some minor incidents (windshield ...) nothing more. But in 2020, the worst happened to us: fire (without victims) of our main home, with significant damage.
-tore contract indicates that within 10 days at the maximum of the claim, an advance is paid for rehousing; After several phone calls, emails (from us and experts), travel to the regional agency, this advance was paid after almost two months !!
-We are the compensation and reconstruction party: not won there too, and we understand that everything is done to compensate at least;
We hope for a better end in this galley ...
</v>
      </c>
    </row>
    <row r="740" ht="15.75" customHeight="1">
      <c r="B740" s="2" t="s">
        <v>2095</v>
      </c>
      <c r="C740" s="2" t="s">
        <v>2096</v>
      </c>
      <c r="D740" s="2" t="s">
        <v>2048</v>
      </c>
      <c r="E740" s="2" t="s">
        <v>1679</v>
      </c>
      <c r="F740" s="2" t="s">
        <v>15</v>
      </c>
      <c r="G740" s="2" t="s">
        <v>353</v>
      </c>
      <c r="H740" s="2" t="s">
        <v>126</v>
      </c>
      <c r="I740" s="2" t="str">
        <f>IFERROR(__xludf.DUMMYFUNCTION("GOOGLETRANSLATE(C740,""fr"",""en"")"),"I have always been insured at GMF (32 years old). Today, I call them following a rear shell concern on a family mobile phone. I am told that this disaster is not taken into account because I have not subscribed to the ""BRI"" option ... it's easy to answe"&amp;"r such idiots since I have never been offered this Option, with several phones in the family, I would have subscribed to it!
In addition I asked for a quote for 2 cars a few months ago. People have contacted me by phone or emails. It seems to me that it "&amp;"is the basis and the role of a customer service. (Not at GMF !!!)
So .... Go see elsewhere!")</f>
        <v>I have always been insured at GMF (32 years old). Today, I call them following a rear shell concern on a family mobile phone. I am told that this disaster is not taken into account because I have not subscribed to the "BRI" option ... it's easy to answer such idiots since I have never been offered this Option, with several phones in the family, I would have subscribed to it!
In addition I asked for a quote for 2 cars a few months ago. People have contacted me by phone or emails. It seems to me that it is the basis and the role of a customer service. (Not at GMF !!!)
So .... Go see elsewhere!</v>
      </c>
    </row>
    <row r="741" ht="15.75" customHeight="1">
      <c r="B741" s="2" t="s">
        <v>2097</v>
      </c>
      <c r="C741" s="2" t="s">
        <v>2098</v>
      </c>
      <c r="D741" s="2" t="s">
        <v>2048</v>
      </c>
      <c r="E741" s="2" t="s">
        <v>1679</v>
      </c>
      <c r="F741" s="2" t="s">
        <v>15</v>
      </c>
      <c r="G741" s="2" t="s">
        <v>140</v>
      </c>
      <c r="H741" s="2" t="s">
        <v>141</v>
      </c>
      <c r="I741" s="2" t="str">
        <f>IFERROR(__xludf.DUMMYFUNCTION("GOOGLETRANSLATE(C741,""fr"",""en"")"),"Hello,
I put 1 star because it is not possible to put less. I terminated my home insurance at the GMF two months ago (termination carried out by my new insurer). This home insurance included the assurance of 2 grassland with a slight additional cost.
My"&amp;" new insurer therefore terminated the home contract which included the assurance of these two grassland. I received shortly after the GMF mail indicating that the termination was taken into account. Then by email a contract proposal for my 2 grassland, th"&amp;"en a revival for signature ... In short, contract that I did not want and that I did not sign since my new insurer ensures them for free. Today I receive a maturity notice of € 48. I make an email asking if it is a joke, if it is normal to receive a notic"&amp;"e of due to an unconted contract. And I receive a vocal message from the agency of Le Havre (76600) which tells me that yes, that the new insurer was not precise enough for termination, when there was only one and unique contract number !!!
I can't belie"&amp;"ve it, what a cheek !!! I follow so relieved to have terminated them, I imagine the reception in the event of a disaster !!!
")</f>
        <v>Hello,
I put 1 star because it is not possible to put less. I terminated my home insurance at the GMF two months ago (termination carried out by my new insurer). This home insurance included the assurance of 2 grassland with a slight additional cost.
My new insurer therefore terminated the home contract which included the assurance of these two grassland. I received shortly after the GMF mail indicating that the termination was taken into account. Then by email a contract proposal for my 2 grassland, then a revival for signature ... In short, contract that I did not want and that I did not sign since my new insurer ensures them for free. Today I receive a maturity notice of € 48. I make an email asking if it is a joke, if it is normal to receive a notice of due to an unconted contract. And I receive a vocal message from the agency of Le Havre (76600) which tells me that yes, that the new insurer was not precise enough for termination, when there was only one and unique contract number !!!
I can't believe it, what a cheek !!! I follow so relieved to have terminated them, I imagine the reception in the event of a disaster !!!
</v>
      </c>
    </row>
    <row r="742" ht="15.75" customHeight="1">
      <c r="B742" s="2" t="s">
        <v>2099</v>
      </c>
      <c r="C742" s="2" t="s">
        <v>2100</v>
      </c>
      <c r="D742" s="2" t="s">
        <v>2048</v>
      </c>
      <c r="E742" s="2" t="s">
        <v>1679</v>
      </c>
      <c r="F742" s="2" t="s">
        <v>15</v>
      </c>
      <c r="G742" s="2" t="s">
        <v>2101</v>
      </c>
      <c r="H742" s="2" t="s">
        <v>167</v>
      </c>
      <c r="I742" s="2" t="str">
        <f>IFERROR(__xludf.DUMMYFUNCTION("GOOGLETRANSLATE(C742,""fr"",""en"")"),"At the time of the covid, the GMFEST site in bulk, impossible to connect.
If one thing should be possible; It's good to connect remotely ...
It's just Indadmissible.
To flee.")</f>
        <v>At the time of the covid, the GMFEST site in bulk, impossible to connect.
If one thing should be possible; It's good to connect remotely ...
It's just Indadmissible.
To flee.</v>
      </c>
    </row>
    <row r="743" ht="15.75" customHeight="1">
      <c r="B743" s="2" t="s">
        <v>2102</v>
      </c>
      <c r="C743" s="2" t="s">
        <v>2103</v>
      </c>
      <c r="D743" s="2" t="s">
        <v>2048</v>
      </c>
      <c r="E743" s="2" t="s">
        <v>1679</v>
      </c>
      <c r="F743" s="2" t="s">
        <v>15</v>
      </c>
      <c r="G743" s="2" t="s">
        <v>2104</v>
      </c>
      <c r="H743" s="2" t="s">
        <v>167</v>
      </c>
      <c r="I743" s="2" t="str">
        <f>IFERROR(__xludf.DUMMYFUNCTION("GOOGLETRANSLATE(C743,""fr"",""en"")"),"In the event of a claim it is a catastrophic care. In agency we tell you that it is not their mission that must be contacted the telephone platform. You have to wait at least 15 minutes each call to sometimes have the operator or sometimes an interrupted "&amp;"communication. We then direct you to a partner company which makes all its quotes at around 1500 euros since the GMF requires quotes less than 1600 euros regardless of the water damage. The quotes are false with overcharges or rooms of the house with a wa"&amp;"ll on two repainted, therefore a patchwork of colors. When you have a question the operator tells you very dryly ""we know what we have to do to do what you are asked, on this goodbye"" and hang up on the nose. Not to mention also ""you are not going to c"&amp;"omplain about your damaged joints while people have lost their house"". Really go your way, don't take this insurance, I change. I prefer to pay a little more expensive but have a present insurance in the event of a claim.")</f>
        <v>In the event of a claim it is a catastrophic care. In agency we tell you that it is not their mission that must be contacted the telephone platform. You have to wait at least 15 minutes each call to sometimes have the operator or sometimes an interrupted communication. We then direct you to a partner company which makes all its quotes at around 1500 euros since the GMF requires quotes less than 1600 euros regardless of the water damage. The quotes are false with overcharges or rooms of the house with a wall on two repainted, therefore a patchwork of colors. When you have a question the operator tells you very dryly "we know what we have to do to do what you are asked, on this goodbye" and hang up on the nose. Not to mention also "you are not going to complain about your damaged joints while people have lost their house". Really go your way, don't take this insurance, I change. I prefer to pay a little more expensive but have a present insurance in the event of a claim.</v>
      </c>
    </row>
    <row r="744" ht="15.75" customHeight="1">
      <c r="B744" s="2" t="s">
        <v>2105</v>
      </c>
      <c r="C744" s="2" t="s">
        <v>2106</v>
      </c>
      <c r="D744" s="2" t="s">
        <v>2048</v>
      </c>
      <c r="E744" s="2" t="s">
        <v>1679</v>
      </c>
      <c r="F744" s="2" t="s">
        <v>15</v>
      </c>
      <c r="G744" s="2" t="s">
        <v>2107</v>
      </c>
      <c r="H744" s="2" t="s">
        <v>167</v>
      </c>
      <c r="I744" s="2" t="str">
        <f>IFERROR(__xludf.DUMMYFUNCTION("GOOGLETRANSLATE(C744,""fr"",""en"")"),"Insured for ten years I am very dissatisfied with GMF!
As part of the Alex bad weather, with the power cut for more than 48 hours I lost all the contents of my freezer.
Today I meet a refusal of compensation for reasons (absence of invoice) my freezer h"&amp;"aving 8 years I lost the purchase invoice.
I sincerely think about changing your insurance company, both because of the difficulties in reaching them by telephone, and the way the companies are treated
To be continued !
")</f>
        <v>Insured for ten years I am very dissatisfied with GMF!
As part of the Alex bad weather, with the power cut for more than 48 hours I lost all the contents of my freezer.
Today I meet a refusal of compensation for reasons (absence of invoice) my freezer having 8 years I lost the purchase invoice.
I sincerely think about changing your insurance company, both because of the difficulties in reaching them by telephone, and the way the companies are treated
To be continued !
</v>
      </c>
    </row>
    <row r="745" ht="15.75" customHeight="1">
      <c r="B745" s="2" t="s">
        <v>2108</v>
      </c>
      <c r="C745" s="2" t="s">
        <v>2109</v>
      </c>
      <c r="D745" s="2" t="s">
        <v>2048</v>
      </c>
      <c r="E745" s="2" t="s">
        <v>1679</v>
      </c>
      <c r="F745" s="2" t="s">
        <v>15</v>
      </c>
      <c r="G745" s="2" t="s">
        <v>167</v>
      </c>
      <c r="H745" s="2" t="s">
        <v>167</v>
      </c>
      <c r="I745" s="2" t="str">
        <f>IFERROR(__xludf.DUMMYFUNCTION("GOOGLETRANSLATE(C745,""fr"",""en"")"),"I tried to take out a contract with GMF. At the time of the signature there are two contracts that appear and are different (different prices), but I cannot know which one to sign. I therefore call customer service to help me sign the right contract. An e"&amp;"xtremely unpleasant advisor tells me that I have to sign the two contracts. I do not understand why I should sign two different contracts. She answers me ""do what you want"" (!!). I say that suddenly I will not sign anything, especially if I am treated l"&amp;"ike this. She says to me ""ok go see elsewhere"".")</f>
        <v>I tried to take out a contract with GMF. At the time of the signature there are two contracts that appear and are different (different prices), but I cannot know which one to sign. I therefore call customer service to help me sign the right contract. An extremely unpleasant advisor tells me that I have to sign the two contracts. I do not understand why I should sign two different contracts. She answers me "do what you want" (!!). I say that suddenly I will not sign anything, especially if I am treated like this. She says to me "ok go see elsewhere".</v>
      </c>
    </row>
    <row r="746" ht="15.75" customHeight="1">
      <c r="B746" s="2" t="s">
        <v>2110</v>
      </c>
      <c r="C746" s="2" t="s">
        <v>2111</v>
      </c>
      <c r="D746" s="2" t="s">
        <v>2048</v>
      </c>
      <c r="E746" s="2" t="s">
        <v>1679</v>
      </c>
      <c r="F746" s="2" t="s">
        <v>15</v>
      </c>
      <c r="G746" s="2" t="s">
        <v>183</v>
      </c>
      <c r="H746" s="2" t="s">
        <v>174</v>
      </c>
      <c r="I746" s="2" t="str">
        <f>IFERROR(__xludf.DUMMYFUNCTION("GOOGLETRANSLATE(C746,""fr"",""en"")"),"It is when a claim comes that we judge the effectiveness of the insurer. GMF takes a long time to process a file. A break -in in March is still not treated in September. The delay is due to the number of rooms in the house. The attic is considered a ""hab"&amp;"itable"" room as you store furniture. And not on the part where you can stand up but on the ground surface (even if the height is 40 cm). And 30 years of loyalty does not change anything.")</f>
        <v>It is when a claim comes that we judge the effectiveness of the insurer. GMF takes a long time to process a file. A break -in in March is still not treated in September. The delay is due to the number of rooms in the house. The attic is considered a "habitable" room as you store furniture. And not on the part where you can stand up but on the ground surface (even if the height is 40 cm). And 30 years of loyalty does not change anything.</v>
      </c>
    </row>
    <row r="747" ht="15.75" customHeight="1">
      <c r="B747" s="2" t="s">
        <v>2112</v>
      </c>
      <c r="C747" s="2" t="s">
        <v>2113</v>
      </c>
      <c r="D747" s="2" t="s">
        <v>2048</v>
      </c>
      <c r="E747" s="2" t="s">
        <v>1679</v>
      </c>
      <c r="F747" s="2" t="s">
        <v>15</v>
      </c>
      <c r="G747" s="2" t="s">
        <v>2114</v>
      </c>
      <c r="H747" s="2" t="s">
        <v>174</v>
      </c>
      <c r="I747" s="2" t="str">
        <f>IFERROR(__xludf.DUMMYFUNCTION("GOOGLETRANSLATE(C747,""fr"",""en"")"),"Above all, have no claim, inconceivable treatment deadlines: water damage in August 2019, September 2020 still not fenced.
You should be able to test the services before ensuring.")</f>
        <v>Above all, have no claim, inconceivable treatment deadlines: water damage in August 2019, September 2020 still not fenced.
You should be able to test the services before ensuring.</v>
      </c>
    </row>
    <row r="748" ht="15.75" customHeight="1">
      <c r="B748" s="2" t="s">
        <v>2115</v>
      </c>
      <c r="C748" s="2" t="s">
        <v>2116</v>
      </c>
      <c r="D748" s="2" t="s">
        <v>2048</v>
      </c>
      <c r="E748" s="2" t="s">
        <v>1679</v>
      </c>
      <c r="F748" s="2" t="s">
        <v>15</v>
      </c>
      <c r="G748" s="2" t="s">
        <v>907</v>
      </c>
      <c r="H748" s="2" t="s">
        <v>196</v>
      </c>
      <c r="I748" s="2" t="str">
        <f>IFERROR(__xludf.DUMMYFUNCTION("GOOGLETRANSLATE(C748,""fr"",""en"")"),"GMF adherent for years self -home never any worries one day water damage in my bad room once the repairs made by the trustee A quote was carried out for the work granted by the expert I was withdrawn from the sum 177 euros Franchise that I was never retur"&amp;"ned the staff of the very unpleasant insulting agency I live in Marseille agency of the 8th arrival that I was stolen I was insulted by Ms. Giordano Person who received me at the office I went to another cheaper and more correct insurance
")</f>
        <v>GMF adherent for years self -home never any worries one day water damage in my bad room once the repairs made by the trustee A quote was carried out for the work granted by the expert I was withdrawn from the sum 177 euros Franchise that I was never returned the staff of the very unpleasant insulting agency I live in Marseille agency of the 8th arrival that I was stolen I was insulted by Ms. Giordano Person who received me at the office I went to another cheaper and more correct insurance
</v>
      </c>
    </row>
    <row r="749" ht="15.75" customHeight="1">
      <c r="B749" s="2" t="s">
        <v>2117</v>
      </c>
      <c r="C749" s="2" t="s">
        <v>2118</v>
      </c>
      <c r="D749" s="2" t="s">
        <v>2048</v>
      </c>
      <c r="E749" s="2" t="s">
        <v>1679</v>
      </c>
      <c r="F749" s="2" t="s">
        <v>15</v>
      </c>
      <c r="G749" s="2" t="s">
        <v>2119</v>
      </c>
      <c r="H749" s="2" t="s">
        <v>210</v>
      </c>
      <c r="I749" s="2" t="str">
        <f>IFERROR(__xludf.DUMMYFUNCTION("GOOGLETRANSLATE(C749,""fr"",""en"")"),"If you think you can benefit from legal assistance think again. Even if you give 81 € 40 per year, in your contract there is surely a paragraph that excludes your problem. Be very patient on the phone.")</f>
        <v>If you think you can benefit from legal assistance think again. Even if you give 81 € 40 per year, in your contract there is surely a paragraph that excludes your problem. Be very patient on the phone.</v>
      </c>
    </row>
    <row r="750" ht="15.75" customHeight="1">
      <c r="B750" s="2" t="s">
        <v>2120</v>
      </c>
      <c r="C750" s="2" t="s">
        <v>2121</v>
      </c>
      <c r="D750" s="2" t="s">
        <v>2048</v>
      </c>
      <c r="E750" s="2" t="s">
        <v>1679</v>
      </c>
      <c r="F750" s="2" t="s">
        <v>15</v>
      </c>
      <c r="G750" s="2" t="s">
        <v>2122</v>
      </c>
      <c r="H750" s="2" t="s">
        <v>210</v>
      </c>
      <c r="I750" s="2" t="str">
        <f>IFERROR(__xludf.DUMMYFUNCTION("GOOGLETRANSLATE(C750,""fr"",""en"")"),"As long as you do not undergo a disaster, everything is fine. Our water damage has been dragged since August 2018. The GMF is areas, does not respond to emails. A company came for expertise: no less than 3 experts came. The 1st did not write his report, f"&amp;"ortunately, he took the check, the only trace of his passage. After months of radio silence, we are informed that we have to look for a local craftsman for refreshing work. We select one and now that we have sent the quote and a new expertise company cont"&amp;"acts us for a leak search for our damage which dates from 1 year and a half ago. Ha the GMF, I lose my Latin ... If you are not yet at home, go your way!")</f>
        <v>As long as you do not undergo a disaster, everything is fine. Our water damage has been dragged since August 2018. The GMF is areas, does not respond to emails. A company came for expertise: no less than 3 experts came. The 1st did not write his report, fortunately, he took the check, the only trace of his passage. After months of radio silence, we are informed that we have to look for a local craftsman for refreshing work. We select one and now that we have sent the quote and a new expertise company contacts us for a leak search for our damage which dates from 1 year and a half ago. Ha the GMF, I lose my Latin ... If you are not yet at home, go your way!</v>
      </c>
    </row>
    <row r="751" ht="15.75" customHeight="1">
      <c r="B751" s="2" t="s">
        <v>2123</v>
      </c>
      <c r="C751" s="2" t="s">
        <v>2124</v>
      </c>
      <c r="D751" s="2" t="s">
        <v>2048</v>
      </c>
      <c r="E751" s="2" t="s">
        <v>1679</v>
      </c>
      <c r="F751" s="2" t="s">
        <v>15</v>
      </c>
      <c r="G751" s="2" t="s">
        <v>376</v>
      </c>
      <c r="H751" s="2" t="s">
        <v>210</v>
      </c>
      <c r="I751" s="2" t="str">
        <f>IFERROR(__xludf.DUMMYFUNCTION("GOOGLETRANSLATE(C751,""fr"",""en"")"),"I find this archaic society, outdated ... Impossible to do anything online. Communications by email, they do not know. You have to move to make the slightest modification. We should think about evolving a little right?")</f>
        <v>I find this archaic society, outdated ... Impossible to do anything online. Communications by email, they do not know. You have to move to make the slightest modification. We should think about evolving a little right?</v>
      </c>
    </row>
    <row r="752" ht="15.75" customHeight="1">
      <c r="B752" s="2" t="s">
        <v>2125</v>
      </c>
      <c r="C752" s="2" t="s">
        <v>2126</v>
      </c>
      <c r="D752" s="2" t="s">
        <v>2048</v>
      </c>
      <c r="E752" s="2" t="s">
        <v>1679</v>
      </c>
      <c r="F752" s="2" t="s">
        <v>15</v>
      </c>
      <c r="G752" s="2" t="s">
        <v>760</v>
      </c>
      <c r="H752" s="2" t="s">
        <v>214</v>
      </c>
      <c r="I752" s="2" t="str">
        <f>IFERROR(__xludf.DUMMYFUNCTION("GOOGLETRANSLATE(C752,""fr"",""en"")"),"I am sorry for the archaism of this insurer which makes an opportunity for a residential contract at more than 1000 euros per year, refused to send me the general sales conditions before a possible signing of contract while we is asked to move only for im"&amp;"perious reasons !!! Please evolve please. And when I started asking questions about the inclusions to the contract provided for in the DIPA file I was made answer that they did not have time to detail everything.
Basically sign and then you will discover"&amp;" precisely what you are covered on and what you are not! Avoid at all costs, it promises the day the claim arises ...")</f>
        <v>I am sorry for the archaism of this insurer which makes an opportunity for a residential contract at more than 1000 euros per year, refused to send me the general sales conditions before a possible signing of contract while we is asked to move only for imperious reasons !!! Please evolve please. And when I started asking questions about the inclusions to the contract provided for in the DIPA file I was made answer that they did not have time to detail everything.
Basically sign and then you will discover precisely what you are covered on and what you are not! Avoid at all costs, it promises the day the claim arises ...</v>
      </c>
    </row>
    <row r="753" ht="15.75" customHeight="1">
      <c r="B753" s="2" t="s">
        <v>2127</v>
      </c>
      <c r="C753" s="2" t="s">
        <v>2128</v>
      </c>
      <c r="D753" s="2" t="s">
        <v>2048</v>
      </c>
      <c r="E753" s="2" t="s">
        <v>1679</v>
      </c>
      <c r="F753" s="2" t="s">
        <v>15</v>
      </c>
      <c r="G753" s="2" t="s">
        <v>2129</v>
      </c>
      <c r="H753" s="2" t="s">
        <v>214</v>
      </c>
      <c r="I753" s="2" t="str">
        <f>IFERROR(__xludf.DUMMYFUNCTION("GOOGLETRANSLATE(C753,""fr"",""en"")"),"Definitely with the GMF is not serious insurance.
I was taken for 553.76 euros from my bank account on May 5, 2020
But after having informed them that the termination of one of my apartments was terminated on 06/29/2019, I received a statement informing"&amp;" that I have a credit of 120, 02 euros which will take effect ??? It's not very clear, but no refund.
I also warned by mail that my apartment 75014 Paris was sold on March 12, 2020 with notarial deed
I note that it was still insured for 2020-2021.
Un"&amp;"able to reach them by phone.
I still have an apartment insured at the GMF.
I cross that I will terminate it if it continues
")</f>
        <v>Definitely with the GMF is not serious insurance.
I was taken for 553.76 euros from my bank account on May 5, 2020
But after having informed them that the termination of one of my apartments was terminated on 06/29/2019, I received a statement informing that I have a credit of 120, 02 euros which will take effect ??? It's not very clear, but no refund.
I also warned by mail that my apartment 75014 Paris was sold on March 12, 2020 with notarial deed
I note that it was still insured for 2020-2021.
Unable to reach them by phone.
I still have an apartment insured at the GMF.
I cross that I will terminate it if it continues
</v>
      </c>
    </row>
    <row r="754" ht="15.75" customHeight="1">
      <c r="B754" s="2" t="s">
        <v>2130</v>
      </c>
      <c r="C754" s="2" t="s">
        <v>2131</v>
      </c>
      <c r="D754" s="2" t="s">
        <v>2048</v>
      </c>
      <c r="E754" s="2" t="s">
        <v>1679</v>
      </c>
      <c r="F754" s="2" t="s">
        <v>15</v>
      </c>
      <c r="G754" s="2" t="s">
        <v>2132</v>
      </c>
      <c r="H754" s="2" t="s">
        <v>214</v>
      </c>
      <c r="I754" s="2" t="str">
        <f>IFERROR(__xludf.DUMMYFUNCTION("GOOGLETRANSLATE(C754,""fr"",""en"")"),"GMF answers below everything, see disrespectful and rude, when it comes to diligent expertise at my request concerning lubrizol damage. It was however simple: identified opponent, press articles noting the disaster.")</f>
        <v>GMF answers below everything, see disrespectful and rude, when it comes to diligent expertise at my request concerning lubrizol damage. It was however simple: identified opponent, press articles noting the disaster.</v>
      </c>
    </row>
    <row r="755" ht="15.75" customHeight="1">
      <c r="B755" s="2" t="s">
        <v>2133</v>
      </c>
      <c r="C755" s="2" t="s">
        <v>2134</v>
      </c>
      <c r="D755" s="2" t="s">
        <v>2048</v>
      </c>
      <c r="E755" s="2" t="s">
        <v>1679</v>
      </c>
      <c r="F755" s="2" t="s">
        <v>15</v>
      </c>
      <c r="G755" s="2" t="s">
        <v>2135</v>
      </c>
      <c r="H755" s="2" t="s">
        <v>380</v>
      </c>
      <c r="I755" s="2" t="str">
        <f>IFERROR(__xludf.DUMMYFUNCTION("GOOGLETRANSLATE(C755,""fr"",""en"")"),"To flee ! A non -existent sinister service. Do not even try to call them. They do not exist. During opening hours have a answer telling you that they are busy and during closing hours you have an answering machine who gives you the opening hours. In short"&amp;", you only have an answering machine as an interlocutor. Insurance to flee and yet I have been there for 40 years. Never had real claims so far. As soon as I can leave them")</f>
        <v>To flee ! A non -existent sinister service. Do not even try to call them. They do not exist. During opening hours have a answer telling you that they are busy and during closing hours you have an answering machine who gives you the opening hours. In short, you only have an answering machine as an interlocutor. Insurance to flee and yet I have been there for 40 years. Never had real claims so far. As soon as I can leave them</v>
      </c>
    </row>
    <row r="756" ht="15.75" customHeight="1">
      <c r="B756" s="2" t="s">
        <v>2136</v>
      </c>
      <c r="C756" s="2" t="s">
        <v>2137</v>
      </c>
      <c r="D756" s="2" t="s">
        <v>2048</v>
      </c>
      <c r="E756" s="2" t="s">
        <v>1679</v>
      </c>
      <c r="F756" s="2" t="s">
        <v>15</v>
      </c>
      <c r="G756" s="2" t="s">
        <v>2135</v>
      </c>
      <c r="H756" s="2" t="s">
        <v>380</v>
      </c>
      <c r="I756" s="2" t="str">
        <f>IFERROR(__xludf.DUMMYFUNCTION("GOOGLETRANSLATE(C756,""fr"",""en"")"),"They do not take into account your requests for a change of contract when it is a request for change. In this case the passage of 2 apartments to be provided to 1, corresponding to a transition period between two apartments.")</f>
        <v>They do not take into account your requests for a change of contract when it is a request for change. In this case the passage of 2 apartments to be provided to 1, corresponding to a transition period between two apartments.</v>
      </c>
    </row>
    <row r="757" ht="15.75" customHeight="1">
      <c r="B757" s="2" t="s">
        <v>2138</v>
      </c>
      <c r="C757" s="2" t="s">
        <v>2139</v>
      </c>
      <c r="D757" s="2" t="s">
        <v>2048</v>
      </c>
      <c r="E757" s="2" t="s">
        <v>1679</v>
      </c>
      <c r="F757" s="2" t="s">
        <v>15</v>
      </c>
      <c r="G757" s="2" t="s">
        <v>2140</v>
      </c>
      <c r="H757" s="2" t="s">
        <v>384</v>
      </c>
      <c r="I757" s="2" t="str">
        <f>IFERROR(__xludf.DUMMYFUNCTION("GOOGLETRANSLATE(C757,""fr"",""en"")"),"Be careful before subscribing tried to reach the claim service and you will understand that it is better to choose another insurer: 0253552610")</f>
        <v>Be careful before subscribing tried to reach the claim service and you will understand that it is better to choose another insurer: 0253552610</v>
      </c>
    </row>
    <row r="758" ht="15.75" customHeight="1">
      <c r="B758" s="2" t="s">
        <v>2141</v>
      </c>
      <c r="C758" s="2" t="s">
        <v>2142</v>
      </c>
      <c r="D758" s="2" t="s">
        <v>2048</v>
      </c>
      <c r="E758" s="2" t="s">
        <v>1679</v>
      </c>
      <c r="F758" s="2" t="s">
        <v>15</v>
      </c>
      <c r="G758" s="2" t="s">
        <v>2140</v>
      </c>
      <c r="H758" s="2" t="s">
        <v>384</v>
      </c>
      <c r="I758" s="2" t="str">
        <f>IFERROR(__xludf.DUMMYFUNCTION("GOOGLETRANSLATE(C758,""fr"",""en"")"),"Following a claim that occurred in 2016 (natural disaster) compensation has still not taken place today (02/28/2020).
The ""Housing Damage"" service is very little responsive.
I am very unhappy
I strongly advise against this insurance")</f>
        <v>Following a claim that occurred in 2016 (natural disaster) compensation has still not taken place today (02/28/2020).
The "Housing Damage" service is very little responsive.
I am very unhappy
I strongly advise against this insurance</v>
      </c>
    </row>
    <row r="759" ht="15.75" customHeight="1">
      <c r="B759" s="2" t="s">
        <v>2143</v>
      </c>
      <c r="C759" s="2" t="s">
        <v>2144</v>
      </c>
      <c r="D759" s="2" t="s">
        <v>2048</v>
      </c>
      <c r="E759" s="2" t="s">
        <v>1679</v>
      </c>
      <c r="F759" s="2" t="s">
        <v>15</v>
      </c>
      <c r="G759" s="2" t="s">
        <v>2145</v>
      </c>
      <c r="H759" s="2" t="s">
        <v>222</v>
      </c>
      <c r="I759" s="2" t="str">
        <f>IFERROR(__xludf.DUMMYFUNCTION("GOOGLETRANSLATE(C759,""fr"",""en"")"),"Customer of the GMF for 40 years, all my contracts at home and since October a water damage, simple situation, no response to the quotes sent, dozens of unanswered calls, an unanswered registered letter, the only time I have could get the sinister service"&amp;" 5 days ago, after putting on hold we hung up ... without reminding me! Since yesterday, January 13, I have been told that the service does not resume until Monday, January 20. Thank you GMF.")</f>
        <v>Customer of the GMF for 40 years, all my contracts at home and since October a water damage, simple situation, no response to the quotes sent, dozens of unanswered calls, an unanswered registered letter, the only time I have could get the sinister service 5 days ago, after putting on hold we hung up ... without reminding me! Since yesterday, January 13, I have been told that the service does not resume until Monday, January 20. Thank you GMF.</v>
      </c>
    </row>
    <row r="760" ht="15.75" customHeight="1">
      <c r="B760" s="2" t="s">
        <v>2146</v>
      </c>
      <c r="C760" s="2" t="s">
        <v>2147</v>
      </c>
      <c r="D760" s="2" t="s">
        <v>2048</v>
      </c>
      <c r="E760" s="2" t="s">
        <v>1679</v>
      </c>
      <c r="F760" s="2" t="s">
        <v>15</v>
      </c>
      <c r="G760" s="2" t="s">
        <v>2148</v>
      </c>
      <c r="H760" s="2" t="s">
        <v>403</v>
      </c>
      <c r="I760" s="2" t="str">
        <f>IFERROR(__xludf.DUMMYFUNCTION("GOOGLETRANSLATE(C760,""fr"",""en"")"),"Since June 2019 Water damage. Op up abusive, unconted, un discreet, incompetent, partial, discriminatory expert, does not produce any photo, does not respect the ethical rules. Missing the bailiffs. Service complaint does not know anything in law.
You ha"&amp;"ve to group all companies and act together.
Thank you and happy new year")</f>
        <v>Since June 2019 Water damage. Op up abusive, unconted, un discreet, incompetent, partial, discriminatory expert, does not produce any photo, does not respect the ethical rules. Missing the bailiffs. Service complaint does not know anything in law.
You have to group all companies and act together.
Thank you and happy new year</v>
      </c>
    </row>
    <row r="761" ht="15.75" customHeight="1">
      <c r="B761" s="2" t="s">
        <v>2149</v>
      </c>
      <c r="C761" s="2" t="s">
        <v>2150</v>
      </c>
      <c r="D761" s="2" t="s">
        <v>2048</v>
      </c>
      <c r="E761" s="2" t="s">
        <v>1679</v>
      </c>
      <c r="F761" s="2" t="s">
        <v>15</v>
      </c>
      <c r="G761" s="2" t="s">
        <v>2151</v>
      </c>
      <c r="H761" s="2" t="s">
        <v>403</v>
      </c>
      <c r="I761" s="2" t="str">
        <f>IFERROR(__xludf.DUMMYFUNCTION("GOOGLETRANSLATE(C761,""fr"",""en"")"),"Following my parents, I have joined GMF since the 1970s.")</f>
        <v>Following my parents, I have joined GMF since the 1970s.</v>
      </c>
    </row>
    <row r="762" ht="15.75" customHeight="1">
      <c r="B762" s="2" t="s">
        <v>2152</v>
      </c>
      <c r="C762" s="2" t="s">
        <v>2006</v>
      </c>
      <c r="D762" s="2" t="s">
        <v>2048</v>
      </c>
      <c r="E762" s="2" t="s">
        <v>1679</v>
      </c>
      <c r="F762" s="2" t="s">
        <v>15</v>
      </c>
      <c r="G762" s="2" t="s">
        <v>1608</v>
      </c>
      <c r="H762" s="2" t="s">
        <v>403</v>
      </c>
      <c r="I762" s="2" t="str">
        <f>IFERROR(__xludf.DUMMYFUNCTION("GOOGLETRANSLATE(C762,""fr"",""en"")"),"Catastrophic")</f>
        <v>Catastrophic</v>
      </c>
    </row>
    <row r="763" ht="15.75" customHeight="1">
      <c r="B763" s="2" t="s">
        <v>2153</v>
      </c>
      <c r="C763" s="2" t="s">
        <v>2154</v>
      </c>
      <c r="D763" s="2" t="s">
        <v>2048</v>
      </c>
      <c r="E763" s="2" t="s">
        <v>1679</v>
      </c>
      <c r="F763" s="2" t="s">
        <v>15</v>
      </c>
      <c r="G763" s="2" t="s">
        <v>2155</v>
      </c>
      <c r="H763" s="2" t="s">
        <v>232</v>
      </c>
      <c r="I763" s="2" t="str">
        <f>IFERROR(__xludf.DUMMYFUNCTION("GOOGLETRANSLATE(C763,""fr"",""en"")"),"When you need an expert report, they turn a deaf ear, however you pay your contributions, then you have no choice you have to take a competent person to defend your interests")</f>
        <v>When you need an expert report, they turn a deaf ear, however you pay your contributions, then you have no choice you have to take a competent person to defend your interests</v>
      </c>
    </row>
    <row r="764" ht="15.75" customHeight="1">
      <c r="B764" s="2" t="s">
        <v>2156</v>
      </c>
      <c r="C764" s="2" t="s">
        <v>2157</v>
      </c>
      <c r="D764" s="2" t="s">
        <v>2048</v>
      </c>
      <c r="E764" s="2" t="s">
        <v>1679</v>
      </c>
      <c r="F764" s="2" t="s">
        <v>15</v>
      </c>
      <c r="G764" s="2" t="s">
        <v>2158</v>
      </c>
      <c r="H764" s="2" t="s">
        <v>232</v>
      </c>
      <c r="I764" s="2" t="str">
        <f>IFERROR(__xludf.DUMMYFUNCTION("GOOGLETRANSLATE(C764,""fr"",""en"")"),"To avoid absolutely. In the event of a claim, physical agencies say they can do nothing. They give you a specific telephone number for claims. You can try every day, every hour, the message is the same (all our advisers are busy please contact us)
It's b"&amp;"een 2 months since I had a water damage. The declaration is made on the internet. My file is open, I sent several emails, phone call, agency passages and nothing. Nothing at all.
The worst is that I received an email lately to tell me not to forget to pa"&amp;"y my new subscription before December 22 for next year. I am furious. My parquet floor has been completely fucked up for 2 months. A shame this insurance.")</f>
        <v>To avoid absolutely. In the event of a claim, physical agencies say they can do nothing. They give you a specific telephone number for claims. You can try every day, every hour, the message is the same (all our advisers are busy please contact us)
It's been 2 months since I had a water damage. The declaration is made on the internet. My file is open, I sent several emails, phone call, agency passages and nothing. Nothing at all.
The worst is that I received an email lately to tell me not to forget to pay my new subscription before December 22 for next year. I am furious. My parquet floor has been completely fucked up for 2 months. A shame this insurance.</v>
      </c>
    </row>
    <row r="765" ht="15.75" customHeight="1">
      <c r="B765" s="2" t="s">
        <v>2159</v>
      </c>
      <c r="C765" s="2" t="s">
        <v>2160</v>
      </c>
      <c r="D765" s="2" t="s">
        <v>2048</v>
      </c>
      <c r="E765" s="2" t="s">
        <v>1679</v>
      </c>
      <c r="F765" s="2" t="s">
        <v>15</v>
      </c>
      <c r="G765" s="2" t="s">
        <v>2161</v>
      </c>
      <c r="H765" s="2" t="s">
        <v>232</v>
      </c>
      <c r="I765" s="2" t="str">
        <f>IFERROR(__xludf.DUMMYFUNCTION("GOOGLETRANSLATE(C765,""fr"",""en"")"),"Fire in my garage on September 11 The expert requests the passage of decontamination and advances, since nothing unstoppable sinister service does not respond to email, customer service reachable they will remind you of the file is complete")</f>
        <v>Fire in my garage on September 11 The expert requests the passage of decontamination and advances, since nothing unstoppable sinister service does not respond to email, customer service reachable they will remind you of the file is complete</v>
      </c>
    </row>
    <row r="766" ht="15.75" customHeight="1">
      <c r="B766" s="2" t="s">
        <v>2162</v>
      </c>
      <c r="C766" s="2" t="s">
        <v>2163</v>
      </c>
      <c r="D766" s="2" t="s">
        <v>2048</v>
      </c>
      <c r="E766" s="2" t="s">
        <v>1679</v>
      </c>
      <c r="F766" s="2" t="s">
        <v>15</v>
      </c>
      <c r="G766" s="2" t="s">
        <v>2164</v>
      </c>
      <c r="H766" s="2" t="s">
        <v>959</v>
      </c>
      <c r="I766" s="2" t="str">
        <f>IFERROR(__xludf.DUMMYFUNCTION("GOOGLETRANSLATE(C766,""fr"",""en"")"),"Hello,
Following a fire, the G M F dispatched me an expert who in its kind aspect drives the member by estimating your property in dilapidates and everything is fired down. In addition to topping all the risk service works only 3 days From 9 a.m. to 12 p"&amp;".m. (Monday, Tuesday and Thursday in my region).
")</f>
        <v>Hello,
Following a fire, the G M F dispatched me an expert who in its kind aspect drives the member by estimating your property in dilapidates and everything is fired down. In addition to topping all the risk service works only 3 days From 9 a.m. to 12 p.m. (Monday, Tuesday and Thursday in my region).
</v>
      </c>
    </row>
    <row r="767" ht="15.75" customHeight="1">
      <c r="B767" s="2" t="s">
        <v>2165</v>
      </c>
      <c r="C767" s="2" t="s">
        <v>2166</v>
      </c>
      <c r="D767" s="2" t="s">
        <v>2048</v>
      </c>
      <c r="E767" s="2" t="s">
        <v>1679</v>
      </c>
      <c r="F767" s="2" t="s">
        <v>15</v>
      </c>
      <c r="G767" s="2" t="s">
        <v>2167</v>
      </c>
      <c r="H767" s="2" t="s">
        <v>959</v>
      </c>
      <c r="I767" s="2" t="str">
        <f>IFERROR(__xludf.DUMMYFUNCTION("GOOGLETRANSLATE(C767,""fr"",""en"")"),"Insured for decades, following a flight they just reimbursed the broken window and the intervention. For the rest nothing absolutely nothing and totally unpleasant on the phone. So stop I changed for an insurer nearby to whom I can contact myself with a h"&amp;"ead to face in the event of a bp.")</f>
        <v>Insured for decades, following a flight they just reimbursed the broken window and the intervention. For the rest nothing absolutely nothing and totally unpleasant on the phone. So stop I changed for an insurer nearby to whom I can contact myself with a head to face in the event of a bp.</v>
      </c>
    </row>
    <row r="768" ht="15.75" customHeight="1">
      <c r="B768" s="2" t="s">
        <v>2168</v>
      </c>
      <c r="C768" s="2" t="s">
        <v>2169</v>
      </c>
      <c r="D768" s="2" t="s">
        <v>2048</v>
      </c>
      <c r="E768" s="2" t="s">
        <v>1679</v>
      </c>
      <c r="F768" s="2" t="s">
        <v>15</v>
      </c>
      <c r="G768" s="2" t="s">
        <v>2170</v>
      </c>
      <c r="H768" s="2" t="s">
        <v>959</v>
      </c>
      <c r="I768" s="2" t="str">
        <f>IFERROR(__xludf.DUMMYFUNCTION("GOOGLETRANSLATE(C768,""fr"",""en"")"),"We were robbed in our vacation rental 2 months ago and today our file was not processed I wonder about the reliability of our GMF insurance")</f>
        <v>We were robbed in our vacation rental 2 months ago and today our file was not processed I wonder about the reliability of our GMF insurance</v>
      </c>
    </row>
    <row r="769" ht="15.75" customHeight="1">
      <c r="B769" s="2" t="s">
        <v>2171</v>
      </c>
      <c r="C769" s="2" t="s">
        <v>2172</v>
      </c>
      <c r="D769" s="2" t="s">
        <v>2048</v>
      </c>
      <c r="E769" s="2" t="s">
        <v>1679</v>
      </c>
      <c r="F769" s="2" t="s">
        <v>15</v>
      </c>
      <c r="G769" s="2" t="s">
        <v>1249</v>
      </c>
      <c r="H769" s="2" t="s">
        <v>959</v>
      </c>
      <c r="I769" s="2" t="str">
        <f>IFERROR(__xludf.DUMMYFUNCTION("GOOGLETRANSLATE(C769,""fr"",""en"")"),"File open since the beginning of July impossible to reach the sinister service. It is closed exceptionally all week Be it cannot answer, or then the disc in loop that it will answer us but nothing. The commercial service does not even manage to reach them"&amp;".")</f>
        <v>File open since the beginning of July impossible to reach the sinister service. It is closed exceptionally all week Be it cannot answer, or then the disc in loop that it will answer us but nothing. The commercial service does not even manage to reach them.</v>
      </c>
    </row>
    <row r="770" ht="15.75" customHeight="1">
      <c r="B770" s="2" t="s">
        <v>2173</v>
      </c>
      <c r="C770" s="2" t="s">
        <v>2174</v>
      </c>
      <c r="D770" s="2" t="s">
        <v>2048</v>
      </c>
      <c r="E770" s="2" t="s">
        <v>1679</v>
      </c>
      <c r="F770" s="2" t="s">
        <v>15</v>
      </c>
      <c r="G770" s="2" t="s">
        <v>419</v>
      </c>
      <c r="H770" s="2" t="s">
        <v>413</v>
      </c>
      <c r="I770" s="2" t="str">
        <f>IFERROR(__xludf.DUMMYFUNCTION("GOOGLETRANSLATE(C770,""fr"",""en"")"),"We had a disaster, we declared it at mid June. No answer, we have contact the sinister service but impossible to have a person the service is open from 10 a.m. to 5 p.m. closed at noon
We sent emails and letters no response")</f>
        <v>We had a disaster, we declared it at mid June. No answer, we have contact the sinister service but impossible to have a person the service is open from 10 a.m. to 5 p.m. closed at noon
We sent emails and letters no response</v>
      </c>
    </row>
    <row r="771" ht="15.75" customHeight="1">
      <c r="B771" s="2" t="s">
        <v>2175</v>
      </c>
      <c r="C771" s="2" t="s">
        <v>2176</v>
      </c>
      <c r="D771" s="2" t="s">
        <v>2048</v>
      </c>
      <c r="E771" s="2" t="s">
        <v>1679</v>
      </c>
      <c r="F771" s="2" t="s">
        <v>15</v>
      </c>
      <c r="G771" s="2" t="s">
        <v>2177</v>
      </c>
      <c r="H771" s="2" t="s">
        <v>413</v>
      </c>
      <c r="I771" s="2" t="str">
        <f>IFERROR(__xludf.DUMMYFUNCTION("GOOGLETRANSLATE(C771,""fr"",""en"")"),"Terminated from home insurance owner non -occupying a building 5 dwellings after 20 years of subscription. Motive 3 water damage in the last five years but only 5 over 20 years!")</f>
        <v>Terminated from home insurance owner non -occupying a building 5 dwellings after 20 years of subscription. Motive 3 water damage in the last five years but only 5 over 20 years!</v>
      </c>
    </row>
    <row r="772" ht="15.75" customHeight="1">
      <c r="B772" s="2" t="s">
        <v>2178</v>
      </c>
      <c r="C772" s="2" t="s">
        <v>2179</v>
      </c>
      <c r="D772" s="2" t="s">
        <v>2048</v>
      </c>
      <c r="E772" s="2" t="s">
        <v>1679</v>
      </c>
      <c r="F772" s="2" t="s">
        <v>15</v>
      </c>
      <c r="G772" s="2" t="s">
        <v>2180</v>
      </c>
      <c r="H772" s="2" t="s">
        <v>413</v>
      </c>
      <c r="I772" s="2" t="str">
        <f>IFERROR(__xludf.DUMMYFUNCTION("GOOGLETRANSLATE(C772,""fr"",""en"")"),"Lack of consideration and seriousness. The files can drag in length. No update. Action called on the phone is not actually followed. And we start again. In my opinion, they do everything to make people abandon. Insurer to avoid.")</f>
        <v>Lack of consideration and seriousness. The files can drag in length. No update. Action called on the phone is not actually followed. And we start again. In my opinion, they do everything to make people abandon. Insurer to avoid.</v>
      </c>
    </row>
    <row r="773" ht="15.75" customHeight="1">
      <c r="B773" s="2" t="s">
        <v>2181</v>
      </c>
      <c r="C773" s="2" t="s">
        <v>2182</v>
      </c>
      <c r="D773" s="2" t="s">
        <v>2048</v>
      </c>
      <c r="E773" s="2" t="s">
        <v>1679</v>
      </c>
      <c r="F773" s="2" t="s">
        <v>15</v>
      </c>
      <c r="G773" s="2" t="s">
        <v>2183</v>
      </c>
      <c r="H773" s="2" t="s">
        <v>1620</v>
      </c>
      <c r="I773" s="2" t="str">
        <f>IFERROR(__xludf.DUMMYFUNCTION("GOOGLETRANSLATE(C773,""fr"",""en"")"),"During my subscription, I had not been told that my household appliances were insured 7 years!
I taught it to my depending on a loss from to thunderstorms!")</f>
        <v>During my subscription, I had not been told that my household appliances were insured 7 years!
I taught it to my depending on a loss from to thunderstorms!</v>
      </c>
    </row>
    <row r="774" ht="15.75" customHeight="1">
      <c r="B774" s="2" t="s">
        <v>2184</v>
      </c>
      <c r="C774" s="2" t="s">
        <v>2185</v>
      </c>
      <c r="D774" s="2" t="s">
        <v>2048</v>
      </c>
      <c r="E774" s="2" t="s">
        <v>1679</v>
      </c>
      <c r="F774" s="2" t="s">
        <v>15</v>
      </c>
      <c r="G774" s="2" t="s">
        <v>2186</v>
      </c>
      <c r="H774" s="2" t="s">
        <v>1620</v>
      </c>
      <c r="I774" s="2" t="str">
        <f>IFERROR(__xludf.DUMMYFUNCTION("GOOGLETRANSLATE(C774,""fr"",""en"")"),"RUN AWAY!!! ( it is done); Victim of degradations on my fence by a vehicle that has embedded in a concrete stud facing my home, and, an exploded engine, full of hot oil on the walls and gate. Passage of the GMF expert who gives me the green light for repa"&amp;"ir; And, a big setback of GMF, the expert has the right to be wrong !!!! Witnesses are needed; I provide 5 including the gendarmerie, the town hall and 3 witnesses of passage. Indeed they are witnesses, but not witness the projection of the oil that comes"&amp;" out of the engine and propels itself on the wall. (For them, I certainly boil the oil and I threw it on my wall !!! therefore refusal of compensation. Bad evident liver; Impossible to join by Tel, no response to the many emails except a letter which tell"&amp;"s me that I have very little chance of obtaining something. They received my terminations (5 in total) today; there I think that their phone will work again !!!!! Goodbye GMF and no advertising on my part except bad! A former GMF client very reassembled !"&amp;"!")</f>
        <v>RUN AWAY!!! ( it is done); Victim of degradations on my fence by a vehicle that has embedded in a concrete stud facing my home, and, an exploded engine, full of hot oil on the walls and gate. Passage of the GMF expert who gives me the green light for repair; And, a big setback of GMF, the expert has the right to be wrong !!!! Witnesses are needed; I provide 5 including the gendarmerie, the town hall and 3 witnesses of passage. Indeed they are witnesses, but not witness the projection of the oil that comes out of the engine and propels itself on the wall. (For them, I certainly boil the oil and I threw it on my wall !!! therefore refusal of compensation. Bad evident liver; Impossible to join by Tel, no response to the many emails except a letter which tells me that I have very little chance of obtaining something. They received my terminations (5 in total) today; there I think that their phone will work again !!!!! Goodbye GMF and no advertising on my part except bad! A former GMF client very reassembled !!</v>
      </c>
    </row>
    <row r="775" ht="15.75" customHeight="1">
      <c r="B775" s="2" t="s">
        <v>2187</v>
      </c>
      <c r="C775" s="2" t="s">
        <v>2188</v>
      </c>
      <c r="D775" s="2" t="s">
        <v>2048</v>
      </c>
      <c r="E775" s="2" t="s">
        <v>1679</v>
      </c>
      <c r="F775" s="2" t="s">
        <v>15</v>
      </c>
      <c r="G775" s="2" t="s">
        <v>2189</v>
      </c>
      <c r="H775" s="2" t="s">
        <v>1624</v>
      </c>
      <c r="I775" s="2" t="str">
        <f>IFERROR(__xludf.DUMMYFUNCTION("GOOGLETRANSLATE(C775,""fr"",""en"")"),"Awful! Run away. If you like problems (even if you are the victim of a disaster) and especially if you need nothing, then make sure the GMF. Whether it is 1 water damage or 1 burglary, you will be completely delivered to yourself. Different versions for 1"&amp;" same question, no online advisor, you are asked for documents that you cannot have, you are told to take the time to read your contract at the time of your burglary because everything is noted in it. We answer you ""I don't know it's the claims managemen"&amp;"t cell that takes care of this"" but the claims management cell is absent subscribers .... lamentable. I have been assured GMF for over 8 years. As long as I had no claim everything was fine and the GMF cashed my check. But at the slightest water damage i"&amp;"t became a problem .... On the birthday date I would end my contract.")</f>
        <v>Awful! Run away. If you like problems (even if you are the victim of a disaster) and especially if you need nothing, then make sure the GMF. Whether it is 1 water damage or 1 burglary, you will be completely delivered to yourself. Different versions for 1 same question, no online advisor, you are asked for documents that you cannot have, you are told to take the time to read your contract at the time of your burglary because everything is noted in it. We answer you "I don't know it's the claims management cell that takes care of this" but the claims management cell is absent subscribers .... lamentable. I have been assured GMF for over 8 years. As long as I had no claim everything was fine and the GMF cashed my check. But at the slightest water damage it became a problem .... On the birthday date I would end my contract.</v>
      </c>
    </row>
    <row r="776" ht="15.75" customHeight="1">
      <c r="B776" s="2" t="s">
        <v>2190</v>
      </c>
      <c r="C776" s="2" t="s">
        <v>2191</v>
      </c>
      <c r="D776" s="2" t="s">
        <v>2048</v>
      </c>
      <c r="E776" s="2" t="s">
        <v>1679</v>
      </c>
      <c r="F776" s="2" t="s">
        <v>15</v>
      </c>
      <c r="G776" s="2" t="s">
        <v>2192</v>
      </c>
      <c r="H776" s="2" t="s">
        <v>1624</v>
      </c>
      <c r="I776" s="2" t="str">
        <f>IFERROR(__xludf.DUMMYFUNCTION("GOOGLETRANSLATE(C776,""fr"",""en"")"),"No contact with the services the staff of the agencies very well but are there simply to sell contracts and have no way to find out about an in progress")</f>
        <v>No contact with the services the staff of the agencies very well but are there simply to sell contracts and have no way to find out about an in progress</v>
      </c>
    </row>
    <row r="777" ht="15.75" customHeight="1">
      <c r="B777" s="2" t="s">
        <v>2193</v>
      </c>
      <c r="C777" s="2" t="s">
        <v>2194</v>
      </c>
      <c r="D777" s="2" t="s">
        <v>2048</v>
      </c>
      <c r="E777" s="2" t="s">
        <v>1679</v>
      </c>
      <c r="F777" s="2" t="s">
        <v>15</v>
      </c>
      <c r="G777" s="2" t="s">
        <v>2195</v>
      </c>
      <c r="H777" s="2" t="s">
        <v>1624</v>
      </c>
      <c r="I777" s="2" t="str">
        <f>IFERROR(__xludf.DUMMYFUNCTION("GOOGLETRANSLATE(C777,""fr"",""en"")"),"No serious follow -up. GMF / Dynamic interface leaving something to be desired. Avoid for home insurance.")</f>
        <v>No serious follow -up. GMF / Dynamic interface leaving something to be desired. Avoid for home insurance.</v>
      </c>
    </row>
    <row r="778" ht="15.75" customHeight="1">
      <c r="B778" s="2" t="s">
        <v>2196</v>
      </c>
      <c r="C778" s="2" t="s">
        <v>2197</v>
      </c>
      <c r="D778" s="2" t="s">
        <v>2048</v>
      </c>
      <c r="E778" s="2" t="s">
        <v>1679</v>
      </c>
      <c r="F778" s="2" t="s">
        <v>15</v>
      </c>
      <c r="G778" s="2" t="s">
        <v>2198</v>
      </c>
      <c r="H778" s="2" t="s">
        <v>1624</v>
      </c>
      <c r="I778" s="2" t="str">
        <f>IFERROR(__xludf.DUMMYFUNCTION("GOOGLETRANSLATE(C778,""fr"",""en"")"),"Ski accident
I called before going to skis I told me that I was
Skis fall
We don't cover you because you are not insured within 30 km from your home living in Savoy I will not go skiing in Paris")</f>
        <v>Ski accident
I called before going to skis I told me that I was
Skis fall
We don't cover you because you are not insured within 30 km from your home living in Savoy I will not go skiing in Paris</v>
      </c>
    </row>
    <row r="779" ht="15.75" customHeight="1">
      <c r="B779" s="2" t="s">
        <v>2199</v>
      </c>
      <c r="C779" s="2" t="s">
        <v>2200</v>
      </c>
      <c r="D779" s="2" t="s">
        <v>2048</v>
      </c>
      <c r="E779" s="2" t="s">
        <v>1679</v>
      </c>
      <c r="F779" s="2" t="s">
        <v>15</v>
      </c>
      <c r="G779" s="2" t="s">
        <v>2201</v>
      </c>
      <c r="H779" s="2" t="s">
        <v>423</v>
      </c>
      <c r="I779" s="2" t="str">
        <f>IFERROR(__xludf.DUMMYFUNCTION("GOOGLETRANSLATE(C779,""fr"",""en"")"),"Insurer having imposed the termination of the contract after a claim ...
And again, we had it. Lucky that the agency director gives us time to find another insurance before terminating ourselves !!!")</f>
        <v>Insurer having imposed the termination of the contract after a claim ...
And again, we had it. Lucky that the agency director gives us time to find another insurance before terminating ourselves !!!</v>
      </c>
    </row>
    <row r="780" ht="15.75" customHeight="1">
      <c r="B780" s="2" t="s">
        <v>2202</v>
      </c>
      <c r="C780" s="2" t="s">
        <v>2203</v>
      </c>
      <c r="D780" s="2" t="s">
        <v>2048</v>
      </c>
      <c r="E780" s="2" t="s">
        <v>1679</v>
      </c>
      <c r="F780" s="2" t="s">
        <v>15</v>
      </c>
      <c r="G780" s="2" t="s">
        <v>967</v>
      </c>
      <c r="H780" s="2" t="s">
        <v>423</v>
      </c>
      <c r="I780" s="2" t="str">
        <f>IFERROR(__xludf.DUMMYFUNCTION("GOOGLETRANSLATE(C780,""fr"",""en"")"),"My mother has been in Ehpad for more than 1 year, and since then the GMF site to follow her contracts is closed to me;
Now I am his legal tutor in decision of a district court and despite everything the GMF refuses me access to the words of security, or "&amp;"non -digital solution!
Fucking mouth when you know that I have access to my mother's financial management, her life insurance, her accounts and that an insurer prides himself not to apply the law and let me manage his contracts, knowing that unfortunatel"&amp;"y for She had 2 EHPAD incidents, of which I do not have the vision of follow -up.
I called several times,
I took RV in agency near my home
I wrote to their communication service and the response and laughable ""no solution to the digital level"".
I wi"&amp;"ll write for an appeal,
But will that be enough? Has anyone had this type of ubiquitous settling?
Thank you for your help
Gérard
")</f>
        <v>My mother has been in Ehpad for more than 1 year, and since then the GMF site to follow her contracts is closed to me;
Now I am his legal tutor in decision of a district court and despite everything the GMF refuses me access to the words of security, or non -digital solution!
Fucking mouth when you know that I have access to my mother's financial management, her life insurance, her accounts and that an insurer prides himself not to apply the law and let me manage his contracts, knowing that unfortunately for She had 2 EHPAD incidents, of which I do not have the vision of follow -up.
I called several times,
I took RV in agency near my home
I wrote to their communication service and the response and laughable "no solution to the digital level".
I will write for an appeal,
But will that be enough? Has anyone had this type of ubiquitous settling?
Thank you for your help
Gérard
</v>
      </c>
    </row>
    <row r="781" ht="15.75" customHeight="1">
      <c r="B781" s="2" t="s">
        <v>2204</v>
      </c>
      <c r="C781" s="2" t="s">
        <v>2205</v>
      </c>
      <c r="D781" s="2" t="s">
        <v>2048</v>
      </c>
      <c r="E781" s="2" t="s">
        <v>1679</v>
      </c>
      <c r="F781" s="2" t="s">
        <v>15</v>
      </c>
      <c r="G781" s="2" t="s">
        <v>2206</v>
      </c>
      <c r="H781" s="2" t="s">
        <v>423</v>
      </c>
      <c r="I781" s="2" t="str">
        <f>IFERROR(__xludf.DUMMYFUNCTION("GOOGLETRANSLATE(C781,""fr"",""en"")"),"Electric disaster not supported because it is a mobile home despite a contribution of five hundred euros per year still set in time. For them this is normal for a mobile home contract.
")</f>
        <v>Electric disaster not supported because it is a mobile home despite a contribution of five hundred euros per year still set in time. For them this is normal for a mobile home contract.
</v>
      </c>
    </row>
    <row r="782" ht="15.75" customHeight="1">
      <c r="B782" s="2" t="s">
        <v>2207</v>
      </c>
      <c r="C782" s="2" t="s">
        <v>2208</v>
      </c>
      <c r="D782" s="2" t="s">
        <v>2048</v>
      </c>
      <c r="E782" s="2" t="s">
        <v>1679</v>
      </c>
      <c r="F782" s="2" t="s">
        <v>15</v>
      </c>
      <c r="G782" s="2" t="s">
        <v>2209</v>
      </c>
      <c r="H782" s="2" t="s">
        <v>236</v>
      </c>
      <c r="I782" s="2" t="str">
        <f>IFERROR(__xludf.DUMMYFUNCTION("GOOGLETRANSLATE(C782,""fr"",""en"")"),"The obstacle course to terminate. Malpolis and aggressive passive customer service. Among the insurer that I will formally exclude for all my needs in the future")</f>
        <v>The obstacle course to terminate. Malpolis and aggressive passive customer service. Among the insurer that I will formally exclude for all my needs in the future</v>
      </c>
    </row>
    <row r="783" ht="15.75" customHeight="1">
      <c r="B783" s="2" t="s">
        <v>2210</v>
      </c>
      <c r="C783" s="2" t="s">
        <v>2211</v>
      </c>
      <c r="D783" s="2" t="s">
        <v>2048</v>
      </c>
      <c r="E783" s="2" t="s">
        <v>1679</v>
      </c>
      <c r="F783" s="2" t="s">
        <v>15</v>
      </c>
      <c r="G783" s="2" t="s">
        <v>1754</v>
      </c>
      <c r="H783" s="2" t="s">
        <v>236</v>
      </c>
      <c r="I783" s="2" t="str">
        <f>IFERROR(__xludf.DUMMYFUNCTION("GOOGLETRANSLATE(C783,""fr"",""en"")"),"As long as you pay, perfect, but when they have to do their job, it's another pair of the sleeve !! In addition we hang up on the nose if you have the misfortune to raise your tone a little. It is on that hidden behind his phone ...")</f>
        <v>As long as you pay, perfect, but when they have to do their job, it's another pair of the sleeve !! In addition we hang up on the nose if you have the misfortune to raise your tone a little. It is on that hidden behind his phone ...</v>
      </c>
    </row>
    <row r="784" ht="15.75" customHeight="1">
      <c r="B784" s="2" t="s">
        <v>2212</v>
      </c>
      <c r="C784" s="2" t="s">
        <v>2213</v>
      </c>
      <c r="D784" s="2" t="s">
        <v>2048</v>
      </c>
      <c r="E784" s="2" t="s">
        <v>1679</v>
      </c>
      <c r="F784" s="2" t="s">
        <v>15</v>
      </c>
      <c r="G784" s="2" t="s">
        <v>2214</v>
      </c>
      <c r="H784" s="2" t="s">
        <v>244</v>
      </c>
      <c r="I784" s="2" t="str">
        <f>IFERROR(__xludf.DUMMYFUNCTION("GOOGLETRANSLATE(C784,""fr"",""en"")"),"GMF if you find insurance that will not assure you you have made the right choice ................................. .................................................. .................................................. ....................................."&amp;"............. .....")</f>
        <v>GMF if you find insurance that will not assure you you have made the right choice ................................. .................................................. .................................................. .................................................. .....</v>
      </c>
    </row>
    <row r="785" ht="15.75" customHeight="1">
      <c r="B785" s="2" t="s">
        <v>2215</v>
      </c>
      <c r="C785" s="2" t="s">
        <v>2216</v>
      </c>
      <c r="D785" s="2" t="s">
        <v>2048</v>
      </c>
      <c r="E785" s="2" t="s">
        <v>1679</v>
      </c>
      <c r="F785" s="2" t="s">
        <v>15</v>
      </c>
      <c r="G785" s="2" t="s">
        <v>2217</v>
      </c>
      <c r="H785" s="2" t="s">
        <v>244</v>
      </c>
      <c r="I785" s="2" t="str">
        <f>IFERROR(__xludf.DUMMYFUNCTION("GOOGLETRANSLATE(C785,""fr"",""en"")"),"30 years of loyalty
Dear insurance mediocre service. Of course on paper. But the reality is very different.
It is time to conclude and stop being stupid and faithful. Useless")</f>
        <v>30 years of loyalty
Dear insurance mediocre service. Of course on paper. But the reality is very different.
It is time to conclude and stop being stupid and faithful. Useless</v>
      </c>
    </row>
    <row r="786" ht="15.75" customHeight="1">
      <c r="B786" s="2" t="s">
        <v>2218</v>
      </c>
      <c r="C786" s="2" t="s">
        <v>2219</v>
      </c>
      <c r="D786" s="2" t="s">
        <v>2048</v>
      </c>
      <c r="E786" s="2" t="s">
        <v>1679</v>
      </c>
      <c r="F786" s="2" t="s">
        <v>15</v>
      </c>
      <c r="G786" s="2" t="s">
        <v>1638</v>
      </c>
      <c r="H786" s="2" t="s">
        <v>248</v>
      </c>
      <c r="I786" s="2" t="str">
        <f>IFERROR(__xludf.DUMMYFUNCTION("GOOGLETRANSLATE(C786,""fr"",""en"")"),"A disaster. I have been paying my contributions for over 40 years with them. When finally I happen to me a succession of water damage (4 in two years), I have no compensation, the expert having changed version 4 times, and putting 4 months to make his rep"&amp;"ort (delay of 35 days maximum , legally) ... Over two years, all my phone calls (where politics seems to be to give you a different person each time by gradually being more and more unpleasant), rar, formal notice (at GMF , in the legal service, at the se"&amp;"rvice of complaints) remained dead letters. Actually no. I rectify: they have always ended up answering me. But by finding pretexts for their incompetence, often by returning the situation (until they question my identity at the Tel, when he asked us for "&amp;"all the evidence of it before he even had the slightest interlocutor!) ... I am at the stadium to call on the insurance mediator and intend to change insurance as soon as possible ...")</f>
        <v>A disaster. I have been paying my contributions for over 40 years with them. When finally I happen to me a succession of water damage (4 in two years), I have no compensation, the expert having changed version 4 times, and putting 4 months to make his report (delay of 35 days maximum , legally) ... Over two years, all my phone calls (where politics seems to be to give you a different person each time by gradually being more and more unpleasant), rar, formal notice (at GMF , in the legal service, at the service of complaints) remained dead letters. Actually no. I rectify: they have always ended up answering me. But by finding pretexts for their incompetence, often by returning the situation (until they question my identity at the Tel, when he asked us for all the evidence of it before he even had the slightest interlocutor!) ... I am at the stadium to call on the insurance mediator and intend to change insurance as soon as possible ...</v>
      </c>
    </row>
    <row r="787" ht="15.75" customHeight="1">
      <c r="B787" s="2" t="s">
        <v>2220</v>
      </c>
      <c r="C787" s="2" t="s">
        <v>2221</v>
      </c>
      <c r="D787" s="2" t="s">
        <v>2048</v>
      </c>
      <c r="E787" s="2" t="s">
        <v>1679</v>
      </c>
      <c r="F787" s="2" t="s">
        <v>15</v>
      </c>
      <c r="G787" s="2" t="s">
        <v>432</v>
      </c>
      <c r="H787" s="2" t="s">
        <v>248</v>
      </c>
      <c r="I787" s="2" t="str">
        <f>IFERROR(__xludf.DUMMYFUNCTION("GOOGLETRANSLATE(C787,""fr"",""en"")"),"I forgot to report 38 years to the GMF, the contracts, deleted.")</f>
        <v>I forgot to report 38 years to the GMF, the contracts, deleted.</v>
      </c>
    </row>
    <row r="788" ht="15.75" customHeight="1">
      <c r="B788" s="2" t="s">
        <v>2222</v>
      </c>
      <c r="C788" s="2" t="s">
        <v>2223</v>
      </c>
      <c r="D788" s="2" t="s">
        <v>2048</v>
      </c>
      <c r="E788" s="2" t="s">
        <v>1679</v>
      </c>
      <c r="F788" s="2" t="s">
        <v>15</v>
      </c>
      <c r="G788" s="2" t="s">
        <v>2224</v>
      </c>
      <c r="H788" s="2" t="s">
        <v>457</v>
      </c>
      <c r="I788" s="2" t="str">
        <f>IFERROR(__xludf.DUMMYFUNCTION("GOOGLETRANSLATE(C788,""fr"",""en"")"),"Watch out for costs for any changes to your contract even the most insignificant. I find it incredible. I will make the 91 pages of your general conditions. I had other project thank you gmf")</f>
        <v>Watch out for costs for any changes to your contract even the most insignificant. I find it incredible. I will make the 91 pages of your general conditions. I had other project thank you gmf</v>
      </c>
    </row>
    <row r="789" ht="15.75" customHeight="1">
      <c r="B789" s="2" t="s">
        <v>2225</v>
      </c>
      <c r="C789" s="2" t="s">
        <v>2226</v>
      </c>
      <c r="D789" s="2" t="s">
        <v>2048</v>
      </c>
      <c r="E789" s="2" t="s">
        <v>1679</v>
      </c>
      <c r="F789" s="2" t="s">
        <v>15</v>
      </c>
      <c r="G789" s="2" t="s">
        <v>2227</v>
      </c>
      <c r="H789" s="2" t="s">
        <v>252</v>
      </c>
      <c r="I789" s="2" t="str">
        <f>IFERROR(__xludf.DUMMYFUNCTION("GOOGLETRANSLATE(C789,""fr"",""en"")"),"A care that lasts more than two years, without any follow -up or intervention, the interlocutor is bad liver and the GMF prestaires of pure incompetence.
I have been a customer at GMF for more than 3 years and with a single disaster/incident to my credit"&amp;" and it is a burglary in a chic area of ​​the Ile de France.")</f>
        <v>A care that lasts more than two years, without any follow -up or intervention, the interlocutor is bad liver and the GMF prestaires of pure incompetence.
I have been a customer at GMF for more than 3 years and with a single disaster/incident to my credit and it is a burglary in a chic area of ​​the Ile de France.</v>
      </c>
    </row>
    <row r="790" ht="15.75" customHeight="1">
      <c r="B790" s="2" t="s">
        <v>2228</v>
      </c>
      <c r="C790" s="2" t="s">
        <v>2229</v>
      </c>
      <c r="D790" s="2" t="s">
        <v>2048</v>
      </c>
      <c r="E790" s="2" t="s">
        <v>1679</v>
      </c>
      <c r="F790" s="2" t="s">
        <v>15</v>
      </c>
      <c r="G790" s="2" t="s">
        <v>793</v>
      </c>
      <c r="H790" s="2" t="s">
        <v>252</v>
      </c>
      <c r="I790" s="2" t="str">
        <f>IFERROR(__xludf.DUMMYFUNCTION("GOOGLETRANSLATE(C790,""fr"",""en"")"),"Hello insurance that leaves you for a long time for a very long time on an answer and when he picks up was to hang up on the nose either to tell you to recall another day: recording in support")</f>
        <v>Hello insurance that leaves you for a long time for a very long time on an answer and when he picks up was to hang up on the nose either to tell you to recall another day: recording in support</v>
      </c>
    </row>
    <row r="791" ht="15.75" customHeight="1">
      <c r="B791" s="2" t="s">
        <v>2230</v>
      </c>
      <c r="C791" s="2" t="s">
        <v>2231</v>
      </c>
      <c r="D791" s="2" t="s">
        <v>2048</v>
      </c>
      <c r="E791" s="2" t="s">
        <v>1679</v>
      </c>
      <c r="F791" s="2" t="s">
        <v>15</v>
      </c>
      <c r="G791" s="2" t="s">
        <v>2232</v>
      </c>
      <c r="H791" s="2" t="s">
        <v>252</v>
      </c>
      <c r="I791" s="2" t="str">
        <f>IFERROR(__xludf.DUMMYFUNCTION("GOOGLETRANSLATE(C791,""fr"",""en"")"),"Water damage declared the same day of August 22, 2018, 1 quote on August 25 transmitted 2,277 euros The expert M indicates that it refuses the quote The metrics are too expensive it brings me closer to a Domus crafts with whom work, visit insurance, visit"&amp;" visit From the site sending the quote to the GMF on September 23, 2018 and since nothing I call every 2 days and a different version with each call (ref file 003345003z) to date the GMF mf mf m indicates that the expert has still not Recus on the quote f"&amp;"rom the company Domus we are on October 12, 2018, and the person tells me that it is in Domus to send to the expert and that they have the quote but they must print the email and scan it to send it To the expert on Monday, Oct 15, if by the expert would s"&amp;"till have received nothing. I contact the company Domus this day which indicates to me that in no case they have relation with the expert because it is manager of the disaster who opened the request for intervention be the GMF and that they have sent the "&amp;"quote! And we are in the middle of all this with a so -called full guaranteed contract and a 0 follow -up and coverage 0 support 0, 1 car, 1 motorcycle, a main residence a second home, a residence rented, risk insurance of life ..... we believe that they "&amp;"must absolutely go elsewhere because the contracts are in no way the reflection of the care;
Mail made on the GMF site .... always no response super customer follow -up")</f>
        <v>Water damage declared the same day of August 22, 2018, 1 quote on August 25 transmitted 2,277 euros The expert M indicates that it refuses the quote The metrics are too expensive it brings me closer to a Domus crafts with whom work, visit insurance, visit visit From the site sending the quote to the GMF on September 23, 2018 and since nothing I call every 2 days and a different version with each call (ref file 003345003z) to date the GMF mf mf m indicates that the expert has still not Recus on the quote from the company Domus we are on October 12, 2018, and the person tells me that it is in Domus to send to the expert and that they have the quote but they must print the email and scan it to send it To the expert on Monday, Oct 15, if by the expert would still have received nothing. I contact the company Domus this day which indicates to me that in no case they have relation with the expert because it is manager of the disaster who opened the request for intervention be the GMF and that they have sent the quote! And we are in the middle of all this with a so -called full guaranteed contract and a 0 follow -up and coverage 0 support 0, 1 car, 1 motorcycle, a main residence a second home, a residence rented, risk insurance of life ..... we believe that they must absolutely go elsewhere because the contracts are in no way the reflection of the care;
Mail made on the GMF site .... always no response super customer follow -up</v>
      </c>
    </row>
    <row r="792" ht="15.75" customHeight="1">
      <c r="B792" s="2" t="s">
        <v>2233</v>
      </c>
      <c r="C792" s="2" t="s">
        <v>2234</v>
      </c>
      <c r="D792" s="2" t="s">
        <v>2048</v>
      </c>
      <c r="E792" s="2" t="s">
        <v>1679</v>
      </c>
      <c r="F792" s="2" t="s">
        <v>15</v>
      </c>
      <c r="G792" s="2" t="s">
        <v>2235</v>
      </c>
      <c r="H792" s="2" t="s">
        <v>467</v>
      </c>
      <c r="I792" s="2" t="str">
        <f>IFERROR(__xludf.DUMMYFUNCTION("GOOGLETRANSLATE(C792,""fr"",""en"")"),"Worse than bankers, comparable to the vultures of pharmaceutical laboratorys, or to cigarette merchants who distribute disability or suicide cancers for their only profits and speculations")</f>
        <v>Worse than bankers, comparable to the vultures of pharmaceutical laboratorys, or to cigarette merchants who distribute disability or suicide cancers for their only profits and speculations</v>
      </c>
    </row>
    <row r="793" ht="15.75" customHeight="1">
      <c r="B793" s="2" t="s">
        <v>2236</v>
      </c>
      <c r="C793" s="2" t="s">
        <v>2237</v>
      </c>
      <c r="D793" s="2" t="s">
        <v>2048</v>
      </c>
      <c r="E793" s="2" t="s">
        <v>1679</v>
      </c>
      <c r="F793" s="2" t="s">
        <v>15</v>
      </c>
      <c r="G793" s="2" t="s">
        <v>2238</v>
      </c>
      <c r="H793" s="2" t="s">
        <v>1001</v>
      </c>
      <c r="I793" s="2" t="str">
        <f>IFERROR(__xludf.DUMMYFUNCTION("GOOGLETRANSLATE(C793,""fr"",""en"")"),"Very well as long as you have no worries ...
When you break something yourself, you have almost no coverage and when someone breaks something at home you have to hang on: you have to find a business and when no one wants to intervene because the work is "&amp;"too ungrateful And poorly paid you have to find a friend of a friend! Never seen!
Suddenly for 2 tiles to change the friend of my friend must produce a certificate where he indicates how much he wishes to be compensated, then the insurances must consult "&amp;"to decide what he will have: 10 euros an hour M ' We announced on the phone. A misery ... suddenly, I no longer have anyone for my work and the GMF has no solution to offer me !!!")</f>
        <v>Very well as long as you have no worries ...
When you break something yourself, you have almost no coverage and when someone breaks something at home you have to hang on: you have to find a business and when no one wants to intervene because the work is too ungrateful And poorly paid you have to find a friend of a friend! Never seen!
Suddenly for 2 tiles to change the friend of my friend must produce a certificate where he indicates how much he wishes to be compensated, then the insurances must consult to decide what he will have: 10 euros an hour M ' We announced on the phone. A misery ... suddenly, I no longer have anyone for my work and the GMF has no solution to offer me !!!</v>
      </c>
    </row>
    <row r="794" ht="15.75" customHeight="1">
      <c r="B794" s="2" t="s">
        <v>2239</v>
      </c>
      <c r="C794" s="2" t="s">
        <v>2240</v>
      </c>
      <c r="D794" s="2" t="s">
        <v>2048</v>
      </c>
      <c r="E794" s="2" t="s">
        <v>1679</v>
      </c>
      <c r="F794" s="2" t="s">
        <v>15</v>
      </c>
      <c r="G794" s="2" t="s">
        <v>2241</v>
      </c>
      <c r="H794" s="2" t="s">
        <v>1001</v>
      </c>
      <c r="I794" s="2" t="str">
        <f>IFERROR(__xludf.DUMMYFUNCTION("GOOGLETRANSLATE(C794,""fr"",""en"")"),"Impossible to contact your advisor live, obligation to go through the telephone platform which can do nothing apart from leaving him a message. I was taken by the GMF while following an address error in the cadastre they have still not terminated my old i"&amp;"nsurance. Ashamed. I have been trying to have my advisor for 2 weeks, nobody reminded me. I made an appointment online for next week by not even knowing if my advisor will be present.")</f>
        <v>Impossible to contact your advisor live, obligation to go through the telephone platform which can do nothing apart from leaving him a message. I was taken by the GMF while following an address error in the cadastre they have still not terminated my old insurance. Ashamed. I have been trying to have my advisor for 2 weeks, nobody reminded me. I made an appointment online for next week by not even knowing if my advisor will be present.</v>
      </c>
    </row>
    <row r="795" ht="15.75" customHeight="1">
      <c r="B795" s="2" t="s">
        <v>2242</v>
      </c>
      <c r="C795" s="2" t="s">
        <v>2243</v>
      </c>
      <c r="D795" s="2" t="s">
        <v>2048</v>
      </c>
      <c r="E795" s="2" t="s">
        <v>1679</v>
      </c>
      <c r="F795" s="2" t="s">
        <v>15</v>
      </c>
      <c r="G795" s="2" t="s">
        <v>1010</v>
      </c>
      <c r="H795" s="2" t="s">
        <v>256</v>
      </c>
      <c r="I795" s="2" t="str">
        <f>IFERROR(__xludf.DUMMYFUNCTION("GOOGLETRANSLATE(C795,""fr"",""en"")"),"Excellent for paying but disastrous in the event of a problem")</f>
        <v>Excellent for paying but disastrous in the event of a problem</v>
      </c>
    </row>
    <row r="796" ht="15.75" customHeight="1">
      <c r="B796" s="2" t="s">
        <v>2244</v>
      </c>
      <c r="C796" s="2" t="s">
        <v>2245</v>
      </c>
      <c r="D796" s="2" t="s">
        <v>2048</v>
      </c>
      <c r="E796" s="2" t="s">
        <v>1679</v>
      </c>
      <c r="F796" s="2" t="s">
        <v>15</v>
      </c>
      <c r="G796" s="2" t="s">
        <v>2246</v>
      </c>
      <c r="H796" s="2" t="s">
        <v>476</v>
      </c>
      <c r="I796" s="2" t="str">
        <f>IFERROR(__xludf.DUMMYFUNCTION("GOOGLETRANSLATE(C796,""fr"",""en"")"),"To flee !! No letter from the GMF from the expertise 6 months ago. From my 3 letters remain unanswered as well as my 2 complaints and my formal notice (all in R with AR). I only have the court to resolve the case !!")</f>
        <v>To flee !! No letter from the GMF from the expertise 6 months ago. From my 3 letters remain unanswered as well as my 2 complaints and my formal notice (all in R with AR). I only have the court to resolve the case !!</v>
      </c>
    </row>
    <row r="797" ht="15.75" customHeight="1">
      <c r="B797" s="2" t="s">
        <v>2247</v>
      </c>
      <c r="C797" s="2" t="s">
        <v>2248</v>
      </c>
      <c r="D797" s="2" t="s">
        <v>2048</v>
      </c>
      <c r="E797" s="2" t="s">
        <v>1679</v>
      </c>
      <c r="F797" s="2" t="s">
        <v>15</v>
      </c>
      <c r="G797" s="2" t="s">
        <v>2249</v>
      </c>
      <c r="H797" s="2" t="s">
        <v>264</v>
      </c>
      <c r="I797" s="2" t="str">
        <f>IFERROR(__xludf.DUMMYFUNCTION("GOOGLETRANSLATE(C797,""fr"",""en"")"),"Huge water damage, no help from the insurer. The present person is in fact a ""telegraphist"" who is content to put you in contact with a platform. They do not manage anything, are not of any help to you, the experts they send have only one idea in mind t"&amp;"o compensate you as little as possible! 1st expertise 7000 € to have the work done. We refused, asked for an approved company and suddenly it gives 1,40,000 € to the company. Except that the company refuses to do the work provided for pretending that it i"&amp;"s not paid enough. Flee this insurance, for them you are only good for paying!")</f>
        <v>Huge water damage, no help from the insurer. The present person is in fact a "telegraphist" who is content to put you in contact with a platform. They do not manage anything, are not of any help to you, the experts they send have only one idea in mind to compensate you as little as possible! 1st expertise 7000 € to have the work done. We refused, asked for an approved company and suddenly it gives 1,40,000 € to the company. Except that the company refuses to do the work provided for pretending that it is not paid enough. Flee this insurance, for them you are only good for paying!</v>
      </c>
    </row>
    <row r="798" ht="15.75" customHeight="1">
      <c r="B798" s="2" t="s">
        <v>2250</v>
      </c>
      <c r="C798" s="2" t="s">
        <v>2251</v>
      </c>
      <c r="D798" s="2" t="s">
        <v>2048</v>
      </c>
      <c r="E798" s="2" t="s">
        <v>1679</v>
      </c>
      <c r="F798" s="2" t="s">
        <v>15</v>
      </c>
      <c r="G798" s="2" t="s">
        <v>1355</v>
      </c>
      <c r="H798" s="2" t="s">
        <v>284</v>
      </c>
      <c r="I798" s="2" t="str">
        <f>IFERROR(__xludf.DUMMYFUNCTION("GOOGLETRANSLATE(C798,""fr"",""en"")"),"Do not ensure the GMF !!! Insured for 10 years, during a massive water damage (for which I was not responsible), length in the takeover on the part of the expert. This was followed by an aggravation of a claim making my accommodation unhealthy. The GMF to"&amp;"ok several months to ""industrial me"" and only paid me the equivalent of 2 months of rehousing when I stayed more than 7 months at the door of my home. She did not even compensate me for all of the sums advanced for the restoration of the apartment. I ha"&amp;"d to pay my pocket several thousand euros on the cost of the work")</f>
        <v>Do not ensure the GMF !!! Insured for 10 years, during a massive water damage (for which I was not responsible), length in the takeover on the part of the expert. This was followed by an aggravation of a claim making my accommodation unhealthy. The GMF took several months to "industrial me" and only paid me the equivalent of 2 months of rehousing when I stayed more than 7 months at the door of my home. She did not even compensate me for all of the sums advanced for the restoration of the apartment. I had to pay my pocket several thousand euros on the cost of the work</v>
      </c>
    </row>
    <row r="799" ht="15.75" customHeight="1">
      <c r="B799" s="2" t="s">
        <v>2252</v>
      </c>
      <c r="C799" s="2" t="s">
        <v>2253</v>
      </c>
      <c r="D799" s="2" t="s">
        <v>2048</v>
      </c>
      <c r="E799" s="2" t="s">
        <v>1679</v>
      </c>
      <c r="F799" s="2" t="s">
        <v>15</v>
      </c>
      <c r="G799" s="2" t="s">
        <v>2254</v>
      </c>
      <c r="H799" s="2" t="s">
        <v>284</v>
      </c>
      <c r="I799" s="2" t="str">
        <f>IFERROR(__xludf.DUMMYFUNCTION("GOOGLETRANSLATE(C799,""fr"",""en"")"),"Two claims in one year ‘Electric damage and water damage: impeccable")</f>
        <v>Two claims in one year ‘Electric damage and water damage: impeccable</v>
      </c>
    </row>
    <row r="800" ht="15.75" customHeight="1">
      <c r="B800" s="2" t="s">
        <v>2255</v>
      </c>
      <c r="C800" s="2" t="s">
        <v>2256</v>
      </c>
      <c r="D800" s="2" t="s">
        <v>2048</v>
      </c>
      <c r="E800" s="2" t="s">
        <v>1679</v>
      </c>
      <c r="F800" s="2" t="s">
        <v>15</v>
      </c>
      <c r="G800" s="2" t="s">
        <v>2257</v>
      </c>
      <c r="H800" s="2" t="s">
        <v>284</v>
      </c>
      <c r="I800" s="2" t="str">
        <f>IFERROR(__xludf.DUMMYFUNCTION("GOOGLETRANSLATE(C800,""fr"",""en"")"),"Following a damage of the waters suffered by a neighbor. The management of the work by the GMF is zero. The expert from Elex Nimes disrespectful and incompetent. The work is done without much conviction and the result zero. Following a complaint, the expe"&amp;"rt comes to tell us that everything goes well for him. We will go to court to have a legal expert named because you should know that Elex is a subsidiary of the GMF. We will terminate all our contracts. This is what they won.")</f>
        <v>Following a damage of the waters suffered by a neighbor. The management of the work by the GMF is zero. The expert from Elex Nimes disrespectful and incompetent. The work is done without much conviction and the result zero. Following a complaint, the expert comes to tell us that everything goes well for him. We will go to court to have a legal expert named because you should know that Elex is a subsidiary of the GMF. We will terminate all our contracts. This is what they won.</v>
      </c>
    </row>
    <row r="801" ht="15.75" customHeight="1">
      <c r="B801" s="2" t="s">
        <v>2258</v>
      </c>
      <c r="C801" s="2" t="s">
        <v>2259</v>
      </c>
      <c r="D801" s="2" t="s">
        <v>2048</v>
      </c>
      <c r="E801" s="2" t="s">
        <v>1679</v>
      </c>
      <c r="F801" s="2" t="s">
        <v>15</v>
      </c>
      <c r="G801" s="2" t="s">
        <v>1361</v>
      </c>
      <c r="H801" s="2" t="s">
        <v>803</v>
      </c>
      <c r="I801" s="2" t="str">
        <f>IFERROR(__xludf.DUMMYFUNCTION("GOOGLETRANSLATE(C801,""fr"",""en"")"),"This insurance no longer has any sense of the insured ... You may have been insured for years, in the first claim, you will be walking from services to services (and never opened at times). On the other hand, they remind you without problem to take out a "&amp;"new service or other. For the rest, you have to write, write, and write again ...")</f>
        <v>This insurance no longer has any sense of the insured ... You may have been insured for years, in the first claim, you will be walking from services to services (and never opened at times). On the other hand, they remind you without problem to take out a new service or other. For the rest, you have to write, write, and write again ...</v>
      </c>
    </row>
    <row r="802" ht="15.75" customHeight="1">
      <c r="B802" s="2" t="s">
        <v>2260</v>
      </c>
      <c r="C802" s="2" t="s">
        <v>2261</v>
      </c>
      <c r="D802" s="2" t="s">
        <v>2048</v>
      </c>
      <c r="E802" s="2" t="s">
        <v>1679</v>
      </c>
      <c r="F802" s="2" t="s">
        <v>15</v>
      </c>
      <c r="G802" s="2" t="s">
        <v>2262</v>
      </c>
      <c r="H802" s="2" t="s">
        <v>495</v>
      </c>
      <c r="I802" s="2" t="str">
        <f>IFERROR(__xludf.DUMMYFUNCTION("GOOGLETRANSLATE(C802,""fr"",""en"")"),"run away !! And they dare to say certainly human !! 25 years with them, only one reimbursement concerns, more than year to have a negative response !! I want to leave their home and the agency in my department which harasss me at Tel !!")</f>
        <v>run away !! And they dare to say certainly human !! 25 years with them, only one reimbursement concerns, more than year to have a negative response !! I want to leave their home and the agency in my department which harasss me at Tel !!</v>
      </c>
    </row>
    <row r="803" ht="15.75" customHeight="1">
      <c r="B803" s="2" t="s">
        <v>2263</v>
      </c>
      <c r="C803" s="2" t="s">
        <v>2264</v>
      </c>
      <c r="D803" s="2" t="s">
        <v>2048</v>
      </c>
      <c r="E803" s="2" t="s">
        <v>1679</v>
      </c>
      <c r="F803" s="2" t="s">
        <v>15</v>
      </c>
      <c r="G803" s="2" t="s">
        <v>2265</v>
      </c>
      <c r="H803" s="2" t="s">
        <v>495</v>
      </c>
      <c r="I803" s="2" t="str">
        <f>IFERROR(__xludf.DUMMYFUNCTION("GOOGLETRANSLATE(C803,""fr"",""en"")"),"To flee absolutely !! Our house burned and we have hardly been reimbursed: half of the work remained at our expense, nothing was reimbursed for destroyed objects, we were not entitled to anything for the temporary housing we had Occupy for more than seven"&amp;" months, the expert was once absolutely, the reimbursement took more than two years ... to say that it is supposed to be a mutual which ""protects agents from the public service"" ... This false advertisement should really be stopped.")</f>
        <v>To flee absolutely !! Our house burned and we have hardly been reimbursed: half of the work remained at our expense, nothing was reimbursed for destroyed objects, we were not entitled to anything for the temporary housing we had Occupy for more than seven months, the expert was once absolutely, the reimbursement took more than two years ... to say that it is supposed to be a mutual which "protects agents from the public service" ... This false advertisement should really be stopped.</v>
      </c>
    </row>
    <row r="804" ht="15.75" customHeight="1">
      <c r="B804" s="2" t="s">
        <v>2266</v>
      </c>
      <c r="C804" s="2" t="s">
        <v>2267</v>
      </c>
      <c r="D804" s="2" t="s">
        <v>2048</v>
      </c>
      <c r="E804" s="2" t="s">
        <v>1679</v>
      </c>
      <c r="F804" s="2" t="s">
        <v>15</v>
      </c>
      <c r="G804" s="2" t="s">
        <v>2268</v>
      </c>
      <c r="H804" s="2" t="s">
        <v>526</v>
      </c>
      <c r="I804" s="2" t="str">
        <f>IFERROR(__xludf.DUMMYFUNCTION("GOOGLETRANSLATE(C804,""fr"",""en"")"),"Calls and calls that no longer end following an agent who told me that my home insurance will go away automatically ....
I receive a letter like what I have not paid for the year to come ..... in short since December I do everything I am told to do and I"&amp;" continue to have letters of bailiff as if nothing n 'was !!!!!!! Deplorable services, no follow -up of files, we are taken for badgers !!!!!!")</f>
        <v>Calls and calls that no longer end following an agent who told me that my home insurance will go away automatically ....
I receive a letter like what I have not paid for the year to come ..... in short since December I do everything I am told to do and I continue to have letters of bailiff as if nothing n 'was !!!!!!! Deplorable services, no follow -up of files, we are taken for badgers !!!!!!</v>
      </c>
    </row>
    <row r="805" ht="15.75" customHeight="1">
      <c r="B805" s="2" t="s">
        <v>2269</v>
      </c>
      <c r="C805" s="2" t="s">
        <v>2270</v>
      </c>
      <c r="D805" s="2" t="s">
        <v>2048</v>
      </c>
      <c r="E805" s="2" t="s">
        <v>1679</v>
      </c>
      <c r="F805" s="2" t="s">
        <v>15</v>
      </c>
      <c r="G805" s="2" t="s">
        <v>2271</v>
      </c>
      <c r="H805" s="2" t="s">
        <v>526</v>
      </c>
      <c r="I805" s="2" t="str">
        <f>IFERROR(__xludf.DUMMYFUNCTION("GOOGLETRANSLATE(C805,""fr"",""en"")"),"Hello. I am extremely unhappy with my home insurance from the GMF Palaiseau 91 agency.
Following a water damage dating back more than a year, the work has still not been carried out.
The appointments with the companies did not take place: cessation of a"&amp;"ctivity for one, an employee sick for the other ... and all without warning me. I put 4 days off for nothing. The GMF does not want to compensate this damage to the title that it is not responsible for its service providers. It is shameful! I educate ever"&amp;"yone about the lack of seriousness of this insurance. Inadmissible !!!")</f>
        <v>Hello. I am extremely unhappy with my home insurance from the GMF Palaiseau 91 agency.
Following a water damage dating back more than a year, the work has still not been carried out.
The appointments with the companies did not take place: cessation of activity for one, an employee sick for the other ... and all without warning me. I put 4 days off for nothing. The GMF does not want to compensate this damage to the title that it is not responsible for its service providers. It is shameful! I educate everyone about the lack of seriousness of this insurance. Inadmissible !!!</v>
      </c>
    </row>
    <row r="806" ht="15.75" customHeight="1">
      <c r="B806" s="2" t="s">
        <v>2272</v>
      </c>
      <c r="C806" s="2" t="s">
        <v>2273</v>
      </c>
      <c r="D806" s="2" t="s">
        <v>2048</v>
      </c>
      <c r="E806" s="2" t="s">
        <v>1679</v>
      </c>
      <c r="F806" s="2" t="s">
        <v>15</v>
      </c>
      <c r="G806" s="2" t="s">
        <v>526</v>
      </c>
      <c r="H806" s="2" t="s">
        <v>526</v>
      </c>
      <c r="I806" s="2" t="str">
        <f>IFERROR(__xludf.DUMMYFUNCTION("GOOGLETRANSLATE(C806,""fr"",""en"")"),"Huge disappointment. We pay insurance for years and at the slightest claim they are unable to give you satisfaction. On the other hand to take cos under each year there is no problem")</f>
        <v>Huge disappointment. We pay insurance for years and at the slightest claim they are unable to give you satisfaction. On the other hand to take cos under each year there is no problem</v>
      </c>
    </row>
    <row r="807" ht="15.75" customHeight="1">
      <c r="B807" s="2" t="s">
        <v>2274</v>
      </c>
      <c r="C807" s="2" t="s">
        <v>2275</v>
      </c>
      <c r="D807" s="2" t="s">
        <v>2048</v>
      </c>
      <c r="E807" s="2" t="s">
        <v>1679</v>
      </c>
      <c r="F807" s="2" t="s">
        <v>15</v>
      </c>
      <c r="G807" s="2" t="s">
        <v>2276</v>
      </c>
      <c r="H807" s="2" t="s">
        <v>816</v>
      </c>
      <c r="I807" s="2" t="str">
        <f>IFERROR(__xludf.DUMMYFUNCTION("GOOGLETRANSLATE(C807,""fr"",""en"")"),"No more finishing legal proceedings that have been able to have life for years. My house collapses and me with it. But where does this ""certainly human"" slogan come from? Because frankly, it's anything but human. If you want to ensure your home, run awa"&amp;"y ... before leaving all your savings there, in endless procedures and being only a ""file"". Their lawyers do not hear you, do not see you, you do not exist as ""human"" in their debates.")</f>
        <v>No more finishing legal proceedings that have been able to have life for years. My house collapses and me with it. But where does this "certainly human" slogan come from? Because frankly, it's anything but human. If you want to ensure your home, run away ... before leaving all your savings there, in endless procedures and being only a "file". Their lawyers do not hear you, do not see you, you do not exist as "human" in their debates.</v>
      </c>
    </row>
    <row r="808" ht="15.75" customHeight="1">
      <c r="B808" s="2" t="s">
        <v>2277</v>
      </c>
      <c r="C808" s="2" t="s">
        <v>2278</v>
      </c>
      <c r="D808" s="2" t="s">
        <v>2048</v>
      </c>
      <c r="E808" s="2" t="s">
        <v>1679</v>
      </c>
      <c r="F808" s="2" t="s">
        <v>15</v>
      </c>
      <c r="G808" s="2" t="s">
        <v>2279</v>
      </c>
      <c r="H808" s="2" t="s">
        <v>544</v>
      </c>
      <c r="I808" s="2" t="str">
        <f>IFERROR(__xludf.DUMMYFUNCTION("GOOGLETRANSLATE(C808,""fr"",""en"")"),"I am assured for electrical damage. Like there where I live, I have a poor quality of current ... I have devices that break down often ... I even have one that caught fire. The GMF increased my home insurance by 30% believing that I had, for electrical da"&amp;"mage an abnormal level of claim!")</f>
        <v>I am assured for electrical damage. Like there where I live, I have a poor quality of current ... I have devices that break down often ... I even have one that caught fire. The GMF increased my home insurance by 30% believing that I had, for electrical damage an abnormal level of claim!</v>
      </c>
    </row>
    <row r="809" ht="15.75" customHeight="1">
      <c r="B809" s="2" t="s">
        <v>2280</v>
      </c>
      <c r="C809" s="2" t="s">
        <v>2281</v>
      </c>
      <c r="D809" s="2" t="s">
        <v>2048</v>
      </c>
      <c r="E809" s="2" t="s">
        <v>1679</v>
      </c>
      <c r="F809" s="2" t="s">
        <v>15</v>
      </c>
      <c r="G809" s="2" t="s">
        <v>2282</v>
      </c>
      <c r="H809" s="2" t="s">
        <v>544</v>
      </c>
      <c r="I809" s="2" t="str">
        <f>IFERROR(__xludf.DUMMYFUNCTION("GOOGLETRANSLATE(C809,""fr"",""en"")"),"The agency where I signed my contracts (3 dwellings - 3 VL - 1 accident: family) has closed (Perpignan Glaieuls). Not even an email from the GMF to announce this closure. Results 10 km round trip for nothing. Arrived at home, I try to contact my advisor, "&amp;"after 10 minutes of waiting at 0970 809 809 A person answers me from Bordeaux. For proximity insurance I think we can do better. But still not possible to have my advisor, I am fixed for a meeting for Friday December 9 at 10 a.m. but I will not have the p"&amp;"erson I used to see once a year in order to take stock of my contracts")</f>
        <v>The agency where I signed my contracts (3 dwellings - 3 VL - 1 accident: family) has closed (Perpignan Glaieuls). Not even an email from the GMF to announce this closure. Results 10 km round trip for nothing. Arrived at home, I try to contact my advisor, after 10 minutes of waiting at 0970 809 809 A person answers me from Bordeaux. For proximity insurance I think we can do better. But still not possible to have my advisor, I am fixed for a meeting for Friday December 9 at 10 a.m. but I will not have the person I used to see once a year in order to take stock of my contracts</v>
      </c>
    </row>
    <row r="810" ht="15.75" customHeight="1">
      <c r="B810" s="2" t="s">
        <v>2283</v>
      </c>
      <c r="C810" s="2" t="s">
        <v>2284</v>
      </c>
      <c r="D810" s="2" t="s">
        <v>2048</v>
      </c>
      <c r="E810" s="2" t="s">
        <v>1679</v>
      </c>
      <c r="F810" s="2" t="s">
        <v>15</v>
      </c>
      <c r="G810" s="2" t="s">
        <v>543</v>
      </c>
      <c r="H810" s="2" t="s">
        <v>544</v>
      </c>
      <c r="I810" s="2" t="str">
        <f>IFERROR(__xludf.DUMMYFUNCTION("GOOGLETRANSLATE(C810,""fr"",""en"")"),"GMF customer for 30 years I underwent a flight with break in April 2016. This day is 7 months after the claim we have still not had a repayment proposal and we were unfortunately noted at our expense all the laxity and the incompetence of this insurance
"&amp;"Total contempt for the member, no contact worthy of the name
The GMF exhausts the patience of the customer until it drops its arms
in total contradiction with its advertising campaigns
to flee")</f>
        <v>GMF customer for 30 years I underwent a flight with break in April 2016. This day is 7 months after the claim we have still not had a repayment proposal and we were unfortunately noted at our expense all the laxity and the incompetence of this insurance
Total contempt for the member, no contact worthy of the name
The GMF exhausts the patience of the customer until it drops its arms
in total contradiction with its advertising campaigns
to flee</v>
      </c>
    </row>
    <row r="811" ht="15.75" customHeight="1">
      <c r="B811" s="2" t="s">
        <v>2285</v>
      </c>
      <c r="C811" s="2" t="s">
        <v>2286</v>
      </c>
      <c r="D811" s="2" t="s">
        <v>2287</v>
      </c>
      <c r="E811" s="2" t="s">
        <v>1679</v>
      </c>
      <c r="F811" s="2" t="s">
        <v>15</v>
      </c>
      <c r="G811" s="2" t="s">
        <v>1093</v>
      </c>
      <c r="H811" s="2" t="s">
        <v>301</v>
      </c>
      <c r="I811" s="2" t="str">
        <f>IFERROR(__xludf.DUMMYFUNCTION("GOOGLETRANSLATE(C811,""fr"",""en"")"),"2 damage to the waters and I am terminated ... Insurers know how to collect but do not assure ... but should we be surprised, they are only interested in gain, and when certain insurances present themselves as a mutualist ...")</f>
        <v>2 damage to the waters and I am terminated ... Insurers know how to collect but do not assure ... but should we be surprised, they are only interested in gain, and when certain insurances present themselves as a mutualist ...</v>
      </c>
    </row>
    <row r="812" ht="15.75" customHeight="1">
      <c r="B812" s="2" t="s">
        <v>2288</v>
      </c>
      <c r="C812" s="2" t="s">
        <v>2289</v>
      </c>
      <c r="D812" s="2" t="s">
        <v>2287</v>
      </c>
      <c r="E812" s="2" t="s">
        <v>1679</v>
      </c>
      <c r="F812" s="2" t="s">
        <v>15</v>
      </c>
      <c r="G812" s="2" t="s">
        <v>2290</v>
      </c>
      <c r="H812" s="2" t="s">
        <v>555</v>
      </c>
      <c r="I812" s="2" t="str">
        <f>IFERROR(__xludf.DUMMYFUNCTION("GOOGLETRANSLATE(C812,""fr"",""en"")"),"Hello Matmut deserves 0 star for me because my home contract will be terminated for the following reason dixit Matmut: ""The examination of your situation shows a frequency of claims for which we have been led to intervene"". I am still insured at the Mat"&amp;"mut for home insurance since 1984. I took options in 20170 for my home contract to have more claims coverage. In April 2018 I had a rupture of pipe evacuation of wastewater (option exterior pipes activated), in December 2019 the oven fell out of service ("&amp;"optional breakdown option of under 7 years activated) and in June 2021 a tree fell In my garden following a storm (activated earth tree option). I think that as long as everything is fine this insurance is gone by contributions and when you have to pay to"&amp;"o much it turns you out because you are not profitable. Flee this insurance today !!!")</f>
        <v>Hello Matmut deserves 0 star for me because my home contract will be terminated for the following reason dixit Matmut: "The examination of your situation shows a frequency of claims for which we have been led to intervene". I am still insured at the Matmut for home insurance since 1984. I took options in 20170 for my home contract to have more claims coverage. In April 2018 I had a rupture of pipe evacuation of wastewater (option exterior pipes activated), in December 2019 the oven fell out of service (optional breakdown option of under 7 years activated) and in June 2021 a tree fell In my garden following a storm (activated earth tree option). I think that as long as everything is fine this insurance is gone by contributions and when you have to pay too much it turns you out because you are not profitable. Flee this insurance today !!!</v>
      </c>
    </row>
    <row r="813" ht="15.75" customHeight="1">
      <c r="B813" s="2" t="s">
        <v>2291</v>
      </c>
      <c r="C813" s="2" t="s">
        <v>2292</v>
      </c>
      <c r="D813" s="2" t="s">
        <v>2287</v>
      </c>
      <c r="E813" s="2" t="s">
        <v>1679</v>
      </c>
      <c r="F813" s="2" t="s">
        <v>15</v>
      </c>
      <c r="G813" s="2" t="s">
        <v>2293</v>
      </c>
      <c r="H813" s="2" t="s">
        <v>555</v>
      </c>
      <c r="I813" s="2" t="str">
        <f>IFERROR(__xludf.DUMMYFUNCTION("GOOGLETRANSLATE(C813,""fr"",""en"")"),"It's been more than 2 months that an expert went home on burglary. I spend my time relaunching the Matmut so that they do their job, that is to say to revive the expert. On the other hand to take me every month there is no problem.
The end of my claim I "&amp;"change my insurance")</f>
        <v>It's been more than 2 months that an expert went home on burglary. I spend my time relaunching the Matmut so that they do their job, that is to say to revive the expert. On the other hand to take me every month there is no problem.
The end of my claim I change my insurance</v>
      </c>
    </row>
    <row r="814" ht="15.75" customHeight="1">
      <c r="B814" s="2" t="s">
        <v>2294</v>
      </c>
      <c r="C814" s="2" t="s">
        <v>2295</v>
      </c>
      <c r="D814" s="2" t="s">
        <v>2287</v>
      </c>
      <c r="E814" s="2" t="s">
        <v>1679</v>
      </c>
      <c r="F814" s="2" t="s">
        <v>15</v>
      </c>
      <c r="G814" s="2" t="s">
        <v>1822</v>
      </c>
      <c r="H814" s="2" t="s">
        <v>39</v>
      </c>
      <c r="I814" s="2" t="str">
        <f>IFERROR(__xludf.DUMMYFUNCTION("GOOGLETRANSLATE(C814,""fr"",""en"")"),"For more than 15 years at the Matmut without a claim, I have accumulated disappointments from a recent water damage. The services can hardly be reached by phone and when we send you a document to fill out by email it is impossible to send them by email .."&amp;".
The vocal recordings serve you their jack on the phone and tell you to connect to your account before hanging up on the nose. It's been more than a week since I try desperately to connect to my account to transmit my documents and either the site tells"&amp;" me an error, or it sends me back to the preceding phone number, a horror ....
I want to pay more insurance to have the quality of service that goes with it, or the continuous prices to increase and the quality drops.")</f>
        <v>For more than 15 years at the Matmut without a claim, I have accumulated disappointments from a recent water damage. The services can hardly be reached by phone and when we send you a document to fill out by email it is impossible to send them by email ...
The vocal recordings serve you their jack on the phone and tell you to connect to your account before hanging up on the nose. It's been more than a week since I try desperately to connect to my account to transmit my documents and either the site tells me an error, or it sends me back to the preceding phone number, a horror ....
I want to pay more insurance to have the quality of service that goes with it, or the continuous prices to increase and the quality drops.</v>
      </c>
    </row>
    <row r="815" ht="15.75" customHeight="1">
      <c r="B815" s="2" t="s">
        <v>2296</v>
      </c>
      <c r="C815" s="2" t="s">
        <v>2297</v>
      </c>
      <c r="D815" s="2" t="s">
        <v>2287</v>
      </c>
      <c r="E815" s="2" t="s">
        <v>1679</v>
      </c>
      <c r="F815" s="2" t="s">
        <v>15</v>
      </c>
      <c r="G815" s="2" t="s">
        <v>2298</v>
      </c>
      <c r="H815" s="2" t="s">
        <v>114</v>
      </c>
      <c r="I815" s="2" t="str">
        <f>IFERROR(__xludf.DUMMYFUNCTION("GOOGLETRANSLATE(C815,""fr"",""en"")"),"Hello
Insured at the Matmut.
Following fire in my house.
I contacted my insurance in the night and everything was engaged at a speed that surprised me.
Espert observation, addition of certain damage not visible on the first appointment.
Very satisfie"&amp;"d with the Matmut
")</f>
        <v>Hello
Insured at the Matmut.
Following fire in my house.
I contacted my insurance in the night and everything was engaged at a speed that surprised me.
Espert observation, addition of certain damage not visible on the first appointment.
Very satisfied with the Matmut
</v>
      </c>
    </row>
    <row r="816" ht="15.75" customHeight="1">
      <c r="B816" s="2" t="s">
        <v>2299</v>
      </c>
      <c r="C816" s="2" t="s">
        <v>2300</v>
      </c>
      <c r="D816" s="2" t="s">
        <v>2287</v>
      </c>
      <c r="E816" s="2" t="s">
        <v>1679</v>
      </c>
      <c r="F816" s="2" t="s">
        <v>15</v>
      </c>
      <c r="G816" s="2" t="s">
        <v>2301</v>
      </c>
      <c r="H816" s="2" t="s">
        <v>39</v>
      </c>
      <c r="I816" s="2" t="str">
        <f>IFERROR(__xludf.DUMMYFUNCTION("GOOGLETRANSLATE(C816,""fr"",""en"")"),"I thought I made the right choice, after studying the contract proposal.
The years passe, no claim and no problem.
Until the day when I used the Matmut for legal assistance subscribed.
Concerning a neighborhood conflict. MA request made on June 10, 202"&amp;"1 directly to the agency, with the contribution of the necessary documents.
Unanswered, I sent the documents by email, several times in July and August.
Late response by email.
""We let you take care to take, at your expense, the attachment of the lawy"&amp;"er of your choice in order to be represented at the hearing of September 29, 2021i you estimated this necessary""")</f>
        <v>I thought I made the right choice, after studying the contract proposal.
The years passe, no claim and no problem.
Until the day when I used the Matmut for legal assistance subscribed.
Concerning a neighborhood conflict. MA request made on June 10, 2021 directly to the agency, with the contribution of the necessary documents.
Unanswered, I sent the documents by email, several times in July and August.
Late response by email.
"We let you take care to take, at your expense, the attachment of the lawyer of your choice in order to be represented at the hearing of September 29, 2021i you estimated this necessary"</v>
      </c>
    </row>
    <row r="817" ht="15.75" customHeight="1">
      <c r="B817" s="2" t="s">
        <v>2302</v>
      </c>
      <c r="C817" s="2" t="s">
        <v>2303</v>
      </c>
      <c r="D817" s="2" t="s">
        <v>2287</v>
      </c>
      <c r="E817" s="2" t="s">
        <v>1679</v>
      </c>
      <c r="F817" s="2" t="s">
        <v>15</v>
      </c>
      <c r="G817" s="2" t="s">
        <v>2060</v>
      </c>
      <c r="H817" s="2" t="s">
        <v>301</v>
      </c>
      <c r="I817" s="2" t="str">
        <f>IFERROR(__xludf.DUMMYFUNCTION("GOOGLETRANSLATE(C817,""fr"",""en"")"),"To take contracts no problem. Very good sales service, but then zero !!! Water damage 6 weeks ago, no response, no one recalls. We do not know if we can make the repairs or wait for an expert ... We are very unhappy!")</f>
        <v>To take contracts no problem. Very good sales service, but then zero !!! Water damage 6 weeks ago, no response, no one recalls. We do not know if we can make the repairs or wait for an expert ... We are very unhappy!</v>
      </c>
    </row>
    <row r="818" ht="15.75" customHeight="1">
      <c r="B818" s="2" t="s">
        <v>2304</v>
      </c>
      <c r="C818" s="2" t="s">
        <v>2305</v>
      </c>
      <c r="D818" s="2" t="s">
        <v>2287</v>
      </c>
      <c r="E818" s="2" t="s">
        <v>1679</v>
      </c>
      <c r="F818" s="2" t="s">
        <v>15</v>
      </c>
      <c r="G818" s="2" t="s">
        <v>2306</v>
      </c>
      <c r="H818" s="2" t="s">
        <v>43</v>
      </c>
      <c r="I818" s="2" t="str">
        <f>IFERROR(__xludf.DUMMYFUNCTION("GOOGLETRANSLATE(C818,""fr"",""en"")"),"I was the victim of a burglary 3 months ago and they still have not settled my situation. They continue to send people to do the evaluation and small services and they do not solve the problem. They did not ensure stolen objects. I do not recommend.")</f>
        <v>I was the victim of a burglary 3 months ago and they still have not settled my situation. They continue to send people to do the evaluation and small services and they do not solve the problem. They did not ensure stolen objects. I do not recommend.</v>
      </c>
    </row>
    <row r="819" ht="15.75" customHeight="1">
      <c r="B819" s="2" t="s">
        <v>2307</v>
      </c>
      <c r="C819" s="2" t="s">
        <v>2308</v>
      </c>
      <c r="D819" s="2" t="s">
        <v>2287</v>
      </c>
      <c r="E819" s="2" t="s">
        <v>1679</v>
      </c>
      <c r="F819" s="2" t="s">
        <v>15</v>
      </c>
      <c r="G819" s="2" t="s">
        <v>571</v>
      </c>
      <c r="H819" s="2" t="s">
        <v>43</v>
      </c>
      <c r="I819" s="2" t="str">
        <f>IFERROR(__xludf.DUMMYFUNCTION("GOOGLETRANSLATE(C819,""fr"",""en"")"),"Hello,
As read in many comments, when it comes to compensating the insured, there is no one left.
I have been insured at home for at least 10 years (home and vehicle).
- 3 months that my file hangs out they always invent an excuse to make you wait.
- "&amp;"Lies of the sinister service: unable to reach the service with your number recorded at home (filtering from them), but quite possible with another phone ...
My reference file if a charitable soul wishes to advance my file: 211m47261e")</f>
        <v>Hello,
As read in many comments, when it comes to compensating the insured, there is no one left.
I have been insured at home for at least 10 years (home and vehicle).
- 3 months that my file hangs out they always invent an excuse to make you wait.
- Lies of the sinister service: unable to reach the service with your number recorded at home (filtering from them), but quite possible with another phone ...
My reference file if a charitable soul wishes to advance my file: 211m47261e</v>
      </c>
    </row>
    <row r="820" ht="15.75" customHeight="1">
      <c r="B820" s="2" t="s">
        <v>2309</v>
      </c>
      <c r="C820" s="2" t="s">
        <v>2310</v>
      </c>
      <c r="D820" s="2" t="s">
        <v>2287</v>
      </c>
      <c r="E820" s="2" t="s">
        <v>1679</v>
      </c>
      <c r="F820" s="2" t="s">
        <v>15</v>
      </c>
      <c r="G820" s="2" t="s">
        <v>2311</v>
      </c>
      <c r="H820" s="2" t="s">
        <v>56</v>
      </c>
      <c r="I820" s="2" t="str">
        <f>IFERROR(__xludf.DUMMYFUNCTION("GOOGLETRANSLATE(C820,""fr"",""en"")"),"My child had a serious accident with a friend (fall).
To my surprise I discovered that accidents of minor children without third parties are not insured neither at home nor elsewhere.
The only solution to file a complaint against the parents (who is at "&amp;"the same insurer and who have gladly provided me with all the necessary information), which I refuse to do. My child almost was quadriplegic (close to 2mm!) And I dare not imagine the difficulties that it would have posed on a daily basis.
I am thinkin"&amp;"g of all the parties-pyjama, the birthday snacks, the children of friends or the family taken on vacation ... and the terror wins me: none of them has ever been provided by any of the insurance Whether I have at the Matmut (Housing, School, Family Complem"&amp;"entary, Smac IMA or other).
  The positive: the Matmut granted without reluctant (but did not inform me during the accident declaration, I knew it by a friend whose child had had a traffic accident) of the hours of courses at very useful domicile.
T"&amp;"he negative: my 18th chest of drawers is better guaranteed (I don't have lol) than my child.
I find it terrifying: the matmut council to take an accident insurance of life for my child ... I imagine the people who have 5 or 6 ... not to mention that I "&amp;"will think 2 times before inviting a Another child at home, which is obviously very sad ...")</f>
        <v>My child had a serious accident with a friend (fall).
To my surprise I discovered that accidents of minor children without third parties are not insured neither at home nor elsewhere.
The only solution to file a complaint against the parents (who is at the same insurer and who have gladly provided me with all the necessary information), which I refuse to do. My child almost was quadriplegic (close to 2mm!) And I dare not imagine the difficulties that it would have posed on a daily basis.
I am thinking of all the parties-pyjama, the birthday snacks, the children of friends or the family taken on vacation ... and the terror wins me: none of them has ever been provided by any of the insurance Whether I have at the Matmut (Housing, School, Family Complementary, Smac IMA or other).
  The positive: the Matmut granted without reluctant (but did not inform me during the accident declaration, I knew it by a friend whose child had had a traffic accident) of the hours of courses at very useful domicile.
The negative: my 18th chest of drawers is better guaranteed (I don't have lol) than my child.
I find it terrifying: the matmut council to take an accident insurance of life for my child ... I imagine the people who have 5 or 6 ... not to mention that I will think 2 times before inviting a Another child at home, which is obviously very sad ...</v>
      </c>
    </row>
    <row r="821" ht="15.75" customHeight="1">
      <c r="B821" s="2" t="s">
        <v>2312</v>
      </c>
      <c r="C821" s="2" t="s">
        <v>2313</v>
      </c>
      <c r="D821" s="2" t="s">
        <v>2287</v>
      </c>
      <c r="E821" s="2" t="s">
        <v>1679</v>
      </c>
      <c r="F821" s="2" t="s">
        <v>15</v>
      </c>
      <c r="G821" s="2" t="s">
        <v>2314</v>
      </c>
      <c r="H821" s="2" t="s">
        <v>69</v>
      </c>
      <c r="I821" s="2" t="str">
        <f>IFERROR(__xludf.DUMMYFUNCTION("GOOGLETRANSLATE(C821,""fr"",""en"")"),"Client for more years, I have just received a letter telling me that the Matmut terminated my home contract on the pretext that I would have had too many claims !!!! Out of 10 contracts subscribed, two contracts had claims. 1 contract has been compensated"&amp;" while on the disaster of the second contract I still expect a reimbursement of the costs incurred 3 months later!
In addition, I also noticed that they had opened several files for the same disaster!
The legal service is incompetent and does not bring "&amp;"you anything in terms of solution!
The deadlines for being reimbursed take months to see are still not reimbursed! On the other hand, you can debit every month of 200 euros, they know how to do it !!!
To flee!!!")</f>
        <v>Client for more years, I have just received a letter telling me that the Matmut terminated my home contract on the pretext that I would have had too many claims !!!! Out of 10 contracts subscribed, two contracts had claims. 1 contract has been compensated while on the disaster of the second contract I still expect a reimbursement of the costs incurred 3 months later!
In addition, I also noticed that they had opened several files for the same disaster!
The legal service is incompetent and does not bring you anything in terms of solution!
The deadlines for being reimbursed take months to see are still not reimbursed! On the other hand, you can debit every month of 200 euros, they know how to do it !!!
To flee!!!</v>
      </c>
    </row>
    <row r="822" ht="15.75" customHeight="1">
      <c r="B822" s="2" t="s">
        <v>2315</v>
      </c>
      <c r="C822" s="2" t="s">
        <v>2316</v>
      </c>
      <c r="D822" s="2" t="s">
        <v>2287</v>
      </c>
      <c r="E822" s="2" t="s">
        <v>1679</v>
      </c>
      <c r="F822" s="2" t="s">
        <v>15</v>
      </c>
      <c r="G822" s="2" t="s">
        <v>1458</v>
      </c>
      <c r="H822" s="2" t="s">
        <v>69</v>
      </c>
      <c r="I822" s="2" t="str">
        <f>IFERROR(__xludf.DUMMYFUNCTION("GOOGLETRANSLATE(C822,""fr"",""en"")"),"A car has completely destroyed our closing wall since January 27, two experts have followed one another, and a costing of the work has been carried out and since then nothing ... The Matmut answers us that we have to wait, wait, wait .. Payment for the op"&amp;"posing party and that ""ad vitam aeternam"" (for eternity!)
I decided to take the bull by the horns, I contacted the Julien Courbet program, ""it can happen to you on M6"" My file was selected and I spend in 10 days on the air to solve this problem wit"&amp;"h the matmut")</f>
        <v>A car has completely destroyed our closing wall since January 27, two experts have followed one another, and a costing of the work has been carried out and since then nothing ... The Matmut answers us that we have to wait, wait, wait .. Payment for the opposing party and that "ad vitam aeternam" (for eternity!)
I decided to take the bull by the horns, I contacted the Julien Courbet program, "it can happen to you on M6" My file was selected and I spend in 10 days on the air to solve this problem with the matmut</v>
      </c>
    </row>
    <row r="823" ht="15.75" customHeight="1">
      <c r="B823" s="2" t="s">
        <v>2317</v>
      </c>
      <c r="C823" s="2" t="s">
        <v>2318</v>
      </c>
      <c r="D823" s="2" t="s">
        <v>2287</v>
      </c>
      <c r="E823" s="2" t="s">
        <v>1679</v>
      </c>
      <c r="F823" s="2" t="s">
        <v>15</v>
      </c>
      <c r="G823" s="2" t="s">
        <v>847</v>
      </c>
      <c r="H823" s="2" t="s">
        <v>79</v>
      </c>
      <c r="I823" s="2" t="str">
        <f>IFERROR(__xludf.DUMMYFUNCTION("GOOGLETRANSLATE(C823,""fr"",""en"")"),"Only good to collect your contributions; Zero for the management of a disaster and possibly to use legal protection.
Avoid ++++")</f>
        <v>Only good to collect your contributions; Zero for the management of a disaster and possibly to use legal protection.
Avoid ++++</v>
      </c>
    </row>
    <row r="824" ht="15.75" customHeight="1">
      <c r="B824" s="2" t="s">
        <v>2319</v>
      </c>
      <c r="C824" s="2" t="s">
        <v>2320</v>
      </c>
      <c r="D824" s="2" t="s">
        <v>2287</v>
      </c>
      <c r="E824" s="2" t="s">
        <v>1679</v>
      </c>
      <c r="F824" s="2" t="s">
        <v>15</v>
      </c>
      <c r="G824" s="2" t="s">
        <v>2321</v>
      </c>
      <c r="H824" s="2" t="s">
        <v>92</v>
      </c>
      <c r="I824" s="2" t="str">
        <f>IFERROR(__xludf.DUMMYFUNCTION("GOOGLETRANSLATE(C824,""fr"",""en"")"),"Responsible for water damage, an agent comes at home to take stock.
His first concern: where is your smoke detector?
It turns out that there was none at home. The agent notes his absence in his file and gives me no explanation or advice on the subject. "&amp;"It is true that I had not asked anything either. Aware of my non -compliance with the law and challenged the priority approach of the insurance agent, I hastened to buy and install a detector (recommended by firefighters).
I then brought my insurance the"&amp;" document which indicated the installation of this detector at my home.
I had to insist strongly for this document to be scanned and brought to my file. Indeed, the agent who received me told me that it was not planned for them to take this document into"&amp;" account and that it would be up to me to prove the existence of a smoke detector in the event of 'fire...
So why did you look for your presence during the water damage visit ???")</f>
        <v>Responsible for water damage, an agent comes at home to take stock.
His first concern: where is your smoke detector?
It turns out that there was none at home. The agent notes his absence in his file and gives me no explanation or advice on the subject. It is true that I had not asked anything either. Aware of my non -compliance with the law and challenged the priority approach of the insurance agent, I hastened to buy and install a detector (recommended by firefighters).
I then brought my insurance the document which indicated the installation of this detector at my home.
I had to insist strongly for this document to be scanned and brought to my file. Indeed, the agent who received me told me that it was not planned for them to take this document into account and that it would be up to me to prove the existence of a smoke detector in the event of 'fire...
So why did you look for your presence during the water damage visit ???</v>
      </c>
    </row>
    <row r="825" ht="15.75" customHeight="1">
      <c r="B825" s="2" t="s">
        <v>2322</v>
      </c>
      <c r="C825" s="2" t="s">
        <v>2323</v>
      </c>
      <c r="D825" s="2" t="s">
        <v>2287</v>
      </c>
      <c r="E825" s="2" t="s">
        <v>1679</v>
      </c>
      <c r="F825" s="2" t="s">
        <v>15</v>
      </c>
      <c r="G825" s="2" t="s">
        <v>673</v>
      </c>
      <c r="H825" s="2" t="s">
        <v>92</v>
      </c>
      <c r="I825" s="2" t="str">
        <f>IFERROR(__xludf.DUMMYFUNCTION("GOOGLETRANSLATE(C825,""fr"",""en"")"),"Good to collect the premiums, but as soon as there is a problem (sinister dryness) no response to calls, everything is done not to come into contact with the insured, it is an answering machine who filters and there no reminder . When by chance you have a"&amp;" counselor, she pretends not to hear you and hang up, when you do it again you are on the filter answering machine. Another correspondent explains that the Tel. Was badly hung up ... that there is the covid etc ... when the blow of ""I am in the tunnel"" "&amp;"in summary Matmut deplorable if necessary. Dossier open since August 2019 Arreté Déricresse 2018 still nothing and no exchange possible.")</f>
        <v>Good to collect the premiums, but as soon as there is a problem (sinister dryness) no response to calls, everything is done not to come into contact with the insured, it is an answering machine who filters and there no reminder . When by chance you have a counselor, she pretends not to hear you and hang up, when you do it again you are on the filter answering machine. Another correspondent explains that the Tel. Was badly hung up ... that there is the covid etc ... when the blow of "I am in the tunnel" in summary Matmut deplorable if necessary. Dossier open since August 2019 Arreté Déricresse 2018 still nothing and no exchange possible.</v>
      </c>
    </row>
    <row r="826" ht="15.75" customHeight="1">
      <c r="B826" s="2" t="s">
        <v>2324</v>
      </c>
      <c r="C826" s="2" t="s">
        <v>2325</v>
      </c>
      <c r="D826" s="2" t="s">
        <v>2287</v>
      </c>
      <c r="E826" s="2" t="s">
        <v>1679</v>
      </c>
      <c r="F826" s="2" t="s">
        <v>15</v>
      </c>
      <c r="G826" s="2" t="s">
        <v>690</v>
      </c>
      <c r="H826" s="2" t="s">
        <v>92</v>
      </c>
      <c r="I826" s="2" t="str">
        <f>IFERROR(__xludf.DUMMYFUNCTION("GOOGLETRANSLATE(C826,""fr"",""en"")"),"Flee the matmut insurance, you are good at paying but as soon as there is a claim, they do everything not to pay you. Time passes and gets you. I have changed and to this day I am more serene. Choose honest insurance")</f>
        <v>Flee the matmut insurance, you are good at paying but as soon as there is a claim, they do everything not to pay you. Time passes and gets you. I have changed and to this day I am more serene. Choose honest insurance</v>
      </c>
    </row>
    <row r="827" ht="15.75" customHeight="1">
      <c r="B827" s="2" t="s">
        <v>2326</v>
      </c>
      <c r="C827" s="2" t="s">
        <v>2327</v>
      </c>
      <c r="D827" s="2" t="s">
        <v>2287</v>
      </c>
      <c r="E827" s="2" t="s">
        <v>1679</v>
      </c>
      <c r="F827" s="2" t="s">
        <v>15</v>
      </c>
      <c r="G827" s="2" t="s">
        <v>698</v>
      </c>
      <c r="H827" s="2" t="s">
        <v>92</v>
      </c>
      <c r="I827" s="2" t="str">
        <f>IFERROR(__xludf.DUMMYFUNCTION("GOOGLETRANSLATE(C827,""fr"",""en"")"),"Matmut customer for 20 years. No worries to the 1st declaration of loss of water damage on January 04, 2021, an uninhabitable apartment
We decide to call on several occasions to advance the file we come across people who do not really know our file and a"&amp;"sking us to wait for the person in charge of our file.
This person finally reminds us, very unpleasant person, hyper aggressive, haughty and inhuman, not understanding our call! Inconsistent discussion
")</f>
        <v>Matmut customer for 20 years. No worries to the 1st declaration of loss of water damage on January 04, 2021, an uninhabitable apartment
We decide to call on several occasions to advance the file we come across people who do not really know our file and asking us to wait for the person in charge of our file.
This person finally reminds us, very unpleasant person, hyper aggressive, haughty and inhuman, not understanding our call! Inconsistent discussion
</v>
      </c>
    </row>
    <row r="828" ht="15.75" customHeight="1">
      <c r="B828" s="2" t="s">
        <v>2328</v>
      </c>
      <c r="C828" s="2" t="s">
        <v>2329</v>
      </c>
      <c r="D828" s="2" t="s">
        <v>2287</v>
      </c>
      <c r="E828" s="2" t="s">
        <v>1679</v>
      </c>
      <c r="F828" s="2" t="s">
        <v>15</v>
      </c>
      <c r="G828" s="2" t="s">
        <v>858</v>
      </c>
      <c r="H828" s="2" t="s">
        <v>101</v>
      </c>
      <c r="I828" s="2" t="str">
        <f>IFERROR(__xludf.DUMMYFUNCTION("GOOGLETRANSLATE(C828,""fr"",""en"")"),"Insured in the matmut for more than 20 years I have been going on to go and pay my contributions elsewhere this week. Commercial gesture ... and for almost a month ,,, nothing. Expert does not want to come back to its assessment and the management service"&amp;" makes the deaf ear. The person was loading with my file (laugh !!) Extrememnt Desagreable and a little hysterical and also agesive treats me as if it were me the thief when it was I who has just been robbed! The height !!
In short, the matmut to flee !!"&amp;"!!!!!!!!!!!!!!!!!!!!!!!!!!")</f>
        <v>Insured in the matmut for more than 20 years I have been going on to go and pay my contributions elsewhere this week. Commercial gesture ... and for almost a month ,,, nothing. Expert does not want to come back to its assessment and the management service makes the deaf ear. The person was loading with my file (laugh !!) Extrememnt Desagreable and a little hysterical and also agesive treats me as if it were me the thief when it was I who has just been robbed! The height !!
In short, the matmut to flee !!!!!!!!!!!!!!!!!!!!!!!!!!!!</v>
      </c>
    </row>
    <row r="829" ht="15.75" customHeight="1">
      <c r="B829" s="2" t="s">
        <v>2330</v>
      </c>
      <c r="C829" s="2" t="s">
        <v>2331</v>
      </c>
      <c r="D829" s="2" t="s">
        <v>2287</v>
      </c>
      <c r="E829" s="2" t="s">
        <v>1679</v>
      </c>
      <c r="F829" s="2" t="s">
        <v>15</v>
      </c>
      <c r="G829" s="2" t="s">
        <v>122</v>
      </c>
      <c r="H829" s="2" t="s">
        <v>114</v>
      </c>
      <c r="I829" s="2" t="str">
        <f>IFERROR(__xludf.DUMMYFUNCTION("GOOGLETRANSLATE(C829,""fr"",""en"")"),"WARNING ! The subscriptions are false, some have only the covers for visitors and not the owner/ tenant. It is amazing anyway to have an insurance subscribed to an individual who, himself is not ultimately not. I fell from a few floors as soon as I learne"&amp;"d that a member of my family has home insurance but for visitors and not even for that own person.
You are the laughter of French insurance.
")</f>
        <v>WARNING ! The subscriptions are false, some have only the covers for visitors and not the owner/ tenant. It is amazing anyway to have an insurance subscribed to an individual who, himself is not ultimately not. I fell from a few floors as soon as I learned that a member of my family has home insurance but for visitors and not even for that own person.
You are the laughter of French insurance.
</v>
      </c>
    </row>
    <row r="830" ht="15.75" customHeight="1">
      <c r="B830" s="2" t="s">
        <v>2332</v>
      </c>
      <c r="C830" s="2" t="s">
        <v>2333</v>
      </c>
      <c r="D830" s="2" t="s">
        <v>2287</v>
      </c>
      <c r="E830" s="2" t="s">
        <v>1679</v>
      </c>
      <c r="F830" s="2" t="s">
        <v>15</v>
      </c>
      <c r="G830" s="2" t="s">
        <v>883</v>
      </c>
      <c r="H830" s="2" t="s">
        <v>126</v>
      </c>
      <c r="I830" s="2" t="str">
        <f>IFERROR(__xludf.DUMMYFUNCTION("GOOGLETRANSLATE(C830,""fr"",""en"")"),"The claims are not treated in an emergency despite the expectation and discomfort of the insured.
Not informed about follow -up, as for the unreachable phone most of the time, when you get there the person will revive, but a few weeks after still no resp"&amp;"onse.
It's deplorable")</f>
        <v>The claims are not treated in an emergency despite the expectation and discomfort of the insured.
Not informed about follow -up, as for the unreachable phone most of the time, when you get there the person will revive, but a few weeks after still no response.
It's deplorable</v>
      </c>
    </row>
    <row r="831" ht="15.75" customHeight="1">
      <c r="B831" s="2" t="s">
        <v>2334</v>
      </c>
      <c r="C831" s="2" t="s">
        <v>2335</v>
      </c>
      <c r="D831" s="2" t="s">
        <v>2287</v>
      </c>
      <c r="E831" s="2" t="s">
        <v>1679</v>
      </c>
      <c r="F831" s="2" t="s">
        <v>15</v>
      </c>
      <c r="G831" s="2" t="s">
        <v>727</v>
      </c>
      <c r="H831" s="2" t="s">
        <v>126</v>
      </c>
      <c r="I831" s="2" t="str">
        <f>IFERROR(__xludf.DUMMYFUNCTION("GOOGLETRANSLATE(C831,""fr"",""en"")"),"It has been more than a year since our house is no longer habitable following an earthquake and we still do not know what we are going to do with our house (if it is repairable or to demolish). Insurance dragged by bringing in 1 year 3 are said to be expe"&amp;"rts. We cannot reach anyone by phone, via the site or in registered mail. Today without the help of our knowledge my family would be on the street. I have been paying for my insurance for more than 15 years.
In addition, we are entitled to aid to pay our"&amp;" rent while waiting for a decision for our house but this aid has not been paid to us for 3 months. So we have to pay our rent + the credit of our ruined house.
Insurance not the cheapest on the market but to avoid absolutely because it is not there if n"&amp;"ecessary.")</f>
        <v>It has been more than a year since our house is no longer habitable following an earthquake and we still do not know what we are going to do with our house (if it is repairable or to demolish). Insurance dragged by bringing in 1 year 3 are said to be experts. We cannot reach anyone by phone, via the site or in registered mail. Today without the help of our knowledge my family would be on the street. I have been paying for my insurance for more than 15 years.
In addition, we are entitled to aid to pay our rent while waiting for a decision for our house but this aid has not been paid to us for 3 months. So we have to pay our rent + the credit of our ruined house.
Insurance not the cheapest on the market but to avoid absolutely because it is not there if necessary.</v>
      </c>
    </row>
    <row r="832" ht="15.75" customHeight="1">
      <c r="B832" s="2" t="s">
        <v>2336</v>
      </c>
      <c r="C832" s="2" t="s">
        <v>2337</v>
      </c>
      <c r="D832" s="2" t="s">
        <v>2287</v>
      </c>
      <c r="E832" s="2" t="s">
        <v>1679</v>
      </c>
      <c r="F832" s="2" t="s">
        <v>15</v>
      </c>
      <c r="G832" s="2" t="s">
        <v>2338</v>
      </c>
      <c r="H832" s="2" t="s">
        <v>141</v>
      </c>
      <c r="I832" s="2" t="str">
        <f>IFERROR(__xludf.DUMMYFUNCTION("GOOGLETRANSLATE(C832,""fr"",""en"")"),"Do not take your home insurance at the Matmut ...
... we (had) our home insurance at the Matmut, in September the Syphon of the shower fled, it was replaced by a professional at our expense ... because of this leak la Matmut terminates our insurance. . ?"&amp;"?")</f>
        <v>Do not take your home insurance at the Matmut ...
... we (had) our home insurance at the Matmut, in September the Syphon of the shower fled, it was replaced by a professional at our expense ... because of this leak la Matmut terminates our insurance. . ??</v>
      </c>
    </row>
    <row r="833" ht="15.75" customHeight="1">
      <c r="B833" s="2" t="s">
        <v>2339</v>
      </c>
      <c r="C833" s="2" t="s">
        <v>2340</v>
      </c>
      <c r="D833" s="2" t="s">
        <v>2287</v>
      </c>
      <c r="E833" s="2" t="s">
        <v>1679</v>
      </c>
      <c r="F833" s="2" t="s">
        <v>15</v>
      </c>
      <c r="G833" s="2" t="s">
        <v>2341</v>
      </c>
      <c r="H833" s="2" t="s">
        <v>141</v>
      </c>
      <c r="I833" s="2" t="str">
        <f>IFERROR(__xludf.DUMMYFUNCTION("GOOGLETRANSLATE(C833,""fr"",""en"")"),"Fired from the Matmut after two claims responsible in 35 years.
The Matmut should do it after a single disaster while it is there.
This is what is not called a mutual.
")</f>
        <v>Fired from the Matmut after two claims responsible in 35 years.
The Matmut should do it after a single disaster while it is there.
This is what is not called a mutual.
</v>
      </c>
    </row>
    <row r="834" ht="15.75" customHeight="1">
      <c r="B834" s="2" t="s">
        <v>2342</v>
      </c>
      <c r="C834" s="2" t="s">
        <v>2343</v>
      </c>
      <c r="D834" s="2" t="s">
        <v>2287</v>
      </c>
      <c r="E834" s="2" t="s">
        <v>1679</v>
      </c>
      <c r="F834" s="2" t="s">
        <v>15</v>
      </c>
      <c r="G834" s="2" t="s">
        <v>2344</v>
      </c>
      <c r="H834" s="2" t="s">
        <v>141</v>
      </c>
      <c r="I834" s="2" t="str">
        <f>IFERROR(__xludf.DUMMYFUNCTION("GOOGLETRANSLATE(C834,""fr"",""en"")"),"Victim of water damage we were followed by our insurer La Matmut.
The reception at the Chambéry counter and on the phone (Lyon siege?) Was particularly pleasant in view of the circumstances and the employees showed a lot of patience and efficiency.
The "&amp;"charge of costs on quote as well as the reimbursement on invoice was very fast.
Bravo to all the staff who have listened to.")</f>
        <v>Victim of water damage we were followed by our insurer La Matmut.
The reception at the Chambéry counter and on the phone (Lyon siege?) Was particularly pleasant in view of the circumstances and the employees showed a lot of patience and efficiency.
The charge of costs on quote as well as the reimbursement on invoice was very fast.
Bravo to all the staff who have listened to.</v>
      </c>
    </row>
    <row r="835" ht="15.75" customHeight="1">
      <c r="B835" s="2" t="s">
        <v>2345</v>
      </c>
      <c r="C835" s="2" t="s">
        <v>2346</v>
      </c>
      <c r="D835" s="2" t="s">
        <v>2287</v>
      </c>
      <c r="E835" s="2" t="s">
        <v>1679</v>
      </c>
      <c r="F835" s="2" t="s">
        <v>15</v>
      </c>
      <c r="G835" s="2" t="s">
        <v>163</v>
      </c>
      <c r="H835" s="2" t="s">
        <v>141</v>
      </c>
      <c r="I835" s="2" t="str">
        <f>IFERROR(__xludf.DUMMYFUNCTION("GOOGLETRANSLATE(C835,""fr"",""en"")"),"I have a home insurance at the Matmut with an appliances option, I took this option because having appliances more under warranty but under 7 years old, the general conditions of the Matmut for this option. But unfortunately I had 4 breakdowns over a peri"&amp;"od of 24 months. I was surprised to receive yesterday an ar telling me that I had too many breakdowns which was not good for their figures, I went to see the general conditions and in no case there is a quota, amount for This option. I asked them to justi"&amp;"fy this deletion of option to me on January 1, 2021, their answer: there is nothing marked in the general conditions (no loss quota, nor maximum amount not to exceed) that only the direction chosen if I am still entitled to this option. I asked them for a"&amp;" writing of this answer, they cannot even answer the management decides. I am a little annoyed because I have all my contracts at the Matmut or 9 in total more my daughter 3. And for an option story at 4 euros not month I will surely remove certain contra"&amp;"cts either all.")</f>
        <v>I have a home insurance at the Matmut with an appliances option, I took this option because having appliances more under warranty but under 7 years old, the general conditions of the Matmut for this option. But unfortunately I had 4 breakdowns over a period of 24 months. I was surprised to receive yesterday an ar telling me that I had too many breakdowns which was not good for their figures, I went to see the general conditions and in no case there is a quota, amount for This option. I asked them to justify this deletion of option to me on January 1, 2021, their answer: there is nothing marked in the general conditions (no loss quota, nor maximum amount not to exceed) that only the direction chosen if I am still entitled to this option. I asked them for a writing of this answer, they cannot even answer the management decides. I am a little annoyed because I have all my contracts at the Matmut or 9 in total more my daughter 3. And for an option story at 4 euros not month I will surely remove certain contracts either all.</v>
      </c>
    </row>
    <row r="836" ht="15.75" customHeight="1">
      <c r="B836" s="2" t="s">
        <v>2347</v>
      </c>
      <c r="C836" s="2" t="s">
        <v>2348</v>
      </c>
      <c r="D836" s="2" t="s">
        <v>2287</v>
      </c>
      <c r="E836" s="2" t="s">
        <v>1679</v>
      </c>
      <c r="F836" s="2" t="s">
        <v>15</v>
      </c>
      <c r="G836" s="2" t="s">
        <v>2101</v>
      </c>
      <c r="H836" s="2" t="s">
        <v>167</v>
      </c>
      <c r="I836" s="2" t="str">
        <f>IFERROR(__xludf.DUMMYFUNCTION("GOOGLETRANSLATE(C836,""fr"",""en"")"),"I was able to count on them on my water leak, one holiday in addition and I did not debit anything. I also thank the plumber for his rapid intervention.")</f>
        <v>I was able to count on them on my water leak, one holiday in addition and I did not debit anything. I also thank the plumber for his rapid intervention.</v>
      </c>
    </row>
    <row r="837" ht="15.75" customHeight="1">
      <c r="B837" s="2" t="s">
        <v>2349</v>
      </c>
      <c r="C837" s="2" t="s">
        <v>2350</v>
      </c>
      <c r="D837" s="2" t="s">
        <v>2287</v>
      </c>
      <c r="E837" s="2" t="s">
        <v>1679</v>
      </c>
      <c r="F837" s="2" t="s">
        <v>15</v>
      </c>
      <c r="G837" s="2" t="s">
        <v>1178</v>
      </c>
      <c r="H837" s="2" t="s">
        <v>174</v>
      </c>
      <c r="I837" s="2" t="str">
        <f>IFERROR(__xludf.DUMMYFUNCTION("GOOGLETRANSLATE(C837,""fr"",""en"")"),"Insured for 12 years, I had my 1st claim on September 5, 2020 (burglary), the management of your part is just catastrophic !!!!
I am disappointed !! No cohesive on the part of the different interlocutors, no reminders, the arrival of an expert who was lo"&amp;"ng overdue !!!! I was stolen a whole electrical table so I do not No electricity, so there is an emergency but it does not press you for autanf !!! The Matmut ensures when there is no problem.
My parents have been with you for more than 25 years and othe"&amp;"r members of my family (and many of us) in view of the incompetence as to the management of my file, I can assure you that many will leave !!! !!!")</f>
        <v>Insured for 12 years, I had my 1st claim on September 5, 2020 (burglary), the management of your part is just catastrophic !!!!
I am disappointed !! No cohesive on the part of the different interlocutors, no reminders, the arrival of an expert who was long overdue !!!! I was stolen a whole electrical table so I do not No electricity, so there is an emergency but it does not press you for autanf !!! The Matmut ensures when there is no problem.
My parents have been with you for more than 25 years and other members of my family (and many of us) in view of the incompetence as to the management of my file, I can assure you that many will leave !!! !!!</v>
      </c>
    </row>
    <row r="838" ht="15.75" customHeight="1">
      <c r="B838" s="2" t="s">
        <v>2351</v>
      </c>
      <c r="C838" s="2" t="s">
        <v>2352</v>
      </c>
      <c r="D838" s="2" t="s">
        <v>2287</v>
      </c>
      <c r="E838" s="2" t="s">
        <v>1679</v>
      </c>
      <c r="F838" s="2" t="s">
        <v>15</v>
      </c>
      <c r="G838" s="2" t="s">
        <v>2353</v>
      </c>
      <c r="H838" s="2" t="s">
        <v>174</v>
      </c>
      <c r="I838" s="2" t="str">
        <f>IFERROR(__xludf.DUMMYFUNCTION("GOOGLETRANSLATE(C838,""fr"",""en"")"),"Very bad insurance of the unprecedented. A simple painting incident here is to call insurance for 3 months without having an interlocutor who takes care of my file.")</f>
        <v>Very bad insurance of the unprecedented. A simple painting incident here is to call insurance for 3 months without having an interlocutor who takes care of my file.</v>
      </c>
    </row>
    <row r="839" ht="15.75" customHeight="1">
      <c r="B839" s="2" t="s">
        <v>2354</v>
      </c>
      <c r="C839" s="2" t="s">
        <v>2355</v>
      </c>
      <c r="D839" s="2" t="s">
        <v>2287</v>
      </c>
      <c r="E839" s="2" t="s">
        <v>1679</v>
      </c>
      <c r="F839" s="2" t="s">
        <v>15</v>
      </c>
      <c r="G839" s="2" t="s">
        <v>1181</v>
      </c>
      <c r="H839" s="2" t="s">
        <v>174</v>
      </c>
      <c r="I839" s="2" t="str">
        <f>IFERROR(__xludf.DUMMYFUNCTION("GOOGLETRANSLATE(C839,""fr"",""en"")"),"- Contact impossible to establish (phone, email) except to move
- Experts out I don't know where, affirming absurdities
- everything is done to refrain from taking care of the claims however small
I wonder about Matmut's desire to take care of the big "&amp;"damage: burglary, fire and ... I will therefore resolve to leave this insurer.")</f>
        <v>- Contact impossible to establish (phone, email) except to move
- Experts out I don't know where, affirming absurdities
- everything is done to refrain from taking care of the claims however small
I wonder about Matmut's desire to take care of the big damage: burglary, fire and ... I will therefore resolve to leave this insurer.</v>
      </c>
    </row>
    <row r="840" ht="15.75" customHeight="1">
      <c r="B840" s="2" t="s">
        <v>2356</v>
      </c>
      <c r="C840" s="2" t="s">
        <v>2357</v>
      </c>
      <c r="D840" s="2" t="s">
        <v>2287</v>
      </c>
      <c r="E840" s="2" t="s">
        <v>1679</v>
      </c>
      <c r="F840" s="2" t="s">
        <v>15</v>
      </c>
      <c r="G840" s="2" t="s">
        <v>2358</v>
      </c>
      <c r="H840" s="2" t="s">
        <v>196</v>
      </c>
      <c r="I840" s="2" t="str">
        <f>IFERROR(__xludf.DUMMYFUNCTION("GOOGLETRANSLATE(C840,""fr"",""en"")"),"Non -existent service and follow -up. Water damage declared in August 2019 still not compensated 1 year later. 13 calls, emails on the insured space: no response. The advisers reject the fault of their providers (Inter Mutuelle Habitat). Super class as at"&amp;"titude. They promise to remember and never nothing .... The work is still not carried out.
I have never had such a bad service with insurance. I took it for the ease of contract by internet but nothing behind. To flee.")</f>
        <v>Non -existent service and follow -up. Water damage declared in August 2019 still not compensated 1 year later. 13 calls, emails on the insured space: no response. The advisers reject the fault of their providers (Inter Mutuelle Habitat). Super class as attitude. They promise to remember and never nothing .... The work is still not carried out.
I have never had such a bad service with insurance. I took it for the ease of contract by internet but nothing behind. To flee.</v>
      </c>
    </row>
    <row r="841" ht="15.75" customHeight="1">
      <c r="B841" s="2" t="s">
        <v>2359</v>
      </c>
      <c r="C841" s="2" t="s">
        <v>2360</v>
      </c>
      <c r="D841" s="2" t="s">
        <v>2287</v>
      </c>
      <c r="E841" s="2" t="s">
        <v>1679</v>
      </c>
      <c r="F841" s="2" t="s">
        <v>15</v>
      </c>
      <c r="G841" s="2" t="s">
        <v>2361</v>
      </c>
      <c r="H841" s="2" t="s">
        <v>203</v>
      </c>
      <c r="I841" s="2" t="str">
        <f>IFERROR(__xludf.DUMMYFUNCTION("GOOGLETRANSLATE(C841,""fr"",""en"")"),"Engorgement Evacuation Water Water in a detached house, neither assistance nor customer service can provide me with help on Saturday charge to me to manage alone without being assured of being reimbursed while my contract takes care of this problem")</f>
        <v>Engorgement Evacuation Water Water in a detached house, neither assistance nor customer service can provide me with help on Saturday charge to me to manage alone without being assured of being reimbursed while my contract takes care of this problem</v>
      </c>
    </row>
    <row r="842" ht="15.75" customHeight="1">
      <c r="B842" s="2" t="s">
        <v>2362</v>
      </c>
      <c r="C842" s="2" t="s">
        <v>2363</v>
      </c>
      <c r="D842" s="2" t="s">
        <v>2287</v>
      </c>
      <c r="E842" s="2" t="s">
        <v>1679</v>
      </c>
      <c r="F842" s="2" t="s">
        <v>15</v>
      </c>
      <c r="G842" s="2" t="s">
        <v>2364</v>
      </c>
      <c r="H842" s="2" t="s">
        <v>210</v>
      </c>
      <c r="I842" s="2" t="str">
        <f>IFERROR(__xludf.DUMMYFUNCTION("GOOGLETRANSLATE(C842,""fr"",""en"")"),"Following a break -in in the condominium provided at the Matmut, I have an advisor who asked me to send the quote for the repair of the front door and the filing of complaints, and informs me that they compensate Based on the identical repair. More than 2"&amp;"0 days later no news, after a call I receive the answer ... which tells me that there is no support for this type of damage, when we were reimbursed for Exactly the same thing 2 years ago ... I think I go to see elsewhere.")</f>
        <v>Following a break -in in the condominium provided at the Matmut, I have an advisor who asked me to send the quote for the repair of the front door and the filing of complaints, and informs me that they compensate Based on the identical repair. More than 20 days later no news, after a call I receive the answer ... which tells me that there is no support for this type of damage, when we were reimbursed for Exactly the same thing 2 years ago ... I think I go to see elsewhere.</v>
      </c>
    </row>
    <row r="843" ht="15.75" customHeight="1">
      <c r="B843" s="2" t="s">
        <v>2365</v>
      </c>
      <c r="C843" s="2" t="s">
        <v>2366</v>
      </c>
      <c r="D843" s="2" t="s">
        <v>2287</v>
      </c>
      <c r="E843" s="2" t="s">
        <v>1679</v>
      </c>
      <c r="F843" s="2" t="s">
        <v>15</v>
      </c>
      <c r="G843" s="2" t="s">
        <v>2367</v>
      </c>
      <c r="H843" s="2" t="s">
        <v>210</v>
      </c>
      <c r="I843" s="2" t="str">
        <f>IFERROR(__xludf.DUMMYFUNCTION("GOOGLETRANSLATE(C843,""fr"",""en"")"),"Unreachable customer service, complaints that are useless.")</f>
        <v>Unreachable customer service, complaints that are useless.</v>
      </c>
    </row>
    <row r="844" ht="15.75" customHeight="1">
      <c r="B844" s="2" t="s">
        <v>2368</v>
      </c>
      <c r="C844" s="2" t="s">
        <v>2369</v>
      </c>
      <c r="D844" s="2" t="s">
        <v>2287</v>
      </c>
      <c r="E844" s="2" t="s">
        <v>1679</v>
      </c>
      <c r="F844" s="2" t="s">
        <v>15</v>
      </c>
      <c r="G844" s="2" t="s">
        <v>2367</v>
      </c>
      <c r="H844" s="2" t="s">
        <v>210</v>
      </c>
      <c r="I844" s="2" t="str">
        <f>IFERROR(__xludf.DUMMYFUNCTION("GOOGLETRANSLATE(C844,""fr"",""en"")"),"Disaster damage of water with obvious damage within the walls and
 in the window of the window but no refund
 All pretexts not to reimburse")</f>
        <v>Disaster damage of water with obvious damage within the walls and
 in the window of the window but no refund
 All pretexts not to reimburse</v>
      </c>
    </row>
    <row r="845" ht="15.75" customHeight="1">
      <c r="B845" s="2" t="s">
        <v>2370</v>
      </c>
      <c r="C845" s="2" t="s">
        <v>2371</v>
      </c>
      <c r="D845" s="2" t="s">
        <v>2287</v>
      </c>
      <c r="E845" s="2" t="s">
        <v>1679</v>
      </c>
      <c r="F845" s="2" t="s">
        <v>15</v>
      </c>
      <c r="G845" s="2" t="s">
        <v>2372</v>
      </c>
      <c r="H845" s="2" t="s">
        <v>210</v>
      </c>
      <c r="I845" s="2" t="str">
        <f>IFERROR(__xludf.DUMMYFUNCTION("GOOGLETRANSLATE(C845,""fr"",""en"")"),"Very mismanagement of claims. You have to revive without stopping. Sinister of the waters in an apartment in Loication, due to a leak with a neighbor, from October 2019. To date, June 22, 2020 still unsolved. Worse, closed the disaster without saying anyt"&amp;"hing to anyone; force to call them and reclaim the reopening, sometimes you are amnesic ...")</f>
        <v>Very mismanagement of claims. You have to revive without stopping. Sinister of the waters in an apartment in Loication, due to a leak with a neighbor, from October 2019. To date, June 22, 2020 still unsolved. Worse, closed the disaster without saying anything to anyone; force to call them and reclaim the reopening, sometimes you are amnesic ...</v>
      </c>
    </row>
    <row r="846" ht="15.75" customHeight="1">
      <c r="B846" s="2" t="s">
        <v>2373</v>
      </c>
      <c r="C846" s="2" t="s">
        <v>2374</v>
      </c>
      <c r="D846" s="2" t="s">
        <v>2287</v>
      </c>
      <c r="E846" s="2" t="s">
        <v>1679</v>
      </c>
      <c r="F846" s="2" t="s">
        <v>15</v>
      </c>
      <c r="G846" s="2" t="s">
        <v>933</v>
      </c>
      <c r="H846" s="2" t="s">
        <v>210</v>
      </c>
      <c r="I846" s="2" t="str">
        <f>IFERROR(__xludf.DUMMYFUNCTION("GOOGLETRANSLATE(C846,""fr"",""en"")"),"The guarantees are always bypassing, the Matmut is only there to say that it ensures, but whatever the disaster, it does not ensure ...")</f>
        <v>The guarantees are always bypassing, the Matmut is only there to say that it ensures, but whatever the disaster, it does not ensure ...</v>
      </c>
    </row>
    <row r="847" ht="15.75" customHeight="1">
      <c r="B847" s="2" t="s">
        <v>2375</v>
      </c>
      <c r="C847" s="2" t="s">
        <v>2376</v>
      </c>
      <c r="D847" s="2" t="s">
        <v>2287</v>
      </c>
      <c r="E847" s="2" t="s">
        <v>1679</v>
      </c>
      <c r="F847" s="2" t="s">
        <v>15</v>
      </c>
      <c r="G847" s="2" t="s">
        <v>1213</v>
      </c>
      <c r="H847" s="2" t="s">
        <v>210</v>
      </c>
      <c r="I847" s="2" t="str">
        <f>IFERROR(__xludf.DUMMYFUNCTION("GOOGLETRANSLATE(C847,""fr"",""en"")"),"I put a star because I can't get zero. Insured since 2003. Claims in January 2019, not treated not treated knowing that the expert has quantified the vehicle. I continued to pay all of the insurance, all increased risk while the vehicle was declared non -"&amp;"repairable by the 1st expert. Tented since January 2020 by Matmut insurance. To date too much file according to agent Matmut, my file is not that priority. The expectation generates damages (damages with an S)")</f>
        <v>I put a star because I can't get zero. Insured since 2003. Claims in January 2019, not treated not treated knowing that the expert has quantified the vehicle. I continued to pay all of the insurance, all increased risk while the vehicle was declared non -repairable by the 1st expert. Tented since January 2020 by Matmut insurance. To date too much file according to agent Matmut, my file is not that priority. The expectation generates damages (damages with an S)</v>
      </c>
    </row>
    <row r="848" ht="15.75" customHeight="1">
      <c r="B848" s="2" t="s">
        <v>2377</v>
      </c>
      <c r="C848" s="2" t="s">
        <v>2378</v>
      </c>
      <c r="D848" s="2" t="s">
        <v>2287</v>
      </c>
      <c r="E848" s="2" t="s">
        <v>1679</v>
      </c>
      <c r="F848" s="2" t="s">
        <v>15</v>
      </c>
      <c r="G848" s="2" t="s">
        <v>2379</v>
      </c>
      <c r="H848" s="2" t="s">
        <v>218</v>
      </c>
      <c r="I848" s="2" t="str">
        <f>IFERROR(__xludf.DUMMYFUNCTION("GOOGLETRANSLATE(C848,""fr"",""en"")"),"Degats of the waters following the ends of the end of 2019 after the radio silence for 3 months I receive an email with refusal of compensation I disputed their conclusion and in addition I stressed that my municipality was classified in natural disaster "&amp;"for this period, I am waiting for an answer on their part.")</f>
        <v>Degats of the waters following the ends of the end of 2019 after the radio silence for 3 months I receive an email with refusal of compensation I disputed their conclusion and in addition I stressed that my municipality was classified in natural disaster for this period, I am waiting for an answer on their part.</v>
      </c>
    </row>
    <row r="849" ht="15.75" customHeight="1">
      <c r="B849" s="2" t="s">
        <v>2380</v>
      </c>
      <c r="C849" s="2" t="s">
        <v>2381</v>
      </c>
      <c r="D849" s="2" t="s">
        <v>2287</v>
      </c>
      <c r="E849" s="2" t="s">
        <v>1679</v>
      </c>
      <c r="F849" s="2" t="s">
        <v>15</v>
      </c>
      <c r="G849" s="2" t="s">
        <v>1946</v>
      </c>
      <c r="H849" s="2" t="s">
        <v>380</v>
      </c>
      <c r="I849" s="2" t="str">
        <f>IFERROR(__xludf.DUMMYFUNCTION("GOOGLETRANSLATE(C849,""fr"",""en"")"),"As many have said, when there is no problem, everything is fine, especially to collect 30 years of home insurance at € 470/year (do the account ...). I had a disaster (damage of little extensive waters) almost 2 years ago. I always wait for the work to be"&amp;" done. The Matmut drags things, does not offer anything to solve the humidity problem, takes refuge behind contradictory values ​​(humidity measurements) between the various stakeholders in the file; She only moves (slowly) every 3 or 4 months, when I rea"&amp;"lly harass them on the phone to summon them to do the work ...
When the expert went initially at home to assess the damage, I even had the rise to an increase in the increase in my subscription on the pretext that I would have undervalued the number of d"&amp;"ocuments! You have just had a water damage and all that the expert tells you is that you will have to review your subscription! I myself removed the parquet floor of the room, and integrated ventilation in the room. Last news of the day: an expert will go"&amp;" back; And it's off for a tour ...
PS: I do not check the box so that a matmut advisor reminds me, I have just had the sinister service for more than 30 minutes which explains to me that no, the work cannot yet be done but that an expert will come back s"&amp;"oon ...")</f>
        <v>As many have said, when there is no problem, everything is fine, especially to collect 30 years of home insurance at € 470/year (do the account ...). I had a disaster (damage of little extensive waters) almost 2 years ago. I always wait for the work to be done. The Matmut drags things, does not offer anything to solve the humidity problem, takes refuge behind contradictory values ​​(humidity measurements) between the various stakeholders in the file; She only moves (slowly) every 3 or 4 months, when I really harass them on the phone to summon them to do the work ...
When the expert went initially at home to assess the damage, I even had the rise to an increase in the increase in my subscription on the pretext that I would have undervalued the number of documents! You have just had a water damage and all that the expert tells you is that you will have to review your subscription! I myself removed the parquet floor of the room, and integrated ventilation in the room. Last news of the day: an expert will go back; And it's off for a tour ...
PS: I do not check the box so that a matmut advisor reminds me, I have just had the sinister service for more than 30 minutes which explains to me that no, the work cannot yet be done but that an expert will come back soon ...</v>
      </c>
    </row>
    <row r="850" ht="15.75" customHeight="1">
      <c r="B850" s="2" t="s">
        <v>2382</v>
      </c>
      <c r="C850" s="2" t="s">
        <v>2383</v>
      </c>
      <c r="D850" s="2" t="s">
        <v>2287</v>
      </c>
      <c r="E850" s="2" t="s">
        <v>1679</v>
      </c>
      <c r="F850" s="2" t="s">
        <v>15</v>
      </c>
      <c r="G850" s="2" t="s">
        <v>1600</v>
      </c>
      <c r="H850" s="2" t="s">
        <v>384</v>
      </c>
      <c r="I850" s="2" t="str">
        <f>IFERROR(__xludf.DUMMYFUNCTION("GOOGLETRANSLATE(C850,""fr"",""en"")"),"Very disappointed with this insurance. I subscribe to a housing contract in March 2019 and left the accommodation in October following a different with my owner. I sent a letter of termination to the headquarters the month of my departure from the apartme"&amp;"nt by joining my letter of the outcome of outing to my letter and I waited until yesterday, with many reminders, to finally call them. The service tells me that they have not received my first letter and that they are currently behind. When I ask if I wil"&amp;"l be reimbursed for 6 months paid not spent in the accommodation, I am told that no and that the month of January will be reimbursed if they are nice? I have never seen such a deplorable service and I do not intend to stop on this. To avoid very seriously"&amp;".")</f>
        <v>Very disappointed with this insurance. I subscribe to a housing contract in March 2019 and left the accommodation in October following a different with my owner. I sent a letter of termination to the headquarters the month of my departure from the apartment by joining my letter of the outcome of outing to my letter and I waited until yesterday, with many reminders, to finally call them. The service tells me that they have not received my first letter and that they are currently behind. When I ask if I will be reimbursed for 6 months paid not spent in the accommodation, I am told that no and that the month of January will be reimbursed if they are nice? I have never seen such a deplorable service and I do not intend to stop on this. To avoid very seriously.</v>
      </c>
    </row>
    <row r="851" ht="15.75" customHeight="1">
      <c r="B851" s="2" t="s">
        <v>2384</v>
      </c>
      <c r="C851" s="2" t="s">
        <v>2385</v>
      </c>
      <c r="D851" s="2" t="s">
        <v>2287</v>
      </c>
      <c r="E851" s="2" t="s">
        <v>1679</v>
      </c>
      <c r="F851" s="2" t="s">
        <v>15</v>
      </c>
      <c r="G851" s="2" t="s">
        <v>950</v>
      </c>
      <c r="H851" s="2" t="s">
        <v>384</v>
      </c>
      <c r="I851" s="2" t="str">
        <f>IFERROR(__xludf.DUMMYFUNCTION("GOOGLETRANSLATE(C851,""fr"",""en"")"),"Avoid.
Victim of a claim, but having the same insurance as the author of the facts, and despite the arrival and validation of their expert, this mercantile company refuses to recognize the disaster. So I turn to the insurance mediator.")</f>
        <v>Avoid.
Victim of a claim, but having the same insurance as the author of the facts, and despite the arrival and validation of their expert, this mercantile company refuses to recognize the disaster. So I turn to the insurance mediator.</v>
      </c>
    </row>
    <row r="852" ht="15.75" customHeight="1">
      <c r="B852" s="2" t="s">
        <v>2386</v>
      </c>
      <c r="C852" s="2" t="s">
        <v>2387</v>
      </c>
      <c r="D852" s="2" t="s">
        <v>2287</v>
      </c>
      <c r="E852" s="2" t="s">
        <v>1679</v>
      </c>
      <c r="F852" s="2" t="s">
        <v>15</v>
      </c>
      <c r="G852" s="2" t="s">
        <v>2388</v>
      </c>
      <c r="H852" s="2" t="s">
        <v>384</v>
      </c>
      <c r="I852" s="2" t="str">
        <f>IFERROR(__xludf.DUMMYFUNCTION("GOOGLETRANSLATE(C852,""fr"",""en"")"),"Very angry and very disappointed
I subscribed to a housing contract in October 2019. I signed for the sum which was offered to me
To my biggest surprise on my account the price is slightly higher when signing the contract
And I signed for a housing con"&amp;"tract no other contract ... I noticed by going to my personal account that I have another contract that I did not ask for it is the MATMUT SMAC contract ... .
My problem is that now I am more in the accommodation or I asked for the home contract, I hav"&amp;"e encountered a problem with the accommodation, L that I have to enter the keys to the owner the following month because his accommodation had humidity problems
Currently I have been more in the accommodation for three months I would like to stop the con"&amp;"tract.
By sending the letter of termination to explain the causes of my termination .... and you continue to take me to my account ....
In this case how is it going?
")</f>
        <v>Very angry and very disappointed
I subscribed to a housing contract in October 2019. I signed for the sum which was offered to me
To my biggest surprise on my account the price is slightly higher when signing the contract
And I signed for a housing contract no other contract ... I noticed by going to my personal account that I have another contract that I did not ask for it is the MATMUT SMAC contract ... .
My problem is that now I am more in the accommodation or I asked for the home contract, I have encountered a problem with the accommodation, L that I have to enter the keys to the owner the following month because his accommodation had humidity problems
Currently I have been more in the accommodation for three months I would like to stop the contract.
By sending the letter of termination to explain the causes of my termination .... and you continue to take me to my account ....
In this case how is it going?
</v>
      </c>
    </row>
    <row r="853" ht="15.75" customHeight="1">
      <c r="B853" s="2" t="s">
        <v>2389</v>
      </c>
      <c r="C853" s="2" t="s">
        <v>2390</v>
      </c>
      <c r="D853" s="2" t="s">
        <v>2287</v>
      </c>
      <c r="E853" s="2" t="s">
        <v>1679</v>
      </c>
      <c r="F853" s="2" t="s">
        <v>15</v>
      </c>
      <c r="G853" s="2" t="s">
        <v>2391</v>
      </c>
      <c r="H853" s="2" t="s">
        <v>222</v>
      </c>
      <c r="I853" s="2" t="str">
        <f>IFERROR(__xludf.DUMMYFUNCTION("GOOGLETRANSLATE(C853,""fr"",""en"")"),"A big thank you to the Matmut for terminating my 7 contracts
For the reason ""alternation of our commercial relations""
The facts: I declared a small claim which, moreover, I was not responsible. Five weeks later, following the dysfunction of the "&amp;"care of my disaster, during my third visit to the agency I strongly expressed my dissatisfaction. The sanction was immediate: termination of all my contracts!
Having been previously assured at the AXA company for 30 years I so so early open all my cont"&amp;"racts at AXA. It turned out that my premiums now are slightly lower than those deducted by the Matmut when advertising wants to make believe that the latter is the most competitive on the market.
That more is, my 30 -year experience spent at AXA allows m"&amp;"e to compare the responsiveness of the latter when taking charge of claims as well as listening to their insured.
")</f>
        <v>A big thank you to the Matmut for terminating my 7 contracts
For the reason "alternation of our commercial relations"
The facts: I declared a small claim which, moreover, I was not responsible. Five weeks later, following the dysfunction of the care of my disaster, during my third visit to the agency I strongly expressed my dissatisfaction. The sanction was immediate: termination of all my contracts!
Having been previously assured at the AXA company for 30 years I so so early open all my contracts at AXA. It turned out that my premiums now are slightly lower than those deducted by the Matmut when advertising wants to make believe that the latter is the most competitive on the market.
That more is, my 30 -year experience spent at AXA allows me to compare the responsiveness of the latter when taking charge of claims as well as listening to their insured.
</v>
      </c>
    </row>
    <row r="854" ht="15.75" customHeight="1">
      <c r="B854" s="2" t="s">
        <v>2392</v>
      </c>
      <c r="C854" s="2" t="s">
        <v>2393</v>
      </c>
      <c r="D854" s="2" t="s">
        <v>2287</v>
      </c>
      <c r="E854" s="2" t="s">
        <v>1679</v>
      </c>
      <c r="F854" s="2" t="s">
        <v>15</v>
      </c>
      <c r="G854" s="2" t="s">
        <v>2394</v>
      </c>
      <c r="H854" s="2" t="s">
        <v>222</v>
      </c>
      <c r="I854" s="2" t="str">
        <f>IFERROR(__xludf.DUMMYFUNCTION("GOOGLETRANSLATE(C854,""fr"",""en"")"),"Client for a few years for home insurance, I ask for a quote because I move. They make me a direct contract and I realize that I am already debited without having signed anything .... moreover their ""telephone reception ""is unreachable.")</f>
        <v>Client for a few years for home insurance, I ask for a quote because I move. They make me a direct contract and I realize that I am already debited without having signed anything .... moreover their "telephone reception "is unreachable.</v>
      </c>
    </row>
    <row r="855" ht="15.75" customHeight="1">
      <c r="B855" s="2" t="s">
        <v>2395</v>
      </c>
      <c r="C855" s="2" t="s">
        <v>2396</v>
      </c>
      <c r="D855" s="2" t="s">
        <v>2287</v>
      </c>
      <c r="E855" s="2" t="s">
        <v>1679</v>
      </c>
      <c r="F855" s="2" t="s">
        <v>15</v>
      </c>
      <c r="G855" s="2" t="s">
        <v>2397</v>
      </c>
      <c r="H855" s="2" t="s">
        <v>222</v>
      </c>
      <c r="I855" s="2" t="str">
        <f>IFERROR(__xludf.DUMMYFUNCTION("GOOGLETRANSLATE(C855,""fr"",""en"")"),"I sent a declaration of ice breaking with the invoice on September 28, 2019. Since then I wrote twice on their mailbox, I called 3 times, I sent an LR with AR on 9 11 19, I went to my Matmut agency; No answer, no information, no file number. Member for 40"&amp;" years I find that the matmut services deteriorate considerably and that the customer is really mistreated.")</f>
        <v>I sent a declaration of ice breaking with the invoice on September 28, 2019. Since then I wrote twice on their mailbox, I called 3 times, I sent an LR with AR on 9 11 19, I went to my Matmut agency; No answer, no information, no file number. Member for 40 years I find that the matmut services deteriorate considerably and that the customer is really mistreated.</v>
      </c>
    </row>
    <row r="856" ht="15.75" customHeight="1">
      <c r="B856" s="2" t="s">
        <v>2398</v>
      </c>
      <c r="C856" s="2" t="s">
        <v>2399</v>
      </c>
      <c r="D856" s="2" t="s">
        <v>2287</v>
      </c>
      <c r="E856" s="2" t="s">
        <v>1679</v>
      </c>
      <c r="F856" s="2" t="s">
        <v>15</v>
      </c>
      <c r="G856" s="2" t="s">
        <v>2400</v>
      </c>
      <c r="H856" s="2" t="s">
        <v>222</v>
      </c>
      <c r="I856" s="2" t="str">
        <f>IFERROR(__xludf.DUMMYFUNCTION("GOOGLETRANSLATE(C856,""fr"",""en"")"),"On Rennes, very bad experience with an SCI, a configuration obviously too complicated for the Matmut which mandates an ""expert"" who is not one for water damage.")</f>
        <v>On Rennes, very bad experience with an SCI, a configuration obviously too complicated for the Matmut which mandates an "expert" who is not one for water damage.</v>
      </c>
    </row>
    <row r="857" ht="15.75" customHeight="1">
      <c r="B857" s="2" t="s">
        <v>2401</v>
      </c>
      <c r="C857" s="2" t="s">
        <v>2402</v>
      </c>
      <c r="D857" s="2" t="s">
        <v>2287</v>
      </c>
      <c r="E857" s="2" t="s">
        <v>1679</v>
      </c>
      <c r="F857" s="2" t="s">
        <v>15</v>
      </c>
      <c r="G857" s="2" t="s">
        <v>2151</v>
      </c>
      <c r="H857" s="2" t="s">
        <v>403</v>
      </c>
      <c r="I857" s="2" t="str">
        <f>IFERROR(__xludf.DUMMYFUNCTION("GOOGLETRANSLATE(C857,""fr"",""en"")"),"Water damage declared in July 2019 still no repair. The damage of the coming comes from a third party it has been compensated by its insurance but the Matmut never responds and does not know where the file is")</f>
        <v>Water damage declared in July 2019 still no repair. The damage of the coming comes from a third party it has been compensated by its insurance but the Matmut never responds and does not know where the file is</v>
      </c>
    </row>
    <row r="858" ht="15.75" customHeight="1">
      <c r="B858" s="2" t="s">
        <v>2403</v>
      </c>
      <c r="C858" s="2" t="s">
        <v>2404</v>
      </c>
      <c r="D858" s="2" t="s">
        <v>2287</v>
      </c>
      <c r="E858" s="2" t="s">
        <v>1679</v>
      </c>
      <c r="F858" s="2" t="s">
        <v>15</v>
      </c>
      <c r="G858" s="2" t="s">
        <v>1951</v>
      </c>
      <c r="H858" s="2" t="s">
        <v>403</v>
      </c>
      <c r="I858" s="2" t="str">
        <f>IFERROR(__xludf.DUMMYFUNCTION("GOOGLETRANSLATE(C858,""fr"",""en"")"),"Decision of the sinister service to maintain a deductible of 150 euros following a water damage which involves the condominium trustee")</f>
        <v>Decision of the sinister service to maintain a deductible of 150 euros following a water damage which involves the condominium trustee</v>
      </c>
    </row>
    <row r="859" ht="15.75" customHeight="1">
      <c r="B859" s="2" t="s">
        <v>2405</v>
      </c>
      <c r="C859" s="2" t="s">
        <v>2406</v>
      </c>
      <c r="D859" s="2" t="s">
        <v>2287</v>
      </c>
      <c r="E859" s="2" t="s">
        <v>1679</v>
      </c>
      <c r="F859" s="2" t="s">
        <v>15</v>
      </c>
      <c r="G859" s="2" t="s">
        <v>2407</v>
      </c>
      <c r="H859" s="2" t="s">
        <v>403</v>
      </c>
      <c r="I859" s="2" t="str">
        <f>IFERROR(__xludf.DUMMYFUNCTION("GOOGLETRANSLATE(C859,""fr"",""en"")"),"Hello.
I was the victim of an attempted break -in at my home on September 13, 2019. My lock was forced and damaged, but the door was not opened.
I immediately contacted my Matmut agency which absolutely did not help me, and let me completely manage the "&amp;"safety of my home and the repair of my lock. Its replacement was carried out on September 16 and I therefore made the advance of the costs the same day.
The correspondent of my agency seized the declaration of the claim on September 21, forgetting to ind"&amp;"icate that the repair had been made, and that the invoice had been given to him. Since then I have no news.
I went 4 times to my agency where I never get any answers to my questions, both on the situation of the file as on the absence of reimbursement, o"&amp;"r on the reason for this blockage. In parallel, via the Matmut messaging attached to my account, I sent 3 messages since October 22 which also remained without any response, apart Treaty as soon as possible ...
Very concretely, it's been 3 months since I"&amp;" put forward the costs of the repair, and that I had no refund, or even the slightest explanation. I let you judge what to think of such a service !!!")</f>
        <v>Hello.
I was the victim of an attempted break -in at my home on September 13, 2019. My lock was forced and damaged, but the door was not opened.
I immediately contacted my Matmut agency which absolutely did not help me, and let me completely manage the safety of my home and the repair of my lock. Its replacement was carried out on September 16 and I therefore made the advance of the costs the same day.
The correspondent of my agency seized the declaration of the claim on September 21, forgetting to indicate that the repair had been made, and that the invoice had been given to him. Since then I have no news.
I went 4 times to my agency where I never get any answers to my questions, both on the situation of the file as on the absence of reimbursement, or on the reason for this blockage. In parallel, via the Matmut messaging attached to my account, I sent 3 messages since October 22 which also remained without any response, apart Treaty as soon as possible ...
Very concretely, it's been 3 months since I put forward the costs of the repair, and that I had no refund, or even the slightest explanation. I let you judge what to think of such a service !!!</v>
      </c>
    </row>
    <row r="860" ht="15.75" customHeight="1">
      <c r="B860" s="2" t="s">
        <v>2408</v>
      </c>
      <c r="C860" s="2" t="s">
        <v>2409</v>
      </c>
      <c r="D860" s="2" t="s">
        <v>2287</v>
      </c>
      <c r="E860" s="2" t="s">
        <v>1679</v>
      </c>
      <c r="F860" s="2" t="s">
        <v>15</v>
      </c>
      <c r="G860" s="2" t="s">
        <v>2410</v>
      </c>
      <c r="H860" s="2" t="s">
        <v>232</v>
      </c>
      <c r="I860" s="2" t="str">
        <f>IFERROR(__xludf.DUMMYFUNCTION("GOOGLETRANSLATE(C860,""fr"",""en"")"),"Insurance to Banir a girlfriend advice me for the price I say to myself ok throwing at Societe general still asks me why I leave, for a few euros very long ever seen it advises customer more than detestable to subscribe very nice but if not happy they bec"&amp;"ome odious he Have dare to tell me that there were more important cases following a downturn in incredible waters. never seen")</f>
        <v>Insurance to Banir a girlfriend advice me for the price I say to myself ok throwing at Societe general still asks me why I leave, for a few euros very long ever seen it advises customer more than detestable to subscribe very nice but if not happy they become odious he Have dare to tell me that there were more important cases following a downturn in incredible waters. never seen</v>
      </c>
    </row>
    <row r="861" ht="15.75" customHeight="1">
      <c r="B861" s="2" t="s">
        <v>2411</v>
      </c>
      <c r="C861" s="2" t="s">
        <v>2412</v>
      </c>
      <c r="D861" s="2" t="s">
        <v>2287</v>
      </c>
      <c r="E861" s="2" t="s">
        <v>1679</v>
      </c>
      <c r="F861" s="2" t="s">
        <v>15</v>
      </c>
      <c r="G861" s="2" t="s">
        <v>2158</v>
      </c>
      <c r="H861" s="2" t="s">
        <v>232</v>
      </c>
      <c r="I861" s="2" t="str">
        <f>IFERROR(__xludf.DUMMYFUNCTION("GOOGLETRANSLATE(C861,""fr"",""en"")"),"We are very satisfied with the Matmut Melun and Rouen. Very good listening quality, reactive during our various claims. Legal assistant legal assistant and very competent housing for more than 40 years we are members and would like to say our very great c"&amp;"ontent.")</f>
        <v>We are very satisfied with the Matmut Melun and Rouen. Very good listening quality, reactive during our various claims. Legal assistant legal assistant and very competent housing for more than 40 years we are members and would like to say our very great content.</v>
      </c>
    </row>
    <row r="862" ht="15.75" customHeight="1">
      <c r="B862" s="2" t="s">
        <v>2375</v>
      </c>
      <c r="C862" s="2" t="s">
        <v>2413</v>
      </c>
      <c r="D862" s="2" t="s">
        <v>2287</v>
      </c>
      <c r="E862" s="2" t="s">
        <v>1679</v>
      </c>
      <c r="F862" s="2" t="s">
        <v>15</v>
      </c>
      <c r="G862" s="2" t="s">
        <v>2414</v>
      </c>
      <c r="H862" s="2" t="s">
        <v>232</v>
      </c>
      <c r="I862" s="2" t="str">
        <f>IFERROR(__xludf.DUMMYFUNCTION("GOOGLETRANSLATE(C862,""fr"",""en"")"),"I have been insured since 2003, damage to the waters of the common parties, an amicable finding made on the 3mar 2019, I am relaunching a few months later to tell me that I did not file the observation. I refer the observation buffer by the agency I am tr"&amp;"ansmitted in September the contact details of the expert who passes at my home and made the quote: response from the Matmut too high so send an email and clearly tells me that I will pay A 150euro cross and that I will be compensated by 721euro and that w"&amp;"hen I have done the work I will touch 500euro I have never committed to carrying out the work. I find it super offset. Insurance really for escape because it is currently blocked. I advise against")</f>
        <v>I have been insured since 2003, damage to the waters of the common parties, an amicable finding made on the 3mar 2019, I am relaunching a few months later to tell me that I did not file the observation. I refer the observation buffer by the agency I am transmitted in September the contact details of the expert who passes at my home and made the quote: response from the Matmut too high so send an email and clearly tells me that I will pay A 150euro cross and that I will be compensated by 721euro and that when I have done the work I will touch 500euro I have never committed to carrying out the work. I find it super offset. Insurance really for escape because it is currently blocked. I advise against</v>
      </c>
    </row>
    <row r="863" ht="15.75" customHeight="1">
      <c r="B863" s="2" t="s">
        <v>2415</v>
      </c>
      <c r="C863" s="2" t="s">
        <v>2416</v>
      </c>
      <c r="D863" s="2" t="s">
        <v>2287</v>
      </c>
      <c r="E863" s="2" t="s">
        <v>1679</v>
      </c>
      <c r="F863" s="2" t="s">
        <v>15</v>
      </c>
      <c r="G863" s="2" t="s">
        <v>2417</v>
      </c>
      <c r="H863" s="2" t="s">
        <v>959</v>
      </c>
      <c r="I863" s="2" t="str">
        <f>IFERROR(__xludf.DUMMYFUNCTION("GOOGLETRANSLATE(C863,""fr"",""en"")"),"Insured for 30 years without ever having a disaster, a friend (who is part of the festival committee) lens me kindly and graciously their barnum. A gale The Barnum flies away and is completely destroyed, response from Matmut: the invoice is in the name of"&amp;" a festival committee we do not take care of this disaster (1200.00 euros per barnum) ... look for the error.")</f>
        <v>Insured for 30 years without ever having a disaster, a friend (who is part of the festival committee) lens me kindly and graciously their barnum. A gale The Barnum flies away and is completely destroyed, response from Matmut: the invoice is in the name of a festival committee we do not take care of this disaster (1200.00 euros per barnum) ... look for the error.</v>
      </c>
    </row>
    <row r="864" ht="15.75" customHeight="1">
      <c r="B864" s="2" t="s">
        <v>2418</v>
      </c>
      <c r="C864" s="2" t="s">
        <v>2419</v>
      </c>
      <c r="D864" s="2" t="s">
        <v>2287</v>
      </c>
      <c r="E864" s="2" t="s">
        <v>1679</v>
      </c>
      <c r="F864" s="2" t="s">
        <v>15</v>
      </c>
      <c r="G864" s="2" t="s">
        <v>1243</v>
      </c>
      <c r="H864" s="2" t="s">
        <v>959</v>
      </c>
      <c r="I864" s="2" t="str">
        <f>IFERROR(__xludf.DUMMYFUNCTION("GOOGLETRANSLATE(C864,""fr"",""en"")"),"33 years of insurance at the Matmut:
Housing, car, school, motorcycle now.
A credit service very well. A perfect tele-assistance.")</f>
        <v>33 years of insurance at the Matmut:
Housing, car, school, motorcycle now.
A credit service very well. A perfect tele-assistance.</v>
      </c>
    </row>
    <row r="865" ht="15.75" customHeight="1">
      <c r="B865" s="2" t="s">
        <v>2420</v>
      </c>
      <c r="C865" s="2" t="s">
        <v>2421</v>
      </c>
      <c r="D865" s="2" t="s">
        <v>2287</v>
      </c>
      <c r="E865" s="2" t="s">
        <v>1679</v>
      </c>
      <c r="F865" s="2" t="s">
        <v>15</v>
      </c>
      <c r="G865" s="2" t="s">
        <v>2422</v>
      </c>
      <c r="H865" s="2" t="s">
        <v>1624</v>
      </c>
      <c r="I865" s="2" t="str">
        <f>IFERROR(__xludf.DUMMYFUNCTION("GOOGLETRANSLATE(C865,""fr"",""en"")"),"Following hail, the expert compensates me by taking into account the contributions paid. I paid 16,000 euros in contributions in 20 years. The Matmut paid me 15,000 euros while the damage is 26,000 euros.")</f>
        <v>Following hail, the expert compensates me by taking into account the contributions paid. I paid 16,000 euros in contributions in 20 years. The Matmut paid me 15,000 euros while the damage is 26,000 euros.</v>
      </c>
    </row>
    <row r="866" ht="15.75" customHeight="1">
      <c r="B866" s="2" t="s">
        <v>2423</v>
      </c>
      <c r="C866" s="2" t="s">
        <v>2424</v>
      </c>
      <c r="D866" s="2" t="s">
        <v>2287</v>
      </c>
      <c r="E866" s="2" t="s">
        <v>1679</v>
      </c>
      <c r="F866" s="2" t="s">
        <v>15</v>
      </c>
      <c r="G866" s="2" t="s">
        <v>2425</v>
      </c>
      <c r="H866" s="2" t="s">
        <v>1624</v>
      </c>
      <c r="I866" s="2" t="str">
        <f>IFERROR(__xludf.DUMMYFUNCTION("GOOGLETRANSLATE(C866,""fr"",""en"")"),"Scandalous method
1 year without response
Aigris interlocutors
Financial hostage
Insured taken for a milk cow
Dear contribution
Quality of mediocre service
Empty shell
")</f>
        <v>Scandalous method
1 year without response
Aigris interlocutors
Financial hostage
Insured taken for a milk cow
Dear contribution
Quality of mediocre service
Empty shell
</v>
      </c>
    </row>
    <row r="867" ht="15.75" customHeight="1">
      <c r="B867" s="2" t="s">
        <v>2426</v>
      </c>
      <c r="C867" s="2" t="s">
        <v>2427</v>
      </c>
      <c r="D867" s="2" t="s">
        <v>2287</v>
      </c>
      <c r="E867" s="2" t="s">
        <v>1679</v>
      </c>
      <c r="F867" s="2" t="s">
        <v>15</v>
      </c>
      <c r="G867" s="2" t="s">
        <v>1264</v>
      </c>
      <c r="H867" s="2" t="s">
        <v>423</v>
      </c>
      <c r="I867" s="2" t="str">
        <f>IFERROR(__xludf.DUMMYFUNCTION("GOOGLETRANSLATE(C867,""fr"",""en"")"),"Hello I was and my mom also a member of the Matmut since 1970. When mom died. The notary took over from the normal payments there was a missed in the payments. While in succession everything would be settled. This insurance allowed itself to no longer ens"&amp;"ure your apartment without even warning me when I was curator and member. They have irresponsible and dangerous behavior. Of course I left this STE as well as my companion and my children I do not recommend this company.")</f>
        <v>Hello I was and my mom also a member of the Matmut since 1970. When mom died. The notary took over from the normal payments there was a missed in the payments. While in succession everything would be settled. This insurance allowed itself to no longer ensure your apartment without even warning me when I was curator and member. They have irresponsible and dangerous behavior. Of course I left this STE as well as my companion and my children I do not recommend this company.</v>
      </c>
    </row>
    <row r="868" ht="15.75" customHeight="1">
      <c r="B868" s="2" t="s">
        <v>2428</v>
      </c>
      <c r="C868" s="2" t="s">
        <v>2429</v>
      </c>
      <c r="D868" s="2" t="s">
        <v>2287</v>
      </c>
      <c r="E868" s="2" t="s">
        <v>1679</v>
      </c>
      <c r="F868" s="2" t="s">
        <v>15</v>
      </c>
      <c r="G868" s="2" t="s">
        <v>2430</v>
      </c>
      <c r="H868" s="2" t="s">
        <v>244</v>
      </c>
      <c r="I868" s="2" t="str">
        <f>IFERROR(__xludf.DUMMYFUNCTION("GOOGLETRANSLATE(C868,""fr"",""en"")"),"For more than 10 years with the Matmut ever a problem. Until today or I find myself bedridden for threat of premature childbirth. So I call after a hospitalization of 6 days to benefit from household aid as provided for in the contract and I come across i"&amp;"ncompetent which tells me that hospitalization for a threat of premature delivery is not planned by the contract. I inquire for my part with other insurances of Nite Malakoff which takes into account my request via my mutual, and I realize that the lady i"&amp;"s just an ill -party. So I recall two weeks later and there I come across an advisor who wants to find out about her superior. So she confirms that the service is possible but it will be from that day so there are only 4 hours of cleaning over the 12 hour"&amp;"s provided for in the contract .... in short. Insurance that only picks up money, because in the event of a hard blow do not count on them.")</f>
        <v>For more than 10 years with the Matmut ever a problem. Until today or I find myself bedridden for threat of premature childbirth. So I call after a hospitalization of 6 days to benefit from household aid as provided for in the contract and I come across incompetent which tells me that hospitalization for a threat of premature delivery is not planned by the contract. I inquire for my part with other insurances of Nite Malakoff which takes into account my request via my mutual, and I realize that the lady is just an ill -party. So I recall two weeks later and there I come across an advisor who wants to find out about her superior. So she confirms that the service is possible but it will be from that day so there are only 4 hours of cleaning over the 12 hours provided for in the contract .... in short. Insurance that only picks up money, because in the event of a hard blow do not count on them.</v>
      </c>
    </row>
    <row r="869" ht="15.75" customHeight="1">
      <c r="B869" s="2" t="s">
        <v>2431</v>
      </c>
      <c r="C869" s="2" t="s">
        <v>2432</v>
      </c>
      <c r="D869" s="2" t="s">
        <v>2287</v>
      </c>
      <c r="E869" s="2" t="s">
        <v>1679</v>
      </c>
      <c r="F869" s="2" t="s">
        <v>15</v>
      </c>
      <c r="G869" s="2" t="s">
        <v>2433</v>
      </c>
      <c r="H869" s="2" t="s">
        <v>244</v>
      </c>
      <c r="I869" s="2" t="str">
        <f>IFERROR(__xludf.DUMMYFUNCTION("GOOGLETRANSLATE(C869,""fr"",""en"")"),"I have been insured for 4 years in car and home insurance, so I have several contracts with Matmut. I share my experience in home insurance. I was robbed and all of my jewelry and other things were stolen. So I make a statement to the Matmut which send me"&amp;" a serrurier that I pay 150 euros. Then I make an appointment with an expert who only comes 2 months after the disaster to see the offense and compliance of the accommodation. The expert takes the invoices without informing me of the suite. I do not recei"&amp;"ve a proposal from the expert concerning the costing, I have not received any letter any information. I receive a few weeks later a transfer which represents only 8% of the total amount of my losses that I declared. So I make two complaints by phone to co"&amp;"ntest, the argument of the Matmut is that article 32 provides that in the event of theft I must present the invoices of the jewelry more photos of me carrying the jewelry in order to be reimbursed (I don't have a photo of myself with all of my jewelry). B"&amp;"ut they still reimbursed me a watch without a photo and only with the invoice so this is not logical. The second argument is that jewelry that has not been purchased in France must have the customs declaration if they exceed 430 euros, but some jewelry fo"&amp;"r which I transmitted photos do not exceed this threshold, they therefore have No customs declaration since I did not exceed the ceiling. But again the Matmut does not want to hear anything and passes my arguments and does not want to take these jewelry i"&amp;"nto account and do not respond to all of my complaint. To date, I was sent to the costing of the expert only after having paid me and after I asked for it and without me giving my approval, the document sent to me is half cut. The arguments they exhibit a"&amp;"re not consistent and there is not a real treatment of my complaint since I never answer my questions, but I am constantly answered the same thing. In addition to being robbed I did not recover anything while I pay my insurance and I do not even have enou"&amp;"gh to buy even a quarter of my losses.")</f>
        <v>I have been insured for 4 years in car and home insurance, so I have several contracts with Matmut. I share my experience in home insurance. I was robbed and all of my jewelry and other things were stolen. So I make a statement to the Matmut which send me a serrurier that I pay 150 euros. Then I make an appointment with an expert who only comes 2 months after the disaster to see the offense and compliance of the accommodation. The expert takes the invoices without informing me of the suite. I do not receive a proposal from the expert concerning the costing, I have not received any letter any information. I receive a few weeks later a transfer which represents only 8% of the total amount of my losses that I declared. So I make two complaints by phone to contest, the argument of the Matmut is that article 32 provides that in the event of theft I must present the invoices of the jewelry more photos of me carrying the jewelry in order to be reimbursed (I don't have a photo of myself with all of my jewelry). But they still reimbursed me a watch without a photo and only with the invoice so this is not logical. The second argument is that jewelry that has not been purchased in France must have the customs declaration if they exceed 430 euros, but some jewelry for which I transmitted photos do not exceed this threshold, they therefore have No customs declaration since I did not exceed the ceiling. But again the Matmut does not want to hear anything and passes my arguments and does not want to take these jewelry into account and do not respond to all of my complaint. To date, I was sent to the costing of the expert only after having paid me and after I asked for it and without me giving my approval, the document sent to me is half cut. The arguments they exhibit are not consistent and there is not a real treatment of my complaint since I never answer my questions, but I am constantly answered the same thing. In addition to being robbed I did not recover anything while I pay my insurance and I do not even have enough to buy even a quarter of my losses.</v>
      </c>
    </row>
    <row r="870" ht="15.75" customHeight="1">
      <c r="B870" s="2" t="s">
        <v>2434</v>
      </c>
      <c r="C870" s="2" t="s">
        <v>2435</v>
      </c>
      <c r="D870" s="2" t="s">
        <v>2287</v>
      </c>
      <c r="E870" s="2" t="s">
        <v>1679</v>
      </c>
      <c r="F870" s="2" t="s">
        <v>15</v>
      </c>
      <c r="G870" s="2" t="s">
        <v>2436</v>
      </c>
      <c r="H870" s="2" t="s">
        <v>244</v>
      </c>
      <c r="I870" s="2" t="str">
        <f>IFERROR(__xludf.DUMMYFUNCTION("GOOGLETRANSLATE(C870,""fr"",""en"")"),"Meeting a concern in the evacuation of wastewater because we have a septic tank, the Matmut did not cover itself (emptying of the septic tank),")</f>
        <v>Meeting a concern in the evacuation of wastewater because we have a septic tank, the Matmut did not cover itself (emptying of the septic tank),</v>
      </c>
    </row>
    <row r="871" ht="15.75" customHeight="1">
      <c r="B871" s="2" t="s">
        <v>2437</v>
      </c>
      <c r="C871" s="2" t="s">
        <v>2438</v>
      </c>
      <c r="D871" s="2" t="s">
        <v>2287</v>
      </c>
      <c r="E871" s="2" t="s">
        <v>1679</v>
      </c>
      <c r="F871" s="2" t="s">
        <v>15</v>
      </c>
      <c r="G871" s="2" t="s">
        <v>2439</v>
      </c>
      <c r="H871" s="2" t="s">
        <v>248</v>
      </c>
      <c r="I871" s="2" t="str">
        <f>IFERROR(__xludf.DUMMYFUNCTION("GOOGLETRANSLATE(C871,""fr"",""en"")"),"Following a watershed, always awaiting a refund, a sinister dating back more than a year. The Cie is deceived on the contract at the beginning, and since I am looking for stories of all kinds, the phone strokes at Cie Not I tell, it laughs on all sides, I"&amp;" am walking from office to office, I no longer count the emails, fed up with this Cie, I DE CONSONSEILLE")</f>
        <v>Following a watershed, always awaiting a refund, a sinister dating back more than a year. The Cie is deceived on the contract at the beginning, and since I am looking for stories of all kinds, the phone strokes at Cie Not I tell, it laughs on all sides, I am walking from office to office, I no longer count the emails, fed up with this Cie, I DE CONSONSEILLE</v>
      </c>
    </row>
    <row r="872" ht="15.75" customHeight="1">
      <c r="B872" s="2" t="s">
        <v>2440</v>
      </c>
      <c r="C872" s="2" t="s">
        <v>2441</v>
      </c>
      <c r="D872" s="2" t="s">
        <v>2287</v>
      </c>
      <c r="E872" s="2" t="s">
        <v>1679</v>
      </c>
      <c r="F872" s="2" t="s">
        <v>15</v>
      </c>
      <c r="G872" s="2" t="s">
        <v>2442</v>
      </c>
      <c r="H872" s="2" t="s">
        <v>442</v>
      </c>
      <c r="I872" s="2" t="str">
        <f>IFERROR(__xludf.DUMMYFUNCTION("GOOGLETRANSLATE(C872,""fr"",""en"")"),"Water damage implicating my neighbor above. After having made the quote for work at home, more than a month without news. It was necessary to harass on the phone to be put in touch with an expert myself. No Matmut response to my various email, except when"&amp;" I send them my petrol bills linked to the fact that I cannot occupy my current accommodation. Sad the treatment granted to a faithful customer.")</f>
        <v>Water damage implicating my neighbor above. After having made the quote for work at home, more than a month without news. It was necessary to harass on the phone to be put in touch with an expert myself. No Matmut response to my various email, except when I send them my petrol bills linked to the fact that I cannot occupy my current accommodation. Sad the treatment granted to a faithful customer.</v>
      </c>
    </row>
    <row r="873" ht="15.75" customHeight="1">
      <c r="B873" s="2" t="s">
        <v>2443</v>
      </c>
      <c r="C873" s="2" t="s">
        <v>2444</v>
      </c>
      <c r="D873" s="2" t="s">
        <v>2287</v>
      </c>
      <c r="E873" s="2" t="s">
        <v>1679</v>
      </c>
      <c r="F873" s="2" t="s">
        <v>15</v>
      </c>
      <c r="G873" s="2" t="s">
        <v>2445</v>
      </c>
      <c r="H873" s="2" t="s">
        <v>446</v>
      </c>
      <c r="I873" s="2" t="str">
        <f>IFERROR(__xludf.DUMMYFUNCTION("GOOGLETRANSLATE(C873,""fr"",""en"")"),"I had to restart at least 10 times for an expert to spend 5 months after an incident on my garden fence. I had to call the experts myself so that it advances!")</f>
        <v>I had to restart at least 10 times for an expert to spend 5 months after an incident on my garden fence. I had to call the experts myself so that it advances!</v>
      </c>
    </row>
    <row r="874" ht="15.75" customHeight="1">
      <c r="B874" s="2" t="s">
        <v>2446</v>
      </c>
      <c r="C874" s="2" t="s">
        <v>2447</v>
      </c>
      <c r="D874" s="2" t="s">
        <v>2287</v>
      </c>
      <c r="E874" s="2" t="s">
        <v>1679</v>
      </c>
      <c r="F874" s="2" t="s">
        <v>15</v>
      </c>
      <c r="G874" s="2" t="s">
        <v>2227</v>
      </c>
      <c r="H874" s="2" t="s">
        <v>252</v>
      </c>
      <c r="I874" s="2" t="str">
        <f>IFERROR(__xludf.DUMMYFUNCTION("GOOGLETRANSLATE(C874,""fr"",""en"")"),"Insurance that is useless. Refunded 600 euros for a fire whose costs amount to more than 3000 euros.
Matmut boasts in patronage but it is the non -compensated members who finance all this.")</f>
        <v>Insurance that is useless. Refunded 600 euros for a fire whose costs amount to more than 3000 euros.
Matmut boasts in patronage but it is the non -compensated members who finance all this.</v>
      </c>
    </row>
    <row r="875" ht="15.75" customHeight="1">
      <c r="B875" s="2" t="s">
        <v>2448</v>
      </c>
      <c r="C875" s="2" t="s">
        <v>2449</v>
      </c>
      <c r="D875" s="2" t="s">
        <v>2287</v>
      </c>
      <c r="E875" s="2" t="s">
        <v>1679</v>
      </c>
      <c r="F875" s="2" t="s">
        <v>15</v>
      </c>
      <c r="G875" s="2" t="s">
        <v>2450</v>
      </c>
      <c r="H875" s="2" t="s">
        <v>252</v>
      </c>
      <c r="I875" s="2" t="str">
        <f>IFERROR(__xludf.DUMMYFUNCTION("GOOGLETRANSLATE(C875,""fr"",""en"")"),"I had a burglary two weeks ago I called Matmut and since radio silence! Be saying they had to send me papers by email to fill and since when I called the person told me ah I don't know you would have them either today or tomorrow it's been two weeks! Mayb"&amp;"e that She meant the next year I will tell you when it comes to paying it is an obligation but when something happens to us and we have to pay us and well there is no pressure! that we are unhappy because we have entered our intimacy and that nothing will"&amp;" replace the sentimental value")</f>
        <v>I had a burglary two weeks ago I called Matmut and since radio silence! Be saying they had to send me papers by email to fill and since when I called the person told me ah I don't know you would have them either today or tomorrow it's been two weeks! Maybe that She meant the next year I will tell you when it comes to paying it is an obligation but when something happens to us and we have to pay us and well there is no pressure! that we are unhappy because we have entered our intimacy and that nothing will replace the sentimental value</v>
      </c>
    </row>
    <row r="876" ht="15.75" customHeight="1">
      <c r="B876" s="2" t="s">
        <v>2423</v>
      </c>
      <c r="C876" s="2" t="s">
        <v>2451</v>
      </c>
      <c r="D876" s="2" t="s">
        <v>2287</v>
      </c>
      <c r="E876" s="2" t="s">
        <v>1679</v>
      </c>
      <c r="F876" s="2" t="s">
        <v>15</v>
      </c>
      <c r="G876" s="2" t="s">
        <v>2452</v>
      </c>
      <c r="H876" s="2" t="s">
        <v>252</v>
      </c>
      <c r="I876" s="2" t="str">
        <f>IFERROR(__xludf.DUMMYFUNCTION("GOOGLETRANSLATE(C876,""fr"",""en"")"),"Everything is fine until the day you have a disaster. The Matmut is implementing a strategy that poses a permanent suspicion on the customer that the customer is a fraudster. A manager had fun telling me. I find this type of remarks unacceptable.")</f>
        <v>Everything is fine until the day you have a disaster. The Matmut is implementing a strategy that poses a permanent suspicion on the customer that the customer is a fraudster. A manager had fun telling me. I find this type of remarks unacceptable.</v>
      </c>
    </row>
    <row r="877" ht="15.75" customHeight="1">
      <c r="B877" s="2" t="s">
        <v>2453</v>
      </c>
      <c r="C877" s="2" t="s">
        <v>2454</v>
      </c>
      <c r="D877" s="2" t="s">
        <v>2287</v>
      </c>
      <c r="E877" s="2" t="s">
        <v>1679</v>
      </c>
      <c r="F877" s="2" t="s">
        <v>15</v>
      </c>
      <c r="G877" s="2" t="s">
        <v>470</v>
      </c>
      <c r="H877" s="2" t="s">
        <v>260</v>
      </c>
      <c r="I877" s="2" t="str">
        <f>IFERROR(__xludf.DUMMYFUNCTION("GOOGLETRANSLATE(C877,""fr"",""en"")"),"New ad. Tolerance with the kid who leaves the water tap open. The tolerance you don't know? My house collapses I did nothing 4 months since I wait. But she is old my house .... c stupid ....")</f>
        <v>New ad. Tolerance with the kid who leaves the water tap open. The tolerance you don't know? My house collapses I did nothing 4 months since I wait. But she is old my house .... c stupid ....</v>
      </c>
    </row>
    <row r="878" ht="15.75" customHeight="1">
      <c r="B878" s="2" t="s">
        <v>2455</v>
      </c>
      <c r="C878" s="2" t="s">
        <v>2456</v>
      </c>
      <c r="D878" s="2" t="s">
        <v>2287</v>
      </c>
      <c r="E878" s="2" t="s">
        <v>1679</v>
      </c>
      <c r="F878" s="2" t="s">
        <v>15</v>
      </c>
      <c r="G878" s="2" t="s">
        <v>2457</v>
      </c>
      <c r="H878" s="2" t="s">
        <v>277</v>
      </c>
      <c r="I878" s="2" t="str">
        <f>IFERROR(__xludf.DUMMYFUNCTION("GOOGLETRANSLATE(C878,""fr"",""en"")"),"My parents were victims of a burglary in December 2016.
Complaint made at the police station, imprint, expert mandated expert who makes his observation. FYI, 2 other houses near my parents were robbed that evening.
My dad (67) my mom (62).
To date, on "&amp;"February 16, 2018, despite the invoices transmitted from stolen goods and a broken worn which is due by a wooden board (value estimated at 4,700 euros for the damage), the file is still under investigation! So no allowances received.
Despite recommended,"&amp;" calls, you are treated in a shameful way, even going to accuse my parents of fraudulent, suddenly mounted!
Even going to contact the companies who were on your invoices!
Customer service is execrable, hanging up on the nose, limit insults you.
The age"&amp;"ncy in which my parents have subscribed to the insurance, can do nothing. Everything happens at the Matmut headquarters in Rouen, by mail or by phone, if you are lucky enough not to play musical chairs.
For a matmut that ensures! Review your slogan which"&amp;" is purely fraudulent and false!")</f>
        <v>My parents were victims of a burglary in December 2016.
Complaint made at the police station, imprint, expert mandated expert who makes his observation. FYI, 2 other houses near my parents were robbed that evening.
My dad (67) my mom (62).
To date, on February 16, 2018, despite the invoices transmitted from stolen goods and a broken worn which is due by a wooden board (value estimated at 4,700 euros for the damage), the file is still under investigation! So no allowances received.
Despite recommended, calls, you are treated in a shameful way, even going to accuse my parents of fraudulent, suddenly mounted!
Even going to contact the companies who were on your invoices!
Customer service is execrable, hanging up on the nose, limit insults you.
The agency in which my parents have subscribed to the insurance, can do nothing. Everything happens at the Matmut headquarters in Rouen, by mail or by phone, if you are lucky enough not to play musical chairs.
For a matmut that ensures! Review your slogan which is purely fraudulent and false!</v>
      </c>
    </row>
    <row r="879" ht="15.75" customHeight="1">
      <c r="B879" s="2" t="s">
        <v>2458</v>
      </c>
      <c r="C879" s="2" t="s">
        <v>2459</v>
      </c>
      <c r="D879" s="2" t="s">
        <v>2287</v>
      </c>
      <c r="E879" s="2" t="s">
        <v>1679</v>
      </c>
      <c r="F879" s="2" t="s">
        <v>15</v>
      </c>
      <c r="G879" s="2" t="s">
        <v>2460</v>
      </c>
      <c r="H879" s="2" t="s">
        <v>803</v>
      </c>
      <c r="I879" s="2" t="str">
        <f>IFERROR(__xludf.DUMMYFUNCTION("GOOGLETRANSLATE(C879,""fr"",""en"")"),"The price is correct but in the event of a claim the surprises can be size. A few weeks ago, an agent of the platform refused to take into account a disaster without even taking the time to listen to me until the end. It’s absolutely scandalous. I asked t"&amp;"o speak to another agent and I was told that it was out of the question ... I just canceled my contract which in the end is not used for the day you have a problem")</f>
        <v>The price is correct but in the event of a claim the surprises can be size. A few weeks ago, an agent of the platform refused to take into account a disaster without even taking the time to listen to me until the end. It’s absolutely scandalous. I asked to speak to another agent and I was told that it was out of the question ... I just canceled my contract which in the end is not used for the day you have a problem</v>
      </c>
    </row>
    <row r="880" ht="15.75" customHeight="1">
      <c r="B880" s="2" t="s">
        <v>2461</v>
      </c>
      <c r="C880" s="2" t="s">
        <v>2462</v>
      </c>
      <c r="D880" s="2" t="s">
        <v>2287</v>
      </c>
      <c r="E880" s="2" t="s">
        <v>1679</v>
      </c>
      <c r="F880" s="2" t="s">
        <v>15</v>
      </c>
      <c r="G880" s="2" t="s">
        <v>2463</v>
      </c>
      <c r="H880" s="2" t="s">
        <v>807</v>
      </c>
      <c r="I880" s="2" t="str">
        <f>IFERROR(__xludf.DUMMYFUNCTION("GOOGLETRANSLATE(C880,""fr"",""en"")"),"I have subscribed to this insurance to have a specific certificate. Before subscription, I am told that it is possible and as soon as I ask. After subscription, it becomes complicated and certainly not on time")</f>
        <v>I have subscribed to this insurance to have a specific certificate. Before subscription, I am told that it is possible and as soon as I ask. After subscription, it becomes complicated and certainly not on time</v>
      </c>
    </row>
    <row r="881" ht="15.75" customHeight="1">
      <c r="B881" s="2" t="s">
        <v>2464</v>
      </c>
      <c r="C881" s="2" t="s">
        <v>2465</v>
      </c>
      <c r="D881" s="2" t="s">
        <v>2287</v>
      </c>
      <c r="E881" s="2" t="s">
        <v>1679</v>
      </c>
      <c r="F881" s="2" t="s">
        <v>15</v>
      </c>
      <c r="G881" s="2" t="s">
        <v>2466</v>
      </c>
      <c r="H881" s="2" t="s">
        <v>1049</v>
      </c>
      <c r="I881" s="2" t="str">
        <f>IFERROR(__xludf.DUMMYFUNCTION("GOOGLETRANSLATE(C881,""fr"",""en"")"),"Overall Very Happy with Matmut. Their service has been exceptional compared to what experienced in France")</f>
        <v>Overall Very Happy with Matmut. Their service has been exceptional compared to what experienced in France</v>
      </c>
    </row>
    <row r="882" ht="15.75" customHeight="1">
      <c r="B882" s="2" t="s">
        <v>2467</v>
      </c>
      <c r="C882" s="2" t="s">
        <v>2468</v>
      </c>
      <c r="D882" s="2" t="s">
        <v>2287</v>
      </c>
      <c r="E882" s="2" t="s">
        <v>1679</v>
      </c>
      <c r="F882" s="2" t="s">
        <v>15</v>
      </c>
      <c r="G882" s="2" t="s">
        <v>2469</v>
      </c>
      <c r="H882" s="2" t="s">
        <v>1049</v>
      </c>
      <c r="I882" s="2" t="str">
        <f>IFERROR(__xludf.DUMMYFUNCTION("GOOGLETRANSLATE(C882,""fr"",""en"")"),"For 20 years in the Matmut for all of my insurance, I had a big glitch (€ 35,000) and there I found myself alone with an agency service that can do nothing because everything is on the internet or centralized by phone.
After a dispute with a tenant, th"&amp;"e Matmut does not reimburse me anything because I am assured for degradations as a non -occupying owner only if it is not the tenant who causes them ... Seeking the error!
I therefore play legal protection and it took 6 months for 2 recommended letters a"&amp;"nd another 3 months to tell me that it was necessary to go before the judge since there was no answer. You don't need anyone to do that!
Assessment: If you don't need anything you can ask them.")</f>
        <v>For 20 years in the Matmut for all of my insurance, I had a big glitch (€ 35,000) and there I found myself alone with an agency service that can do nothing because everything is on the internet or centralized by phone.
After a dispute with a tenant, the Matmut does not reimburse me anything because I am assured for degradations as a non -occupying owner only if it is not the tenant who causes them ... Seeking the error!
I therefore play legal protection and it took 6 months for 2 recommended letters and another 3 months to tell me that it was necessary to go before the judge since there was no answer. You don't need anyone to do that!
Assessment: If you don't need anything you can ask them.</v>
      </c>
    </row>
    <row r="883" ht="15.75" customHeight="1">
      <c r="B883" s="2" t="s">
        <v>2470</v>
      </c>
      <c r="C883" s="2" t="s">
        <v>2471</v>
      </c>
      <c r="D883" s="2" t="s">
        <v>2287</v>
      </c>
      <c r="E883" s="2" t="s">
        <v>1679</v>
      </c>
      <c r="F883" s="2" t="s">
        <v>15</v>
      </c>
      <c r="G883" s="2" t="s">
        <v>2472</v>
      </c>
      <c r="H883" s="2" t="s">
        <v>499</v>
      </c>
      <c r="I883" s="2" t="str">
        <f>IFERROR(__xludf.DUMMYFUNCTION("GOOGLETRANSLATE(C883,""fr"",""en"")"),"Here we have been insured in Matmut for a long time for our vehicles and home. In May 2017, we had a loss of the waters, a water leak of a pipe in the placo in the wall of the house, a leak very difficult to locate. Declaration then we are sent someone wh"&amp;"o does not know how to do, he says he comes back tomorrow but does not come back and we cannot send me another. at tel. I am told if we don't find you have to break !!! The kitchen tiles are raised by water. I provide as requested a tiling quote and a plu"&amp;"mber quote, yesterday the expert comes to dispute the quotes which are made by professionals, for 4900th and 1500th he tells me that in any case for a district of the water the total reimbursed cannot exceed 2100 Euros, and that the speaker already receiv"&amp;"ed 600th on this sum but that if I have black repaired, he still withdraws 500 euros after three months with no water in the kitchen, of course I will terminate all my Insurance at home")</f>
        <v>Here we have been insured in Matmut for a long time for our vehicles and home. In May 2017, we had a loss of the waters, a water leak of a pipe in the placo in the wall of the house, a leak very difficult to locate. Declaration then we are sent someone who does not know how to do, he says he comes back tomorrow but does not come back and we cannot send me another. at tel. I am told if we don't find you have to break !!! The kitchen tiles are raised by water. I provide as requested a tiling quote and a plumber quote, yesterday the expert comes to dispute the quotes which are made by professionals, for 4900th and 1500th he tells me that in any case for a district of the water the total reimbursed cannot exceed 2100 Euros, and that the speaker already received 600th on this sum but that if I have black repaired, he still withdraws 500 euros after three months with no water in the kitchen, of course I will terminate all my Insurance at home</v>
      </c>
    </row>
    <row r="884" ht="15.75" customHeight="1">
      <c r="B884" s="2" t="s">
        <v>2473</v>
      </c>
      <c r="C884" s="2" t="s">
        <v>2474</v>
      </c>
      <c r="D884" s="2" t="s">
        <v>2287</v>
      </c>
      <c r="E884" s="2" t="s">
        <v>1679</v>
      </c>
      <c r="F884" s="2" t="s">
        <v>15</v>
      </c>
      <c r="G884" s="2" t="s">
        <v>2475</v>
      </c>
      <c r="H884" s="2" t="s">
        <v>506</v>
      </c>
      <c r="I884" s="2" t="str">
        <f>IFERROR(__xludf.DUMMYFUNCTION("GOOGLETRANSLATE(C884,""fr"",""en"")"),"Very teach legal protection
Concern with a bathroom supplier and jurid protection which has absolutely not acted to defend a lamentable situation
Catastrophic legal protection service
TO FLEE!")</f>
        <v>Very teach legal protection
Concern with a bathroom supplier and jurid protection which has absolutely not acted to defend a lamentable situation
Catastrophic legal protection service
TO FLEE!</v>
      </c>
    </row>
    <row r="885" ht="15.75" customHeight="1">
      <c r="B885" s="2" t="s">
        <v>2476</v>
      </c>
      <c r="C885" s="2" t="s">
        <v>2477</v>
      </c>
      <c r="D885" s="2" t="s">
        <v>2287</v>
      </c>
      <c r="E885" s="2" t="s">
        <v>1679</v>
      </c>
      <c r="F885" s="2" t="s">
        <v>15</v>
      </c>
      <c r="G885" s="2" t="s">
        <v>2478</v>
      </c>
      <c r="H885" s="2" t="s">
        <v>506</v>
      </c>
      <c r="I885" s="2" t="str">
        <f>IFERROR(__xludf.DUMMYFUNCTION("GOOGLETRANSLATE(C885,""fr"",""en"")"),"Too bad not to be able to put zero! Still in dispute since November 2016")</f>
        <v>Too bad not to be able to put zero! Still in dispute since November 2016</v>
      </c>
    </row>
    <row r="886" ht="15.75" customHeight="1">
      <c r="B886" s="2" t="s">
        <v>2479</v>
      </c>
      <c r="C886" s="2" t="s">
        <v>2480</v>
      </c>
      <c r="D886" s="2" t="s">
        <v>2287</v>
      </c>
      <c r="E886" s="2" t="s">
        <v>1679</v>
      </c>
      <c r="F886" s="2" t="s">
        <v>15</v>
      </c>
      <c r="G886" s="2" t="s">
        <v>2481</v>
      </c>
      <c r="H886" s="2" t="s">
        <v>516</v>
      </c>
      <c r="I886" s="2" t="str">
        <f>IFERROR(__xludf.DUMMYFUNCTION("GOOGLETRANSLATE(C886,""fr"",""en"")"),"The employee of the Union agency makes me understand how to do not make sure of this insurance. She insists heavily because she does not want to work. Over the years the employees and the director have become more and more lazy and acariâtres. Why...")</f>
        <v>The employee of the Union agency makes me understand how to do not make sure of this insurance. She insists heavily because she does not want to work. Over the years the employees and the director have become more and more lazy and acariâtres. Why...</v>
      </c>
    </row>
    <row r="887" ht="15.75" customHeight="1">
      <c r="B887" s="2" t="s">
        <v>2482</v>
      </c>
      <c r="C887" s="2" t="s">
        <v>2483</v>
      </c>
      <c r="D887" s="2" t="s">
        <v>2287</v>
      </c>
      <c r="E887" s="2" t="s">
        <v>1679</v>
      </c>
      <c r="F887" s="2" t="s">
        <v>15</v>
      </c>
      <c r="G887" s="2" t="s">
        <v>2484</v>
      </c>
      <c r="H887" s="2" t="s">
        <v>516</v>
      </c>
      <c r="I887" s="2" t="str">
        <f>IFERROR(__xludf.DUMMYFUNCTION("GOOGLETRANSLATE(C887,""fr"",""en"")"),"I have had a water damage for over a year. The file does not advance, it is constantly called to have them to have news, there is neither followed, nor respect for the commitments given. In addition, the teleoperator are unpleasant and don't care about yo"&amp;"ur problems")</f>
        <v>I have had a water damage for over a year. The file does not advance, it is constantly called to have them to have news, there is neither followed, nor respect for the commitments given. In addition, the teleoperator are unpleasant and don't care about your problems</v>
      </c>
    </row>
    <row r="888" ht="15.75" customHeight="1">
      <c r="B888" s="2" t="s">
        <v>2485</v>
      </c>
      <c r="C888" s="2" t="s">
        <v>2486</v>
      </c>
      <c r="D888" s="2" t="s">
        <v>2287</v>
      </c>
      <c r="E888" s="2" t="s">
        <v>1679</v>
      </c>
      <c r="F888" s="2" t="s">
        <v>15</v>
      </c>
      <c r="G888" s="2" t="s">
        <v>2030</v>
      </c>
      <c r="H888" s="2" t="s">
        <v>526</v>
      </c>
      <c r="I888" s="2" t="str">
        <f>IFERROR(__xludf.DUMMYFUNCTION("GOOGLETRANSLATE(C888,""fr"",""en"")"),"big problems during care")</f>
        <v>big problems during care</v>
      </c>
    </row>
    <row r="889" ht="15.75" customHeight="1">
      <c r="B889" s="2" t="s">
        <v>2487</v>
      </c>
      <c r="C889" s="2" t="s">
        <v>2488</v>
      </c>
      <c r="D889" s="2" t="s">
        <v>2287</v>
      </c>
      <c r="E889" s="2" t="s">
        <v>1679</v>
      </c>
      <c r="F889" s="2" t="s">
        <v>15</v>
      </c>
      <c r="G889" s="2" t="s">
        <v>2489</v>
      </c>
      <c r="H889" s="2" t="s">
        <v>816</v>
      </c>
      <c r="I889" s="2" t="str">
        <f>IFERROR(__xludf.DUMMYFUNCTION("GOOGLETRANSLATE(C889,""fr"",""en"")"),"Degat des Eaux since 2015
I have to go see a conciliator no answer to my requests
This insurer does not ensure")</f>
        <v>Degat des Eaux since 2015
I have to go see a conciliator no answer to my requests
This insurer does not ensure</v>
      </c>
    </row>
    <row r="890" ht="15.75" customHeight="1">
      <c r="B890" s="2" t="s">
        <v>2490</v>
      </c>
      <c r="C890" s="2" t="s">
        <v>2491</v>
      </c>
      <c r="D890" s="2" t="s">
        <v>2287</v>
      </c>
      <c r="E890" s="2" t="s">
        <v>1679</v>
      </c>
      <c r="F890" s="2" t="s">
        <v>15</v>
      </c>
      <c r="G890" s="2" t="s">
        <v>1406</v>
      </c>
      <c r="H890" s="2" t="s">
        <v>544</v>
      </c>
      <c r="I890" s="2" t="str">
        <f>IFERROR(__xludf.DUMMYFUNCTION("GOOGLETRANSLATE(C890,""fr"",""en"")"),"And again I have to give 1 star because we cannot remove it. A comedy between expert, at your home, and after a file with contrary conclusions. To flee, especially the expert we had. Coming all the same 2 times, wasting our time. In addition, the rental p"&amp;"art is still not rehabilitated and unusable, water damage caused by a tenant who did not maintain the siphons and the cap arrived at 5 cm in the screed, will no longer make the evacuations, Because it's for your apple if you rent. And yet, a faithful clie"&amp;"nt, without disaster, assured performance home, and what performance ?????")</f>
        <v>And again I have to give 1 star because we cannot remove it. A comedy between expert, at your home, and after a file with contrary conclusions. To flee, especially the expert we had. Coming all the same 2 times, wasting our time. In addition, the rental part is still not rehabilitated and unusable, water damage caused by a tenant who did not maintain the siphons and the cap arrived at 5 cm in the screed, will no longer make the evacuations, Because it's for your apple if you rent. And yet, a faithful client, without disaster, assured performance home, and what performance ?????</v>
      </c>
    </row>
    <row r="891" ht="15.75" customHeight="1">
      <c r="B891" s="2" t="s">
        <v>2492</v>
      </c>
      <c r="C891" s="2" t="s">
        <v>2493</v>
      </c>
      <c r="D891" s="2" t="s">
        <v>2287</v>
      </c>
      <c r="E891" s="2" t="s">
        <v>1679</v>
      </c>
      <c r="F891" s="2" t="s">
        <v>15</v>
      </c>
      <c r="G891" s="2" t="s">
        <v>1086</v>
      </c>
      <c r="H891" s="2" t="s">
        <v>544</v>
      </c>
      <c r="I891" s="2" t="str">
        <f>IFERROR(__xludf.DUMMYFUNCTION("GOOGLETRANSLATE(C891,""fr"",""en"")"),"Rarely such a bad faith has been reached. Rarely a relationship will have been as poor both with the local agency and with the customer relations department. These people have left the threshold of mutual and proven utility that they are traders with exac"&amp;"erbated mercantile reflexes and the legal, ill -intentioned morgue. Faced with evidence, they continue to pretend and try to bite. Except masochistic trend to avoid!")</f>
        <v>Rarely such a bad faith has been reached. Rarely a relationship will have been as poor both with the local agency and with the customer relations department. These people have left the threshold of mutual and proven utility that they are traders with exacerbated mercantile reflexes and the legal, ill -intentioned morgue. Faced with evidence, they continue to pretend and try to bite. Except masochistic trend to avoid!</v>
      </c>
    </row>
    <row r="892" ht="15.75" customHeight="1">
      <c r="B892" s="2" t="s">
        <v>2494</v>
      </c>
      <c r="C892" s="2" t="s">
        <v>2495</v>
      </c>
      <c r="D892" s="2" t="s">
        <v>2287</v>
      </c>
      <c r="E892" s="2" t="s">
        <v>1679</v>
      </c>
      <c r="F892" s="2" t="s">
        <v>15</v>
      </c>
      <c r="G892" s="2" t="s">
        <v>1086</v>
      </c>
      <c r="H892" s="2" t="s">
        <v>544</v>
      </c>
      <c r="I892" s="2" t="str">
        <f>IFERROR(__xludf.DUMMYFUNCTION("GOOGLETRANSLATE(C892,""fr"",""en"")"),"Failing to be a safe bet, we can only see that we surely do not have the same values.
Indeed, it's been 16 months now that it all started, the day when lightning is slaughtered on our house, which was entirely ravaged by the flames, we continue to underg"&amp;"o this tragedy which continues to worsen the trauma of our whole family.
Because despite being assured that we had the best level of contract that we could subscribe to home insurance, we find ourselves today not only unable to rebuild our house, but als"&amp;"o in the Total disarray before reimbursement which barely represents a third of our guaranteed capital.
The Matmut wants to position itself as a ""life accomplice"" towards its members but its objective is above all to optimize its competitiveness by rel"&amp;"easing a maximum of resources without worrying about human and material consequences.
")</f>
        <v>Failing to be a safe bet, we can only see that we surely do not have the same values.
Indeed, it's been 16 months now that it all started, the day when lightning is slaughtered on our house, which was entirely ravaged by the flames, we continue to undergo this tragedy which continues to worsen the trauma of our whole family.
Because despite being assured that we had the best level of contract that we could subscribe to home insurance, we find ourselves today not only unable to rebuild our house, but also in the Total disarray before reimbursement which barely represents a third of our guaranteed capital.
The Matmut wants to position itself as a "life accomplice" towards its members but its objective is above all to optimize its competitiveness by releasing a maximum of resources without worrying about human and material consequences.
</v>
      </c>
    </row>
    <row r="893" ht="15.75" customHeight="1">
      <c r="B893" s="2" t="s">
        <v>2496</v>
      </c>
      <c r="C893" s="2" t="s">
        <v>2497</v>
      </c>
      <c r="D893" s="2" t="s">
        <v>2498</v>
      </c>
      <c r="E893" s="2" t="s">
        <v>1679</v>
      </c>
      <c r="F893" s="2" t="s">
        <v>15</v>
      </c>
      <c r="G893" s="2" t="s">
        <v>587</v>
      </c>
      <c r="H893" s="2" t="s">
        <v>43</v>
      </c>
      <c r="I893" s="2" t="str">
        <f>IFERROR(__xludf.DUMMYFUNCTION("GOOGLETRANSLATE(C893,""fr"",""en"")"),"Very unhappy following a burglary, the shabby reimbursement, and in addition they realize that I have paid my houses on 9 rooms for 17 years, while it has been on 6 rooms, and read their response ""I don't know What the person who has taken out the contra"&amp;"ct with you has identified ""but no refund on their part. They do not take any responsibility, I am at Crédit Mutuel de Frangy 74270, but I prefer to give my money elsewhere, I will change in the coming days. I had never used my insurance ... for once ..."&amp;". low hat ...")</f>
        <v>Very unhappy following a burglary, the shabby reimbursement, and in addition they realize that I have paid my houses on 9 rooms for 17 years, while it has been on 6 rooms, and read their response "I don't know What the person who has taken out the contract with you has identified "but no refund on their part. They do not take any responsibility, I am at Crédit Mutuel de Frangy 74270, but I prefer to give my money elsewhere, I will change in the coming days. I had never used my insurance ... for once .... low hat ...</v>
      </c>
    </row>
    <row r="894" ht="15.75" customHeight="1">
      <c r="B894" s="2" t="s">
        <v>2499</v>
      </c>
      <c r="C894" s="2" t="s">
        <v>2500</v>
      </c>
      <c r="D894" s="2" t="s">
        <v>2498</v>
      </c>
      <c r="E894" s="2" t="s">
        <v>1679</v>
      </c>
      <c r="F894" s="2" t="s">
        <v>15</v>
      </c>
      <c r="G894" s="2" t="s">
        <v>595</v>
      </c>
      <c r="H894" s="2" t="s">
        <v>56</v>
      </c>
      <c r="I894" s="2" t="str">
        <f>IFERROR(__xludf.DUMMYFUNCTION("GOOGLETRANSLATE(C894,""fr"",""en"")"),"Very satisfied with Crédit Mutuel home insurance. From telephone reception for declaration to compensation everything is perfect.
Bank as insurance, a lot of professionalism and attention to the customer.
Contracts that cover well at a reasonable price.")</f>
        <v>Very satisfied with Crédit Mutuel home insurance. From telephone reception for declaration to compensation everything is perfect.
Bank as insurance, a lot of professionalism and attention to the customer.
Contracts that cover well at a reasonable price.</v>
      </c>
    </row>
    <row r="895" ht="15.75" customHeight="1">
      <c r="B895" s="2" t="s">
        <v>2501</v>
      </c>
      <c r="C895" s="2" t="s">
        <v>2502</v>
      </c>
      <c r="D895" s="2" t="s">
        <v>2498</v>
      </c>
      <c r="E895" s="2" t="s">
        <v>1679</v>
      </c>
      <c r="F895" s="2" t="s">
        <v>15</v>
      </c>
      <c r="G895" s="2" t="s">
        <v>657</v>
      </c>
      <c r="H895" s="2" t="s">
        <v>79</v>
      </c>
      <c r="I895" s="2" t="str">
        <f>IFERROR(__xludf.DUMMYFUNCTION("GOOGLETRANSLATE(C895,""fr"",""en"")"),"If I could, I would put zero for satisfaction. I have been assured since 2015 at ACMs, and I had the misfortune to be flooded in January 2019 by my neighbor above: kitchen, corridor and bathroom in a pitiful condition. Result, thanks to the ACM, my work h"&amp;"as still not been carried out. I have two young babies who are dusting, great ...
I was a victim, and they applied a franchise on my file; There have been several expertise that contradicts each other, and for a simple worsening of damage, because the wa"&amp;"lls were not dry enough, they went to declare that the responsible third party was not clearly identified, while the third party Even said they were responsible and did the work necessary to repair the leak. In addition, they made the walls dry, and after"&amp;" that, more flight. We did not understand why a franchise was applied, and we could not have the work carried out. No one lit up despite our many reminders, we did not even have the expert reports.
We ended up ""threatening a court"" and the ACMs transmi"&amp;"tted everything to us. The beautiful surprises that we discovered ... We ended up asking that the complete work is paid and that we are carged ourselves. The work should start very soon, finally, but not thanks to the ACMs.
Especially flee, don't take ca"&amp;"re of it !!!
We also had problems following an attempted burglary. We have a secure door and they sent us several experts who knew nothing about the armored door.
Personally, I have all my insurance at home and I will terminate everything because their "&amp;"management is catastrophic. It is far too expensive for the service behind.")</f>
        <v>If I could, I would put zero for satisfaction. I have been assured since 2015 at ACMs, and I had the misfortune to be flooded in January 2019 by my neighbor above: kitchen, corridor and bathroom in a pitiful condition. Result, thanks to the ACM, my work has still not been carried out. I have two young babies who are dusting, great ...
I was a victim, and they applied a franchise on my file; There have been several expertise that contradicts each other, and for a simple worsening of damage, because the walls were not dry enough, they went to declare that the responsible third party was not clearly identified, while the third party Even said they were responsible and did the work necessary to repair the leak. In addition, they made the walls dry, and after that, more flight. We did not understand why a franchise was applied, and we could not have the work carried out. No one lit up despite our many reminders, we did not even have the expert reports.
We ended up "threatening a court" and the ACMs transmitted everything to us. The beautiful surprises that we discovered ... We ended up asking that the complete work is paid and that we are carged ourselves. The work should start very soon, finally, but not thanks to the ACMs.
Especially flee, don't take care of it !!!
We also had problems following an attempted burglary. We have a secure door and they sent us several experts who knew nothing about the armored door.
Personally, I have all my insurance at home and I will terminate everything because their management is catastrophic. It is far too expensive for the service behind.</v>
      </c>
    </row>
    <row r="896" ht="15.75" customHeight="1">
      <c r="B896" s="2" t="s">
        <v>2503</v>
      </c>
      <c r="C896" s="2" t="s">
        <v>2504</v>
      </c>
      <c r="D896" s="2" t="s">
        <v>2498</v>
      </c>
      <c r="E896" s="2" t="s">
        <v>1679</v>
      </c>
      <c r="F896" s="2" t="s">
        <v>15</v>
      </c>
      <c r="G896" s="2" t="s">
        <v>1689</v>
      </c>
      <c r="H896" s="2" t="s">
        <v>92</v>
      </c>
      <c r="I896" s="2" t="str">
        <f>IFERROR(__xludf.DUMMYFUNCTION("GOOGLETRANSLATE(C896,""fr"",""en"")"),"Zero reimbursement (!!!!) Following burglary with forced offense in the garden premises and removal of bikes and work tools worth more than € 1,000.
This despite complaints, a statement from scientific police from on site, and a contract up to € 30 mon"&amp;"thly.
Without a file analysis, this was quickly rejected, well done - because not all the doors of the building are secured with certified safety locks'.
If you are at ACM obteller, do not expect reimbursements following a flight. At least you would"&amp;" know that it is not even worth complaining and going through the different stages of validation of the file.
Thank you for nothing to this fictitious insurance which is especially there to take you the monthly direct debit.")</f>
        <v>Zero reimbursement (!!!!) Following burglary with forced offense in the garden premises and removal of bikes and work tools worth more than € 1,000.
This despite complaints, a statement from scientific police from on site, and a contract up to € 30 monthly.
Without a file analysis, this was quickly rejected, well done - because not all the doors of the building are secured with certified safety locks'.
If you are at ACM obteller, do not expect reimbursements following a flight. At least you would know that it is not even worth complaining and going through the different stages of validation of the file.
Thank you for nothing to this fictitious insurance which is especially there to take you the monthly direct debit.</v>
      </c>
    </row>
    <row r="897" ht="15.75" customHeight="1">
      <c r="B897" s="2" t="s">
        <v>2505</v>
      </c>
      <c r="C897" s="2" t="s">
        <v>2506</v>
      </c>
      <c r="D897" s="2" t="s">
        <v>2498</v>
      </c>
      <c r="E897" s="2" t="s">
        <v>1679</v>
      </c>
      <c r="F897" s="2" t="s">
        <v>15</v>
      </c>
      <c r="G897" s="2" t="s">
        <v>703</v>
      </c>
      <c r="H897" s="2" t="s">
        <v>101</v>
      </c>
      <c r="I897" s="2" t="str">
        <f>IFERROR(__xludf.DUMMYFUNCTION("GOOGLETRANSLATE(C897,""fr"",""en"")"),"Satisfied FFA n, is not a mutual and entrants itself behind its status, so as not to apply the Chatel law, well that it operates to the same title as a mutual. It is very difficult to terminate, I am at the 2nd attempt and today I am asked for a photocopy"&amp;" of an identity card and especially a mailuscript termination letter, the Adherent is an aged woman with 87 years with significant osteoarthritis problem. This member has been paying for more than 30 years, as much to tell you that all means are good for "&amp;"keeping a 40 -euros -around contract above the market price. Do not sign with FFA to avoid termination problems")</f>
        <v>Satisfied FFA n, is not a mutual and entrants itself behind its status, so as not to apply the Chatel law, well that it operates to the same title as a mutual. It is very difficult to terminate, I am at the 2nd attempt and today I am asked for a photocopy of an identity card and especially a mailuscript termination letter, the Adherent is an aged woman with 87 years with significant osteoarthritis problem. This member has been paying for more than 30 years, as much to tell you that all means are good for keeping a 40 -euros -around contract above the market price. Do not sign with FFA to avoid termination problems</v>
      </c>
    </row>
    <row r="898" ht="15.75" customHeight="1">
      <c r="B898" s="2" t="s">
        <v>2507</v>
      </c>
      <c r="C898" s="2" t="s">
        <v>2508</v>
      </c>
      <c r="D898" s="2" t="s">
        <v>2498</v>
      </c>
      <c r="E898" s="2" t="s">
        <v>1679</v>
      </c>
      <c r="F898" s="2" t="s">
        <v>15</v>
      </c>
      <c r="G898" s="2" t="s">
        <v>709</v>
      </c>
      <c r="H898" s="2" t="s">
        <v>101</v>
      </c>
      <c r="I898" s="2" t="str">
        <f>IFERROR(__xludf.DUMMYFUNCTION("GOOGLETRANSLATE(C898,""fr"",""en"")"),"Insurer to flee! I was the victim of a cave flight with break -in. The door of the commons was closed as well as the door of my cellar (full door closed double -tone fractured at the foot of the doe). Wine, skis, a bicycle (attached) and others were stole"&amp;"n. Refusal of compensation on the grounds that the lock was not secure enough. Yet it was necessary to degrade the wall and the door to open, probably with significant force.
Finally, I would not have been less well reimbursed by a low-cost insurer and I"&amp;" would have saved on my contributions.")</f>
        <v>Insurer to flee! I was the victim of a cave flight with break -in. The door of the commons was closed as well as the door of my cellar (full door closed double -tone fractured at the foot of the doe). Wine, skis, a bicycle (attached) and others were stolen. Refusal of compensation on the grounds that the lock was not secure enough. Yet it was necessary to degrade the wall and the door to open, probably with significant force.
Finally, I would not have been less well reimbursed by a low-cost insurer and I would have saved on my contributions.</v>
      </c>
    </row>
    <row r="899" ht="15.75" customHeight="1">
      <c r="B899" s="2" t="s">
        <v>2509</v>
      </c>
      <c r="C899" s="2" t="s">
        <v>2510</v>
      </c>
      <c r="D899" s="2" t="s">
        <v>2498</v>
      </c>
      <c r="E899" s="2" t="s">
        <v>1679</v>
      </c>
      <c r="F899" s="2" t="s">
        <v>15</v>
      </c>
      <c r="G899" s="2" t="s">
        <v>340</v>
      </c>
      <c r="H899" s="2" t="s">
        <v>101</v>
      </c>
      <c r="I899" s="2" t="str">
        <f>IFERROR(__xludf.DUMMYFUNCTION("GOOGLETRANSLATE(C899,""fr"",""en"")"),"Hello ,
I am really disappointed with home insurance,
Water damage in early January .. and I just received the return that it is not taken care of .. I paid a franchise so that I am told that ??
I plan to go see elsewhere!")</f>
        <v>Hello ,
I am really disappointed with home insurance,
Water damage in early January .. and I just received the return that it is not taken care of .. I paid a franchise so that I am told that ??
I plan to go see elsewhere!</v>
      </c>
    </row>
    <row r="900" ht="15.75" customHeight="1">
      <c r="B900" s="2" t="s">
        <v>2511</v>
      </c>
      <c r="C900" s="2" t="s">
        <v>2512</v>
      </c>
      <c r="D900" s="2" t="s">
        <v>2498</v>
      </c>
      <c r="E900" s="2" t="s">
        <v>1679</v>
      </c>
      <c r="F900" s="2" t="s">
        <v>15</v>
      </c>
      <c r="G900" s="2" t="s">
        <v>716</v>
      </c>
      <c r="H900" s="2" t="s">
        <v>101</v>
      </c>
      <c r="I900" s="2" t="str">
        <f>IFERROR(__xludf.DUMMYFUNCTION("GOOGLETRANSLATE(C900,""fr"",""en"")"),"1 star because the 0 is not planned. We reproach to find an incompetent partner, far from assisting the customer ...
A destructive leak search is necessary to identify the origin of a water leak, it is relatively simple to commission a craftsman equipped"&amp;" for this intervention.
However for 15 days, the various interlocutors of the partner company Domus tell us everything and its opposite, either the order has not been sent, falsely, an e-mail addressed by obteller proves the opposite, or we must Report o"&amp;"f the first research carried out by our neighbor, who undergoes the inconvenience, necessary for the craftsman. This does not prevent them from sending us SMS inviting us to contact their partner craftsmen.
We asked obtelle to change our partner business"&amp;" following the inability to execute the order of the mission by Domus, they refuse.
This process implemented by ACM which delegates the management of claims to obteller, which mandates a work partner who will put you in touch with a craftsman is made to "&amp;"discourage the victims?
Subcontracting, nothing better to move away from its customers.
Count on us, to get away from you ACM and don't forget to thank observant and Domus, for the excellent work of loyalty of your customers.
")</f>
        <v>1 star because the 0 is not planned. We reproach to find an incompetent partner, far from assisting the customer ...
A destructive leak search is necessary to identify the origin of a water leak, it is relatively simple to commission a craftsman equipped for this intervention.
However for 15 days, the various interlocutors of the partner company Domus tell us everything and its opposite, either the order has not been sent, falsely, an e-mail addressed by obteller proves the opposite, or we must Report of the first research carried out by our neighbor, who undergoes the inconvenience, necessary for the craftsman. This does not prevent them from sending us SMS inviting us to contact their partner craftsmen.
We asked obtelle to change our partner business following the inability to execute the order of the mission by Domus, they refuse.
This process implemented by ACM which delegates the management of claims to obteller, which mandates a work partner who will put you in touch with a craftsman is made to discourage the victims?
Subcontracting, nothing better to move away from its customers.
Count on us, to get away from you ACM and don't forget to thank observant and Domus, for the excellent work of loyalty of your customers.
</v>
      </c>
    </row>
    <row r="901" ht="15.75" customHeight="1">
      <c r="B901" s="2" t="s">
        <v>2513</v>
      </c>
      <c r="C901" s="2" t="s">
        <v>2514</v>
      </c>
      <c r="D901" s="2" t="s">
        <v>2498</v>
      </c>
      <c r="E901" s="2" t="s">
        <v>1679</v>
      </c>
      <c r="F901" s="2" t="s">
        <v>15</v>
      </c>
      <c r="G901" s="2" t="s">
        <v>1709</v>
      </c>
      <c r="H901" s="2" t="s">
        <v>114</v>
      </c>
      <c r="I901" s="2" t="str">
        <f>IFERROR(__xludf.DUMMYFUNCTION("GOOGLETRANSLATE(C901,""fr"",""en"")"),"Insurance of the Credit Mutuel A shame of prevailing insurers sent by my bank CIC provides for a pavilion, victim burglary on 1 01 2019 in our absence being in the provinces, return in emergency on the same day, demarches make police imprints etc reimburs"&amp;"ement fenetre Fracture OK, but all jewelry, a new tele yet in the packaging, electric scooter reimburses 179 euros after 2 years motive the jewelry is not assured the scooter with engine not taken into account new 120 euros of vetute never deballee had 1 "&amp;"month invoices, photos provided nothing has done it and now I have been solved without valid patterns; 2 houses and 3 vehicles it is the first time that thank you arrive at 70 years I think to have been made by believing to be assured it is helas the sad "&amp;"observation of many of my knowledge having had this same mesaventure")</f>
        <v>Insurance of the Credit Mutuel A shame of prevailing insurers sent by my bank CIC provides for a pavilion, victim burglary on 1 01 2019 in our absence being in the provinces, return in emergency on the same day, demarches make police imprints etc reimbursement fenetre Fracture OK, but all jewelry, a new tele yet in the packaging, electric scooter reimburses 179 euros after 2 years motive the jewelry is not assured the scooter with engine not taken into account new 120 euros of vetute never deballee had 1 month invoices, photos provided nothing has done it and now I have been solved without valid patterns; 2 houses and 3 vehicles it is the first time that thank you arrive at 70 years I think to have been made by believing to be assured it is helas the sad observation of many of my knowledge having had this same mesaventure</v>
      </c>
    </row>
    <row r="902" ht="15.75" customHeight="1">
      <c r="B902" s="2" t="s">
        <v>2515</v>
      </c>
      <c r="C902" s="2" t="s">
        <v>2516</v>
      </c>
      <c r="D902" s="2" t="s">
        <v>2498</v>
      </c>
      <c r="E902" s="2" t="s">
        <v>1679</v>
      </c>
      <c r="F902" s="2" t="s">
        <v>15</v>
      </c>
      <c r="G902" s="2" t="s">
        <v>877</v>
      </c>
      <c r="H902" s="2" t="s">
        <v>114</v>
      </c>
      <c r="I902" s="2" t="str">
        <f>IFERROR(__xludf.DUMMYFUNCTION("GOOGLETRANSLATE(C902,""fr"",""en"")"),"Rotten. I was robbed in September. Fractured and stolen sofa (More of other little things). The expert calls for me a document that I can provide and the manufacturer MZ proposes to explain to him why. Mail sent to the expert who answers me that in not co"&amp;"ntact the manufacturer and that I must claim the missing documents.")</f>
        <v>Rotten. I was robbed in September. Fractured and stolen sofa (More of other little things). The expert calls for me a document that I can provide and the manufacturer MZ proposes to explain to him why. Mail sent to the expert who answers me that in not contact the manufacturer and that I must claim the missing documents.</v>
      </c>
    </row>
    <row r="903" ht="15.75" customHeight="1">
      <c r="B903" s="2" t="s">
        <v>2517</v>
      </c>
      <c r="C903" s="2" t="s">
        <v>2518</v>
      </c>
      <c r="D903" s="2" t="s">
        <v>2498</v>
      </c>
      <c r="E903" s="2" t="s">
        <v>1679</v>
      </c>
      <c r="F903" s="2" t="s">
        <v>15</v>
      </c>
      <c r="G903" s="2" t="s">
        <v>1731</v>
      </c>
      <c r="H903" s="2" t="s">
        <v>203</v>
      </c>
      <c r="I903" s="2" t="str">
        <f>IFERROR(__xludf.DUMMYFUNCTION("GOOGLETRANSLATE(C903,""fr"",""en"")"),"Following a water damage, part of the ceiling collapsed destroying my kitchen. This made my apartment uninhabitable for several months, and my personal situation complicated.
I would have hoped that Crédit Mutuel, to whom my family has been loyal for s"&amp;"o many years, could take care of my situation correctly ... but it is not!
The expert mandated to take care of the file has done everything to reduce ""help"" to sorrow and the proposal for cooking is lower than the lowest quote proposal!
From the s"&amp;"tart I have the impression of having to fight against my insurer when he is supposed to defend me! Business chef, I wasted crazy and precious time to defend my own case ...")</f>
        <v>Following a water damage, part of the ceiling collapsed destroying my kitchen. This made my apartment uninhabitable for several months, and my personal situation complicated.
I would have hoped that Crédit Mutuel, to whom my family has been loyal for so many years, could take care of my situation correctly ... but it is not!
The expert mandated to take care of the file has done everything to reduce "help" to sorrow and the proposal for cooking is lower than the lowest quote proposal!
From the start I have the impression of having to fight against my insurer when he is supposed to defend me! Business chef, I wasted crazy and precious time to defend my own case ...</v>
      </c>
    </row>
    <row r="904" ht="15.75" customHeight="1">
      <c r="B904" s="2" t="s">
        <v>2519</v>
      </c>
      <c r="C904" s="2" t="s">
        <v>2520</v>
      </c>
      <c r="D904" s="2" t="s">
        <v>2498</v>
      </c>
      <c r="E904" s="2" t="s">
        <v>1679</v>
      </c>
      <c r="F904" s="2" t="s">
        <v>15</v>
      </c>
      <c r="G904" s="2" t="s">
        <v>2521</v>
      </c>
      <c r="H904" s="2" t="s">
        <v>203</v>
      </c>
      <c r="I904" s="2" t="str">
        <f>IFERROR(__xludf.DUMMYFUNCTION("GOOGLETRANSLATE(C904,""fr"",""en"")"),"Hello, I am completely disgusted with this insurance.
I praised my house to a tenant who degraded my accommodation and who is in unpaid rent: at the time of the state of leaving the premises I reported the situation. I also discovered a crack on my garag"&amp;"e wall. The file is underway ... The speech for the unpaid we will use your deposit and for the damage be listen to you have systematic deductibles by declared elements of 120 euros lol and not on all the damage. In addition, my advisor announces that he "&amp;"refuses to make me later in multi -risk against vandalism as a second home since I no longer want to rent in view of my mishap because there are claims caused by the tenant who Besides, in the end will be taken on the deposit. As for the unpaid rent I won"&amp;"der the excuse that will get me out and I do not even talk about my crack ... forced to take another insurance to cover incredible but true vandalism! I am disgusted!")</f>
        <v>Hello, I am completely disgusted with this insurance.
I praised my house to a tenant who degraded my accommodation and who is in unpaid rent: at the time of the state of leaving the premises I reported the situation. I also discovered a crack on my garage wall. The file is underway ... The speech for the unpaid we will use your deposit and for the damage be listen to you have systematic deductibles by declared elements of 120 euros lol and not on all the damage. In addition, my advisor announces that he refuses to make me later in multi -risk against vandalism as a second home since I no longer want to rent in view of my mishap because there are claims caused by the tenant who Besides, in the end will be taken on the deposit. As for the unpaid rent I wonder the excuse that will get me out and I do not even talk about my crack ... forced to take another insurance to cover incredible but true vandalism! I am disgusted!</v>
      </c>
    </row>
    <row r="905" ht="15.75" customHeight="1">
      <c r="B905" s="2" t="s">
        <v>2522</v>
      </c>
      <c r="C905" s="2" t="s">
        <v>2523</v>
      </c>
      <c r="D905" s="2" t="s">
        <v>2498</v>
      </c>
      <c r="E905" s="2" t="s">
        <v>1679</v>
      </c>
      <c r="F905" s="2" t="s">
        <v>15</v>
      </c>
      <c r="G905" s="2" t="s">
        <v>2122</v>
      </c>
      <c r="H905" s="2" t="s">
        <v>210</v>
      </c>
      <c r="I905" s="2" t="str">
        <f>IFERROR(__xludf.DUMMYFUNCTION("GOOGLETRANSLATE(C905,""fr"",""en"")"),"Hello, my 90 -year -old mom had a crack on a wall in the dining room, I brought the real estate agency who told us to make a statement, the expert sent the report 2 times because the first times he hadn't had it and in addition I waited for 3 weeks, to te"&amp;"ll me that he did not reimburse me because it had been 5 years that she had the crack and that the guarantee is two years ?? Inadmissible do everything to not pay ??")</f>
        <v>Hello, my 90 -year -old mom had a crack on a wall in the dining room, I brought the real estate agency who told us to make a statement, the expert sent the report 2 times because the first times he hadn't had it and in addition I waited for 3 weeks, to tell me that he did not reimburse me because it had been 5 years that she had the crack and that the guarantee is two years ?? Inadmissible do everything to not pay ??</v>
      </c>
    </row>
    <row r="906" ht="15.75" customHeight="1">
      <c r="B906" s="2" t="s">
        <v>2524</v>
      </c>
      <c r="C906" s="2" t="s">
        <v>2525</v>
      </c>
      <c r="D906" s="2" t="s">
        <v>2498</v>
      </c>
      <c r="E906" s="2" t="s">
        <v>1679</v>
      </c>
      <c r="F906" s="2" t="s">
        <v>15</v>
      </c>
      <c r="G906" s="2" t="s">
        <v>376</v>
      </c>
      <c r="H906" s="2" t="s">
        <v>210</v>
      </c>
      <c r="I906" s="2" t="str">
        <f>IFERROR(__xludf.DUMMYFUNCTION("GOOGLETRANSLATE(C906,""fr"",""en"")"),"Concerns extra -school insurance in our insurance. Following aggression with theft filmed by the cameras of the city and seen at the police station, no refund because the facts did not take place at home! What is the use of extra-curricular insurance in t"&amp;"his case! I leave the ACMs (all condondus contracts)!")</f>
        <v>Concerns extra -school insurance in our insurance. Following aggression with theft filmed by the cameras of the city and seen at the police station, no refund because the facts did not take place at home! What is the use of extra-curricular insurance in this case! I leave the ACMs (all condondus contracts)!</v>
      </c>
    </row>
    <row r="907" ht="15.75" customHeight="1">
      <c r="B907" s="2" t="s">
        <v>2526</v>
      </c>
      <c r="C907" s="2" t="s">
        <v>2527</v>
      </c>
      <c r="D907" s="2" t="s">
        <v>2498</v>
      </c>
      <c r="E907" s="2" t="s">
        <v>1679</v>
      </c>
      <c r="F907" s="2" t="s">
        <v>15</v>
      </c>
      <c r="G907" s="2" t="s">
        <v>1234</v>
      </c>
      <c r="H907" s="2" t="s">
        <v>222</v>
      </c>
      <c r="I907" s="2" t="str">
        <f>IFERROR(__xludf.DUMMYFUNCTION("GOOGLETRANSLATE(C907,""fr"",""en"")"),"I have been a member of the Credit Mutuel for + 50 years, I have submitted a claim file on 24/10/2018 for cracks on my facades which require a strengthening of the foundation. File still under processing and no delay given. No comment..")</f>
        <v>I have been a member of the Credit Mutuel for + 50 years, I have submitted a claim file on 24/10/2018 for cracks on my facades which require a strengthening of the foundation. File still under processing and no delay given. No comment..</v>
      </c>
    </row>
    <row r="908" ht="15.75" customHeight="1">
      <c r="B908" s="2" t="s">
        <v>2528</v>
      </c>
      <c r="C908" s="2" t="s">
        <v>2529</v>
      </c>
      <c r="D908" s="2" t="s">
        <v>2498</v>
      </c>
      <c r="E908" s="2" t="s">
        <v>1679</v>
      </c>
      <c r="F908" s="2" t="s">
        <v>15</v>
      </c>
      <c r="G908" s="2" t="s">
        <v>2530</v>
      </c>
      <c r="H908" s="2" t="s">
        <v>403</v>
      </c>
      <c r="I908" s="2" t="str">
        <f>IFERROR(__xludf.DUMMYFUNCTION("GOOGLETRANSLATE(C908,""fr"",""en"")"),"No neutralitee if I could put 0 Star I would do it unfortunately to change insurance it is necessary to wait a year I wait for the end of my loss file Cabinet Elex should be updated through the internet because they do not know pk they come With you, they"&amp;" lower you, put the fault on you and minimize the prices of the damage in wholesalers they do not take anything into account by chance I have a witness I would not leave you my rights and this file will go to court. On the other hand there is no provolle "&amp;"l orsque you take us every month and there is interest that there are not really damaged you gave me the real estate credit that if I took your insurance")</f>
        <v>No neutralitee if I could put 0 Star I would do it unfortunately to change insurance it is necessary to wait a year I wait for the end of my loss file Cabinet Elex should be updated through the internet because they do not know pk they come With you, they lower you, put the fault on you and minimize the prices of the damage in wholesalers they do not take anything into account by chance I have a witness I would not leave you my rights and this file will go to court. On the other hand there is no provolle l orsque you take us every month and there is interest that there are not really damaged you gave me the real estate credit that if I took your insurance</v>
      </c>
    </row>
    <row r="909" ht="15.75" customHeight="1">
      <c r="B909" s="2" t="s">
        <v>2531</v>
      </c>
      <c r="C909" s="2" t="s">
        <v>2532</v>
      </c>
      <c r="D909" s="2" t="s">
        <v>2498</v>
      </c>
      <c r="E909" s="2" t="s">
        <v>1679</v>
      </c>
      <c r="F909" s="2" t="s">
        <v>15</v>
      </c>
      <c r="G909" s="2" t="s">
        <v>2533</v>
      </c>
      <c r="H909" s="2" t="s">
        <v>959</v>
      </c>
      <c r="I909" s="2" t="str">
        <f>IFERROR(__xludf.DUMMYFUNCTION("GOOGLETRANSLATE(C909,""fr"",""en"")"),"An endless wait on the phone. (Obteller)
Little kind interlocutors
Infinite disaster treatment time")</f>
        <v>An endless wait on the phone. (Obteller)
Little kind interlocutors
Infinite disaster treatment time</v>
      </c>
    </row>
    <row r="910" ht="15.75" customHeight="1">
      <c r="B910" s="2" t="s">
        <v>2534</v>
      </c>
      <c r="C910" s="2" t="s">
        <v>2535</v>
      </c>
      <c r="D910" s="2" t="s">
        <v>2498</v>
      </c>
      <c r="E910" s="2" t="s">
        <v>1679</v>
      </c>
      <c r="F910" s="2" t="s">
        <v>15</v>
      </c>
      <c r="G910" s="2" t="s">
        <v>1743</v>
      </c>
      <c r="H910" s="2" t="s">
        <v>413</v>
      </c>
      <c r="I910" s="2" t="str">
        <f>IFERROR(__xludf.DUMMYFUNCTION("GOOGLETRANSLATE(C910,""fr"",""en"")"),"At ACM IARD in Strasbourg, I signed a multi -risk home insurance contract which contains natural disaster insurance and technological disasters. In September 2018, I declared to my insurer and in town hall the claim, namely the appearance of cracks on my "&amp;"house following the drought of 2018. The expert passed on November 21, 2018. In his report he advocates a study of the study Sol, so in February 2019, all the conditions are met to have this study carried out. On July 1, 2019, I sent the ACM, the order of"&amp;" recognizing the natural disaster state of my municipalities. On July 25, 2019, I reported (in vain) the appearance of new cracks.
The ACMs do not respect the law, they refuse to send me the expert report (their mail of July 25, 2019). Today September 21"&amp;", 2019, while all the conditions have been met since February 2019, the ACMs have not yet sent me the care to study the soil. In addition, the law provides that the expert report must contain the conservatory measures to avoid worsening the claim, the ACM"&amp;"s ignore this obligation, I do not know any measure to take, yet the disaster c ' is aggravated. Non -serious insurer, to be avoided.")</f>
        <v>At ACM IARD in Strasbourg, I signed a multi -risk home insurance contract which contains natural disaster insurance and technological disasters. In September 2018, I declared to my insurer and in town hall the claim, namely the appearance of cracks on my house following the drought of 2018. The expert passed on November 21, 2018. In his report he advocates a study of the study Sol, so in February 2019, all the conditions are met to have this study carried out. On July 1, 2019, I sent the ACM, the order of recognizing the natural disaster state of my municipalities. On July 25, 2019, I reported (in vain) the appearance of new cracks.
The ACMs do not respect the law, they refuse to send me the expert report (their mail of July 25, 2019). Today September 21, 2019, while all the conditions have been met since February 2019, the ACMs have not yet sent me the care to study the soil. In addition, the law provides that the expert report must contain the conservatory measures to avoid worsening the claim, the ACMs ignore this obligation, I do not know any measure to take, yet the disaster c ' is aggravated. Non -serious insurer, to be avoided.</v>
      </c>
    </row>
    <row r="911" ht="15.75" customHeight="1">
      <c r="B911" s="2" t="s">
        <v>2536</v>
      </c>
      <c r="C911" s="2" t="s">
        <v>2537</v>
      </c>
      <c r="D911" s="2" t="s">
        <v>2498</v>
      </c>
      <c r="E911" s="2" t="s">
        <v>1679</v>
      </c>
      <c r="F911" s="2" t="s">
        <v>15</v>
      </c>
      <c r="G911" s="2" t="s">
        <v>2538</v>
      </c>
      <c r="H911" s="2" t="s">
        <v>1620</v>
      </c>
      <c r="I911" s="2" t="str">
        <f>IFERROR(__xludf.DUMMYFUNCTION("GOOGLETRANSLATE(C911,""fr"",""en"")"),"No one on the phone, on hold indefinitely. Obliged to make his declaration online: for an old lady of 88, very complicated! On the other hand, nebulous and negative response after 2 days !!")</f>
        <v>No one on the phone, on hold indefinitely. Obliged to make his declaration online: for an old lady of 88, very complicated! On the other hand, nebulous and negative response after 2 days !!</v>
      </c>
    </row>
    <row r="912" ht="15.75" customHeight="1">
      <c r="B912" s="2" t="s">
        <v>2539</v>
      </c>
      <c r="C912" s="2" t="s">
        <v>2540</v>
      </c>
      <c r="D912" s="2" t="s">
        <v>2498</v>
      </c>
      <c r="E912" s="2" t="s">
        <v>1679</v>
      </c>
      <c r="F912" s="2" t="s">
        <v>15</v>
      </c>
      <c r="G912" s="2" t="s">
        <v>2541</v>
      </c>
      <c r="H912" s="2" t="s">
        <v>236</v>
      </c>
      <c r="I912" s="2" t="str">
        <f>IFERROR(__xludf.DUMMYFUNCTION("GOOGLETRANSLATE(C912,""fr"",""en"")"),"I had a fire in October 2017 and nothing is settled to date. After a lot of adventure and a few points from which we agreed with the company expert, his report no longer had any account of my remarks, nor the remarks of the expert's expert. Since then, he"&amp;" does not want to hear anything anymore and assurance this protects behind him. All the quotes of the craftsmen were revised drastically downwards. Not to mention huge dilapidation rates.
I do not ask that the house is redone, but I think that a little d"&amp;"ecency in these difficult times would have been of good taste. That year, I lost my mother and there was a fire. Today we are in point and I very much hope that this settled quickly. The craftsmen have worked and for the moment I have paid them with my ow"&amp;"n funds.
Finally I allow myself to lift a point that grieves me. You can imagine that since the insurance turned me, of course.
I also allow myself to lift a point. By rereading the emails I had with the Crédit Mutuel Assurances advisor, and the final"&amp;" contract I signed, I realized that there was a huge difference between the quote and the contract. In the quote there was registered ""new reconstruction and unlimited amount"", then in the contract this sentence which changes everything disappeared. You"&amp;" will tell me that I had only rereading well. But I completely trusted the advisor who was that of my mother before. I think there could be a fault. But it would take at least twenty pages to explain almost two years.")</f>
        <v>I had a fire in October 2017 and nothing is settled to date. After a lot of adventure and a few points from which we agreed with the company expert, his report no longer had any account of my remarks, nor the remarks of the expert's expert. Since then, he does not want to hear anything anymore and assurance this protects behind him. All the quotes of the craftsmen were revised drastically downwards. Not to mention huge dilapidation rates.
I do not ask that the house is redone, but I think that a little decency in these difficult times would have been of good taste. That year, I lost my mother and there was a fire. Today we are in point and I very much hope that this settled quickly. The craftsmen have worked and for the moment I have paid them with my own funds.
Finally I allow myself to lift a point that grieves me. You can imagine that since the insurance turned me, of course.
I also allow myself to lift a point. By rereading the emails I had with the Crédit Mutuel Assurances advisor, and the final contract I signed, I realized that there was a huge difference between the quote and the contract. In the quote there was registered "new reconstruction and unlimited amount", then in the contract this sentence which changes everything disappeared. You will tell me that I had only rereading well. But I completely trusted the advisor who was that of my mother before. I think there could be a fault. But it would take at least twenty pages to explain almost two years.</v>
      </c>
    </row>
    <row r="913" ht="15.75" customHeight="1">
      <c r="B913" s="2" t="s">
        <v>2542</v>
      </c>
      <c r="C913" s="2" t="s">
        <v>2543</v>
      </c>
      <c r="D913" s="2" t="s">
        <v>2498</v>
      </c>
      <c r="E913" s="2" t="s">
        <v>1679</v>
      </c>
      <c r="F913" s="2" t="s">
        <v>15</v>
      </c>
      <c r="G913" s="2" t="s">
        <v>2544</v>
      </c>
      <c r="H913" s="2" t="s">
        <v>236</v>
      </c>
      <c r="I913" s="2" t="str">
        <f>IFERROR(__xludf.DUMMYFUNCTION("GOOGLETRANSLATE(C913,""fr"",""en"")"),"I am under curatorship after having left allianz cause their contability I am going to Credit mutuel because these my bank, my currator help me to subscribe then later I subscribed to a teleurveillance at CREDIT MUTUEL when I received the Endorsement I sa"&amp;"w what I had not been attentive to the subscription that I had subscribed in time that owner out of I am that tenant so I sent an email to the person indicated on the document I had on the phone very simple he sent me a new amendment with the modifies tha"&amp;"t I was a tenant so thank you I recommend")</f>
        <v>I am under curatorship after having left allianz cause their contability I am going to Credit mutuel because these my bank, my currator help me to subscribe then later I subscribed to a teleurveillance at CREDIT MUTUEL when I received the Endorsement I saw what I had not been attentive to the subscription that I had subscribed in time that owner out of I am that tenant so I sent an email to the person indicated on the document I had on the phone very simple he sent me a new amendment with the modifies that I was a tenant so thank you I recommend</v>
      </c>
    </row>
    <row r="914" ht="15.75" customHeight="1">
      <c r="B914" s="2" t="s">
        <v>2545</v>
      </c>
      <c r="C914" s="2" t="s">
        <v>2546</v>
      </c>
      <c r="D914" s="2" t="s">
        <v>2498</v>
      </c>
      <c r="E914" s="2" t="s">
        <v>1679</v>
      </c>
      <c r="F914" s="2" t="s">
        <v>15</v>
      </c>
      <c r="G914" s="2" t="s">
        <v>2547</v>
      </c>
      <c r="H914" s="2" t="s">
        <v>236</v>
      </c>
      <c r="I914" s="2" t="str">
        <f>IFERROR(__xludf.DUMMYFUNCTION("GOOGLETRANSLATE(C914,""fr"",""en"")"),"30 years of contributions without disaster or I just had an infiltration of water I am owned in a CO prop I have been fighting for two months with ACM, in there, always more papers to do I am 75 years old and I am fed up am not an internet follower and it"&amp;" is complicated they do not put themselves within our very disappointed reach in dissatisfied I will end up letting my ceiling fall off it is abuse")</f>
        <v>30 years of contributions without disaster or I just had an infiltration of water I am owned in a CO prop I have been fighting for two months with ACM, in there, always more papers to do I am 75 years old and I am fed up am not an internet follower and it is complicated they do not put themselves within our very disappointed reach in dissatisfied I will end up letting my ceiling fall off it is abuse</v>
      </c>
    </row>
    <row r="915" ht="15.75" customHeight="1">
      <c r="B915" s="2" t="s">
        <v>2548</v>
      </c>
      <c r="C915" s="2" t="s">
        <v>2549</v>
      </c>
      <c r="D915" s="2" t="s">
        <v>2498</v>
      </c>
      <c r="E915" s="2" t="s">
        <v>1679</v>
      </c>
      <c r="F915" s="2" t="s">
        <v>15</v>
      </c>
      <c r="G915" s="2" t="s">
        <v>2550</v>
      </c>
      <c r="H915" s="2" t="s">
        <v>442</v>
      </c>
      <c r="I915" s="2" t="str">
        <f>IFERROR(__xludf.DUMMYFUNCTION("GOOGLETRANSLATE(C915,""fr"",""en"")"),"From victim of a burglary I become suspect by my insurer, despite the arrest of the perpetrators of the burglary. He seeks a thousand and one excuse not to settle.")</f>
        <v>From victim of a burglary I become suspect by my insurer, despite the arrest of the perpetrators of the burglary. He seeks a thousand and one excuse not to settle.</v>
      </c>
    </row>
    <row r="916" ht="15.75" customHeight="1">
      <c r="B916" s="2" t="s">
        <v>2551</v>
      </c>
      <c r="C916" s="2" t="s">
        <v>2552</v>
      </c>
      <c r="D916" s="2" t="s">
        <v>2498</v>
      </c>
      <c r="E916" s="2" t="s">
        <v>1679</v>
      </c>
      <c r="F916" s="2" t="s">
        <v>15</v>
      </c>
      <c r="G916" s="2" t="s">
        <v>2553</v>
      </c>
      <c r="H916" s="2" t="s">
        <v>457</v>
      </c>
      <c r="I916" s="2" t="str">
        <f>IFERROR(__xludf.DUMMYFUNCTION("GOOGLETRANSLATE(C916,""fr"",""en"")"),"I regret having taken out a home insurance contract. No follow -up, no communication possible. He repeats the same sentence endlessly. For a termination following a death before the insurance deadline, they do not want to reimburse the remaining months.
")</f>
        <v>I regret having taken out a home insurance contract. No follow -up, no communication possible. He repeats the same sentence endlessly. For a termination following a death before the insurance deadline, they do not want to reimburse the remaining months.
</v>
      </c>
    </row>
    <row r="917" ht="15.75" customHeight="1">
      <c r="B917" s="2" t="s">
        <v>2554</v>
      </c>
      <c r="C917" s="2" t="s">
        <v>2555</v>
      </c>
      <c r="D917" s="2" t="s">
        <v>2498</v>
      </c>
      <c r="E917" s="2" t="s">
        <v>1679</v>
      </c>
      <c r="F917" s="2" t="s">
        <v>15</v>
      </c>
      <c r="G917" s="2" t="s">
        <v>2556</v>
      </c>
      <c r="H917" s="2" t="s">
        <v>467</v>
      </c>
      <c r="I917" s="2" t="str">
        <f>IFERROR(__xludf.DUMMYFUNCTION("GOOGLETRANSLATE(C917,""fr"",""en"")"),"2 months to fight for 2 computers Damage Suite Storm. Reference between expert and insurance to finally have a message from the person to the expert who is in charge that he has left the company. Insurance asks me again the quotes already sent. I am annou"&amp;"nced at the start a 60th deductible on a 4 -year -old computer and now I am told a franchise of 120 and I am told to make me a commercial gesture by lowering it at 60. Amount of quotes 137 euros and I am exhausted For that with phone calls and emails; zer"&amp;"o satisfaction and no professionalism of monitoring my file or compensation")</f>
        <v>2 months to fight for 2 computers Damage Suite Storm. Reference between expert and insurance to finally have a message from the person to the expert who is in charge that he has left the company. Insurance asks me again the quotes already sent. I am announced at the start a 60th deductible on a 4 -year -old computer and now I am told a franchise of 120 and I am told to make me a commercial gesture by lowering it at 60. Amount of quotes 137 euros and I am exhausted For that with phone calls and emails; zero satisfaction and no professionalism of monitoring my file or compensation</v>
      </c>
    </row>
    <row r="918" ht="15.75" customHeight="1">
      <c r="B918" s="2" t="s">
        <v>2557</v>
      </c>
      <c r="C918" s="2" t="s">
        <v>2558</v>
      </c>
      <c r="D918" s="2" t="s">
        <v>2498</v>
      </c>
      <c r="E918" s="2" t="s">
        <v>1679</v>
      </c>
      <c r="F918" s="2" t="s">
        <v>15</v>
      </c>
      <c r="G918" s="2" t="s">
        <v>2559</v>
      </c>
      <c r="H918" s="2" t="s">
        <v>997</v>
      </c>
      <c r="I918" s="2" t="str">
        <f>IFERROR(__xludf.DUMMYFUNCTION("GOOGLETRANSLATE(C918,""fr"",""en"")"),"Following a bicycle accident or the responsibility was 100% opposing, my insurer (Crédit Mutuel) has shown ingertion from the independent expert so that it removes elements from its report ... I will let you judge Alone from this insurance and doubtful pr"&amp;"ocesses of a company that prone ""solutions that serve the only client interest"".")</f>
        <v>Following a bicycle accident or the responsibility was 100% opposing, my insurer (Crédit Mutuel) has shown ingertion from the independent expert so that it removes elements from its report ... I will let you judge Alone from this insurance and doubtful processes of a company that prone "solutions that serve the only client interest".</v>
      </c>
    </row>
    <row r="919" ht="15.75" customHeight="1">
      <c r="B919" s="2" t="s">
        <v>2560</v>
      </c>
      <c r="C919" s="2" t="s">
        <v>2561</v>
      </c>
      <c r="D919" s="2" t="s">
        <v>2498</v>
      </c>
      <c r="E919" s="2" t="s">
        <v>1679</v>
      </c>
      <c r="F919" s="2" t="s">
        <v>15</v>
      </c>
      <c r="G919" s="2" t="s">
        <v>2562</v>
      </c>
      <c r="H919" s="2" t="s">
        <v>1001</v>
      </c>
      <c r="I919" s="2" t="str">
        <f>IFERROR(__xludf.DUMMYFUNCTION("GOOGLETRANSLATE(C919,""fr"",""en"")"),"I fully advise against the protective insurance lessor of the ACM-Constatel. No transparency in the relationship before any telephone, abnormally long time for elusive responses. A year spent writing files for no compensation.")</f>
        <v>I fully advise against the protective insurance lessor of the ACM-Constatel. No transparency in the relationship before any telephone, abnormally long time for elusive responses. A year spent writing files for no compensation.</v>
      </c>
    </row>
    <row r="920" ht="15.75" customHeight="1">
      <c r="B920" s="2" t="s">
        <v>2563</v>
      </c>
      <c r="C920" s="2" t="s">
        <v>2564</v>
      </c>
      <c r="D920" s="2" t="s">
        <v>2498</v>
      </c>
      <c r="E920" s="2" t="s">
        <v>1679</v>
      </c>
      <c r="F920" s="2" t="s">
        <v>15</v>
      </c>
      <c r="G920" s="2" t="s">
        <v>255</v>
      </c>
      <c r="H920" s="2" t="s">
        <v>256</v>
      </c>
      <c r="I920" s="2" t="str">
        <f>IFERROR(__xludf.DUMMYFUNCTION("GOOGLETRANSLATE(C920,""fr"",""en"")"),"One thing is on, yes a company to flee, I ask myself the question if I really renew all of my contracts, auto, housing, pj gav, life insurance, in short the panoply, loyalty is not rewarded at home, passed your path with another insurance company.
the "&amp;"sinister :
4 months for a disaster, the fridge is HS and my dryer ditto, the dryer does not bother me for the moment, fortunately we can count on people for the loan of a fridge.")</f>
        <v>One thing is on, yes a company to flee, I ask myself the question if I really renew all of my contracts, auto, housing, pj gav, life insurance, in short the panoply, loyalty is not rewarded at home, passed your path with another insurance company.
the sinister :
4 months for a disaster, the fridge is HS and my dryer ditto, the dryer does not bother me for the moment, fortunately we can count on people for the loan of a fridge.</v>
      </c>
    </row>
    <row r="921" ht="15.75" customHeight="1">
      <c r="B921" s="2" t="s">
        <v>2565</v>
      </c>
      <c r="C921" s="2" t="s">
        <v>2566</v>
      </c>
      <c r="D921" s="2" t="s">
        <v>2498</v>
      </c>
      <c r="E921" s="2" t="s">
        <v>1679</v>
      </c>
      <c r="F921" s="2" t="s">
        <v>15</v>
      </c>
      <c r="G921" s="2" t="s">
        <v>2567</v>
      </c>
      <c r="H921" s="2" t="s">
        <v>476</v>
      </c>
      <c r="I921" s="2" t="str">
        <f>IFERROR(__xludf.DUMMYFUNCTION("GOOGLETRANSLATE(C921,""fr"",""en"")"),"Sinister of waters on 6/02 and I am still waiting for the culmination of the service at 10/04. Not serious for this affair
No informative return since the insurance expert intervened")</f>
        <v>Sinister of waters on 6/02 and I am still waiting for the culmination of the service at 10/04. Not serious for this affair
No informative return since the insurance expert intervened</v>
      </c>
    </row>
    <row r="922" ht="15.75" customHeight="1">
      <c r="B922" s="2" t="s">
        <v>2568</v>
      </c>
      <c r="C922" s="2" t="s">
        <v>2569</v>
      </c>
      <c r="D922" s="2" t="s">
        <v>2498</v>
      </c>
      <c r="E922" s="2" t="s">
        <v>1679</v>
      </c>
      <c r="F922" s="2" t="s">
        <v>15</v>
      </c>
      <c r="G922" s="2" t="s">
        <v>2570</v>
      </c>
      <c r="H922" s="2" t="s">
        <v>264</v>
      </c>
      <c r="I922" s="2" t="str">
        <f>IFERROR(__xludf.DUMMYFUNCTION("GOOGLETRANSLATE(C922,""fr"",""en"")"),"TO FLEE !!!! True to the Crédit Mutuel entity for over 30 years, I have subscribed to the home insurance of my apartment with ACM with confidence ... that was before ~~ until the day when the pipe
A neighbor breaks in the slab of my fair, it was in Janua"&amp;"ry 2017 uninhabitable accommodation. After weeks to bring in a young expert whose professionalism remains very questionable, hours spent writing the smallest details, accompanied by plans, photos so that there is no misunderstanding and things are the mos"&amp;"t Clearly possible, I am still ""on the street"" to this day. Letters responses within 4 weeks to 10 weeks (everything being completely blocked during this time), compensation paid to my neighbor for recognized damage to my private property and always not"&amp;" resolved to date, management error that 'They do not want to admit and finally no compensation because my accommodation is uninhabitable and that I pay a second rent this despite my requests to the registered letter AR.")</f>
        <v>TO FLEE !!!! True to the Crédit Mutuel entity for over 30 years, I have subscribed to the home insurance of my apartment with ACM with confidence ... that was before ~~ until the day when the pipe
A neighbor breaks in the slab of my fair, it was in January 2017 uninhabitable accommodation. After weeks to bring in a young expert whose professionalism remains very questionable, hours spent writing the smallest details, accompanied by plans, photos so that there is no misunderstanding and things are the most Clearly possible, I am still "on the street" to this day. Letters responses within 4 weeks to 10 weeks (everything being completely blocked during this time), compensation paid to my neighbor for recognized damage to my private property and always not resolved to date, management error that 'They do not want to admit and finally no compensation because my accommodation is uninhabitable and that I pay a second rent this despite my requests to the registered letter AR.</v>
      </c>
    </row>
    <row r="923" ht="15.75" customHeight="1">
      <c r="B923" s="2" t="s">
        <v>2571</v>
      </c>
      <c r="C923" s="2" t="s">
        <v>2572</v>
      </c>
      <c r="D923" s="2" t="s">
        <v>2498</v>
      </c>
      <c r="E923" s="2" t="s">
        <v>1679</v>
      </c>
      <c r="F923" s="2" t="s">
        <v>15</v>
      </c>
      <c r="G923" s="2" t="s">
        <v>1349</v>
      </c>
      <c r="H923" s="2" t="s">
        <v>277</v>
      </c>
      <c r="I923" s="2" t="str">
        <f>IFERROR(__xludf.DUMMYFUNCTION("GOOGLETRANSLATE(C923,""fr"",""en"")"),"Victim of the Eléanore storm, I stay at stage 0 in the processing of my file.
I transmitted the invoices I had, because Maison de 1993 bought in 2015, photos of the damage, I have twice, four emails, no date response for expertise and a mandatory quote n"&amp;"eed without ever gave package or reimbursement detail.
While we did everything and try to temporarily repair as we could.
I am so disappointed, I took this insurance with Crédit Immo when I was in competition for years, because employee of competing ins"&amp;"urance and I had claims reimbursed without any worries.
A shame in monitoring the file and in the responses to Tel. When I see in my company 3/4 victims have already been reimbursed ... It's annoying to see this ...
Frankly as soon as it is finished I l"&amp;"eave and I will make a good ad ...")</f>
        <v>Victim of the Eléanore storm, I stay at stage 0 in the processing of my file.
I transmitted the invoices I had, because Maison de 1993 bought in 2015, photos of the damage, I have twice, four emails, no date response for expertise and a mandatory quote need without ever gave package or reimbursement detail.
While we did everything and try to temporarily repair as we could.
I am so disappointed, I took this insurance with Crédit Immo when I was in competition for years, because employee of competing insurance and I had claims reimbursed without any worries.
A shame in monitoring the file and in the responses to Tel. When I see in my company 3/4 victims have already been reimbursed ... It's annoying to see this ...
Frankly as soon as it is finished I leave and I will make a good ad ...</v>
      </c>
    </row>
    <row r="924" ht="15.75" customHeight="1">
      <c r="B924" s="2" t="s">
        <v>2573</v>
      </c>
      <c r="C924" s="2" t="s">
        <v>2574</v>
      </c>
      <c r="D924" s="2" t="s">
        <v>2498</v>
      </c>
      <c r="E924" s="2" t="s">
        <v>1679</v>
      </c>
      <c r="F924" s="2" t="s">
        <v>15</v>
      </c>
      <c r="G924" s="2" t="s">
        <v>2575</v>
      </c>
      <c r="H924" s="2" t="s">
        <v>284</v>
      </c>
      <c r="I924" s="2" t="str">
        <f>IFERROR(__xludf.DUMMYFUNCTION("GOOGLETRANSLATE(C924,""fr"",""en"")"),"Insured for 17 years at Crédit Mutuel, without any claim, I had electrical damage linked to a thunderstorm on January 5. My freezer has grilled and I lost all its content. After trying in vain to reach the observant service by telephone (more than 20 minu"&amp;"tes of music) I made my declaration of loss online. I first knew that my freezer would not be reimbursed for me because more than 10 years old. I am asked to list its content, which I did and attached online on January 19. Since that date, radio silence a"&amp;"nd when I go on the ""Follow my claims"" section, my list has disappeared. So I broadcast them by email. This is my first claim in 17 years and in any event, in the absence of a satisfactory response and reimbursement, I will not hesitate to change all my"&amp;" insurance contracts ....")</f>
        <v>Insured for 17 years at Crédit Mutuel, without any claim, I had electrical damage linked to a thunderstorm on January 5. My freezer has grilled and I lost all its content. After trying in vain to reach the observant service by telephone (more than 20 minutes of music) I made my declaration of loss online. I first knew that my freezer would not be reimbursed for me because more than 10 years old. I am asked to list its content, which I did and attached online on January 19. Since that date, radio silence and when I go on the "Follow my claims" section, my list has disappeared. So I broadcast them by email. This is my first claim in 17 years and in any event, in the absence of a satisfactory response and reimbursement, I will not hesitate to change all my insurance contracts ....</v>
      </c>
    </row>
    <row r="925" ht="15.75" customHeight="1">
      <c r="B925" s="2" t="s">
        <v>2576</v>
      </c>
      <c r="C925" s="2" t="s">
        <v>2577</v>
      </c>
      <c r="D925" s="2" t="s">
        <v>2498</v>
      </c>
      <c r="E925" s="2" t="s">
        <v>1679</v>
      </c>
      <c r="F925" s="2" t="s">
        <v>15</v>
      </c>
      <c r="G925" s="2" t="s">
        <v>2257</v>
      </c>
      <c r="H925" s="2" t="s">
        <v>284</v>
      </c>
      <c r="I925" s="2" t="str">
        <f>IFERROR(__xludf.DUMMYFUNCTION("GOOGLETRANSLATE(C925,""fr"",""en"")"),"Hello, my daughter and I have been loyal customers for many years. (Health residential cars) I am the victim of a D.D.E in 02/2016 in the apartment for which I am assured P.N.O. Water infiltration on the ceiling from the lost attic (COPRO). 2 experts have"&amp;" passed none visited the attic. They determined that the disaster came from a condensation of the VMC sheaths. No picture. Under these conditions I myself am a very good expert. Even if it was an ACM condensation would seem to be unindemnision for the res"&amp;"toration of the embellishments (1600.00 €) and turn to the insurance of the COPRO or D.O within the framework of the CID -COP agreement. The last Emel ACM Iard tells me that if I am not satisfied I only have to seize the insurance conciliator. To date the"&amp;" disaster is continuing and the disorders are growing. I have a fairly substantial loss of rental income. Thank you A.C.M mysterious contract insurance. As long as you have no claim you are welcome but from the first claim you are only a disaster number n"&amp;"ot to cover.")</f>
        <v>Hello, my daughter and I have been loyal customers for many years. (Health residential cars) I am the victim of a D.D.E in 02/2016 in the apartment for which I am assured P.N.O. Water infiltration on the ceiling from the lost attic (COPRO). 2 experts have passed none visited the attic. They determined that the disaster came from a condensation of the VMC sheaths. No picture. Under these conditions I myself am a very good expert. Even if it was an ACM condensation would seem to be unindemnision for the restoration of the embellishments (1600.00 €) and turn to the insurance of the COPRO or D.O within the framework of the CID -COP agreement. The last Emel ACM Iard tells me that if I am not satisfied I only have to seize the insurance conciliator. To date the disaster is continuing and the disorders are growing. I have a fairly substantial loss of rental income. Thank you A.C.M mysterious contract insurance. As long as you have no claim you are welcome but from the first claim you are only a disaster number not to cover.</v>
      </c>
    </row>
    <row r="926" ht="15.75" customHeight="1">
      <c r="B926" s="2" t="s">
        <v>2578</v>
      </c>
      <c r="C926" s="2" t="s">
        <v>2579</v>
      </c>
      <c r="D926" s="2" t="s">
        <v>2498</v>
      </c>
      <c r="E926" s="2" t="s">
        <v>1679</v>
      </c>
      <c r="F926" s="2" t="s">
        <v>15</v>
      </c>
      <c r="G926" s="2" t="s">
        <v>2580</v>
      </c>
      <c r="H926" s="2" t="s">
        <v>807</v>
      </c>
      <c r="I926" s="2" t="str">
        <f>IFERROR(__xludf.DUMMYFUNCTION("GOOGLETRANSLATE(C926,""fr"",""en"")"),"Hello, I just had an EDF electric disaster at the change of the Linky meter tightened the secondary terminals of the Differential more bad line has decreases of tension in the evening since qqes months, my American HS fridge, the cold compressor does not "&amp;"start Plus from a drop in tension on 7/11/2017 .. all have been discontered the fridge is HS. And a few weeks ago, I had a drop in tension I also had a breakdown on computer equipment .. well guessed what: Declaration of the sinister advise it we know tha"&amp;"t you are not going Not staying days and days without fridge. Fortunately I anticipated I come to receive a letter from the expert who passes on December 11! May she be serious! In Banir I have already had 4 negative experiences on the ACMs must flee from"&amp;" all emergencies. Fortunately I anticipated the purchase of the fridge !! I do not expect anything from this company, I will withdraw my 2 cars motorcycle and extra school and even try to see to make the assurance of my house credit bought .. I advise you"&amp;" to flee !!")</f>
        <v>Hello, I just had an EDF electric disaster at the change of the Linky meter tightened the secondary terminals of the Differential more bad line has decreases of tension in the evening since qqes months, my American HS fridge, the cold compressor does not start Plus from a drop in tension on 7/11/2017 .. all have been discontered the fridge is HS. And a few weeks ago, I had a drop in tension I also had a breakdown on computer equipment .. well guessed what: Declaration of the sinister advise it we know that you are not going Not staying days and days without fridge. Fortunately I anticipated I come to receive a letter from the expert who passes on December 11! May she be serious! In Banir I have already had 4 negative experiences on the ACMs must flee from all emergencies. Fortunately I anticipated the purchase of the fridge !! I do not expect anything from this company, I will withdraw my 2 cars motorcycle and extra school and even try to see to make the assurance of my house credit bought .. I advise you to flee !!</v>
      </c>
    </row>
    <row r="927" ht="15.75" customHeight="1">
      <c r="B927" s="2" t="s">
        <v>2581</v>
      </c>
      <c r="C927" s="2" t="s">
        <v>2582</v>
      </c>
      <c r="D927" s="2" t="s">
        <v>2498</v>
      </c>
      <c r="E927" s="2" t="s">
        <v>1679</v>
      </c>
      <c r="F927" s="2" t="s">
        <v>15</v>
      </c>
      <c r="G927" s="2" t="s">
        <v>2583</v>
      </c>
      <c r="H927" s="2" t="s">
        <v>807</v>
      </c>
      <c r="I927" s="2" t="str">
        <f>IFERROR(__xludf.DUMMYFUNCTION("GOOGLETRANSLATE(C927,""fr"",""en"")"),"Insured for years, 1 degate of the waters in August linked to an external intervention on a softener. Insurance declaration and request for expertise that has been dragging for 3 months. We relaunch, we finally have a scheduled expertise, and we receive a"&amp;" letter of termination of ACMs because we break confidence! Who are we laughing at ? Defend your customers, or are you just collecting premiums?
I carry all my accounts at home.")</f>
        <v>Insured for years, 1 degate of the waters in August linked to an external intervention on a softener. Insurance declaration and request for expertise that has been dragging for 3 months. We relaunch, we finally have a scheduled expertise, and we receive a letter of termination of ACMs because we break confidence! Who are we laughing at ? Defend your customers, or are you just collecting premiums?
I carry all my accounts at home.</v>
      </c>
    </row>
    <row r="928" ht="15.75" customHeight="1">
      <c r="B928" s="2" t="s">
        <v>2584</v>
      </c>
      <c r="C928" s="2" t="s">
        <v>2585</v>
      </c>
      <c r="D928" s="2" t="s">
        <v>2498</v>
      </c>
      <c r="E928" s="2" t="s">
        <v>1679</v>
      </c>
      <c r="F928" s="2" t="s">
        <v>15</v>
      </c>
      <c r="G928" s="2" t="s">
        <v>2586</v>
      </c>
      <c r="H928" s="2" t="s">
        <v>1049</v>
      </c>
      <c r="I928" s="2" t="str">
        <f>IFERROR(__xludf.DUMMYFUNCTION("GOOGLETRANSLATE(C928,""fr"",""en"")"),"We have all our insurance at Credit Mutuel since its creation and we are very satisfied")</f>
        <v>We have all our insurance at Credit Mutuel since its creation and we are very satisfied</v>
      </c>
    </row>
    <row r="929" ht="15.75" customHeight="1">
      <c r="B929" s="2" t="s">
        <v>2587</v>
      </c>
      <c r="C929" s="2" t="s">
        <v>2588</v>
      </c>
      <c r="D929" s="2" t="s">
        <v>2498</v>
      </c>
      <c r="E929" s="2" t="s">
        <v>1679</v>
      </c>
      <c r="F929" s="2" t="s">
        <v>15</v>
      </c>
      <c r="G929" s="2" t="s">
        <v>1366</v>
      </c>
      <c r="H929" s="2" t="s">
        <v>1049</v>
      </c>
      <c r="I929" s="2" t="str">
        <f>IFERROR(__xludf.DUMMYFUNCTION("GOOGLETRANSLATE(C929,""fr"",""en"")"),"Hello I pointed out a watershed on 04 04 09 2017 and each time I am told the same thing I have sent the quote and the estimated number of hours. And from bin have me ballad on the phone what to do? I sent everything by email because it is supposedly faste"&amp;"r")</f>
        <v>Hello I pointed out a watershed on 04 04 09 2017 and each time I am told the same thing I have sent the quote and the estimated number of hours. And from bin have me ballad on the phone what to do? I sent everything by email because it is supposedly faster</v>
      </c>
    </row>
    <row r="930" ht="15.75" customHeight="1">
      <c r="B930" s="2" t="s">
        <v>2589</v>
      </c>
      <c r="C930" s="2" t="s">
        <v>2590</v>
      </c>
      <c r="D930" s="2" t="s">
        <v>2498</v>
      </c>
      <c r="E930" s="2" t="s">
        <v>1679</v>
      </c>
      <c r="F930" s="2" t="s">
        <v>15</v>
      </c>
      <c r="G930" s="2" t="s">
        <v>2591</v>
      </c>
      <c r="H930" s="2" t="s">
        <v>1049</v>
      </c>
      <c r="I930" s="2" t="str">
        <f>IFERROR(__xludf.DUMMYFUNCTION("GOOGLETRANSLATE(C930,""fr"",""en"")"),"Not at all competitive ...
The worst is the CFCAL, a subsidiary of Crédit Mutuel. Rapaces to avoid absolutely !!!")</f>
        <v>Not at all competitive ...
The worst is the CFCAL, a subsidiary of Crédit Mutuel. Rapaces to avoid absolutely !!!</v>
      </c>
    </row>
    <row r="931" ht="15.75" customHeight="1">
      <c r="B931" s="2" t="s">
        <v>2592</v>
      </c>
      <c r="C931" s="2" t="s">
        <v>2593</v>
      </c>
      <c r="D931" s="2" t="s">
        <v>2498</v>
      </c>
      <c r="E931" s="2" t="s">
        <v>1679</v>
      </c>
      <c r="F931" s="2" t="s">
        <v>15</v>
      </c>
      <c r="G931" s="2" t="s">
        <v>2594</v>
      </c>
      <c r="H931" s="2" t="s">
        <v>506</v>
      </c>
      <c r="I931" s="2" t="str">
        <f>IFERROR(__xludf.DUMMYFUNCTION("GOOGLETRANSLATE(C931,""fr"",""en"")"),"Insured by obligation following my real estate loan at CM.
Very disappointed. I have just been the victim of a burglary with break -in in my cellar. We refuse to industrial me.
The reason ? We think we are dreaming, here is an extract from the letter of"&amp;" response that I have received: ""The facts described not corresponding to the definition of theft according to the terms of your home insurance contract, its"" flight ""warranty cannot to apply.""
There should be explained to me how a burglary does not "&amp;"constitute a flight.
""Depending on the elements transmitted, it appears that your door has no locks, only a padlock and two hooks. We remind you that under your contract, all the access doors to your insured premises must be provided with a Safety lock "&amp;"to be able to benefit from the ""flight"" warranty.
Again, I may look at my contract, this detail does not appear anywhere. And who would go a security door in his cellar! None of the documents I signed stipulates this closed.
I will not stop there, bec"&amp;"ause in the end we pay to ensure that in any case we cannot be compensated !!!
In the end, it is you who steal from us !!!!")</f>
        <v>Insured by obligation following my real estate loan at CM.
Very disappointed. I have just been the victim of a burglary with break -in in my cellar. We refuse to industrial me.
The reason ? We think we are dreaming, here is an extract from the letter of response that I have received: "The facts described not corresponding to the definition of theft according to the terms of your home insurance contract, its" flight "warranty cannot to apply."
There should be explained to me how a burglary does not constitute a flight.
"Depending on the elements transmitted, it appears that your door has no locks, only a padlock and two hooks. We remind you that under your contract, all the access doors to your insured premises must be provided with a Safety lock to be able to benefit from the "flight" warranty.
Again, I may look at my contract, this detail does not appear anywhere. And who would go a security door in his cellar! None of the documents I signed stipulates this closed.
I will not stop there, because in the end we pay to ensure that in any case we cannot be compensated !!!
In the end, it is you who steal from us !!!!</v>
      </c>
    </row>
    <row r="932" ht="15.75" customHeight="1">
      <c r="B932" s="2" t="s">
        <v>2595</v>
      </c>
      <c r="C932" s="2" t="s">
        <v>2596</v>
      </c>
      <c r="D932" s="2" t="s">
        <v>2498</v>
      </c>
      <c r="E932" s="2" t="s">
        <v>1679</v>
      </c>
      <c r="F932" s="2" t="s">
        <v>15</v>
      </c>
      <c r="G932" s="2" t="s">
        <v>2597</v>
      </c>
      <c r="H932" s="2" t="s">
        <v>1059</v>
      </c>
      <c r="I932" s="2" t="str">
        <f>IFERROR(__xludf.DUMMYFUNCTION("GOOGLETRANSLATE(C932,""fr"",""en"")"),"No. This group is a project .... Insurance bank. ... a real disaster. I had to give up the file to a lawyer.
Mutual, bank, legal protection and insurance ... I can't understand how they do they work with so much to miss")</f>
        <v>No. This group is a project .... Insurance bank. ... a real disaster. I had to give up the file to a lawyer.
Mutual, bank, legal protection and insurance ... I can't understand how they do they work with so much to miss</v>
      </c>
    </row>
    <row r="933" ht="15.75" customHeight="1">
      <c r="B933" s="2" t="s">
        <v>2598</v>
      </c>
      <c r="C933" s="2" t="s">
        <v>2599</v>
      </c>
      <c r="D933" s="2" t="s">
        <v>2498</v>
      </c>
      <c r="E933" s="2" t="s">
        <v>1679</v>
      </c>
      <c r="F933" s="2" t="s">
        <v>15</v>
      </c>
      <c r="G933" s="2" t="s">
        <v>2600</v>
      </c>
      <c r="H933" s="2" t="s">
        <v>24</v>
      </c>
      <c r="I933" s="2" t="str">
        <f>IFERROR(__xludf.DUMMYFUNCTION("GOOGLETRANSLATE(C933,""fr"",""en"")"),"I have a water damage so infiltration on my walls and ceiling I sent quote as agreed I call today to find out if my documents were received well and how is the continuation because in 8 years insured at ever had sinister and the person tell me that if eve"&amp;"rything is ok I can start the amazed work I have to advance the costs that go up to 1300th")</f>
        <v>I have a water damage so infiltration on my walls and ceiling I sent quote as agreed I call today to find out if my documents were received well and how is the continuation because in 8 years insured at ever had sinister and the person tell me that if everything is ok I can start the amazed work I have to advance the costs that go up to 1300th</v>
      </c>
    </row>
    <row r="934" ht="15.75" customHeight="1">
      <c r="B934" s="2" t="s">
        <v>2601</v>
      </c>
      <c r="C934" s="2" t="s">
        <v>2602</v>
      </c>
      <c r="D934" s="2" t="s">
        <v>2603</v>
      </c>
      <c r="E934" s="2" t="s">
        <v>1679</v>
      </c>
      <c r="F934" s="2" t="s">
        <v>15</v>
      </c>
      <c r="G934" s="2" t="s">
        <v>2604</v>
      </c>
      <c r="H934" s="2" t="s">
        <v>555</v>
      </c>
      <c r="I934" s="2" t="str">
        <f>IFERROR(__xludf.DUMMYFUNCTION("GOOGLETRANSLATE(C934,""fr"",""en"")"),"Do not take out home insurance at home, experts take more than 15 days to contact you. They are looking for the slightest small beast not to compensate you, the experts instead of going to the essential visit your whole house and you signal the least faul"&amp;"t when that is not why they came. Insurance tells you by phone cover certain damage, it is enough that the expert says not to compensate, they do not do so when it has nothing to do. Look for insurance, even if it means putting the price")</f>
        <v>Do not take out home insurance at home, experts take more than 15 days to contact you. They are looking for the slightest small beast not to compensate you, the experts instead of going to the essential visit your whole house and you signal the least fault when that is not why they came. Insurance tells you by phone cover certain damage, it is enough that the expert says not to compensate, they do not do so when it has nothing to do. Look for insurance, even if it means putting the price</v>
      </c>
    </row>
    <row r="935" ht="15.75" customHeight="1">
      <c r="B935" s="2" t="s">
        <v>2605</v>
      </c>
      <c r="C935" s="2" t="s">
        <v>2606</v>
      </c>
      <c r="D935" s="2" t="s">
        <v>2603</v>
      </c>
      <c r="E935" s="2" t="s">
        <v>1679</v>
      </c>
      <c r="F935" s="2" t="s">
        <v>15</v>
      </c>
      <c r="G935" s="2" t="s">
        <v>2607</v>
      </c>
      <c r="H935" s="2" t="s">
        <v>39</v>
      </c>
      <c r="I935" s="2" t="str">
        <f>IFERROR(__xludf.DUMMYFUNCTION("GOOGLETRANSLATE(C935,""fr"",""en"")"),"I find that this company regresses, I had a claim on 12/9, it is not covered.
However, you can request the Solidarity Fund.
All the stakeholders were unanimous, I send you the referral file.
After 35 years Mrs. to ....
Realized that she did not have m"&amp;"y email address.
Dysfunction of the thermostat is not an additional cause.
So, no possibility of entering the solidarity fund.
I do not recommend this company.
Macif is not reliable
")</f>
        <v>I find that this company regresses, I had a claim on 12/9, it is not covered.
However, you can request the Solidarity Fund.
All the stakeholders were unanimous, I send you the referral file.
After 35 years Mrs. to ....
Realized that she did not have my email address.
Dysfunction of the thermostat is not an additional cause.
So, no possibility of entering the solidarity fund.
I do not recommend this company.
Macif is not reliable
</v>
      </c>
    </row>
    <row r="936" ht="15.75" customHeight="1">
      <c r="B936" s="2" t="s">
        <v>2608</v>
      </c>
      <c r="C936" s="2" t="s">
        <v>2609</v>
      </c>
      <c r="D936" s="2" t="s">
        <v>2603</v>
      </c>
      <c r="E936" s="2" t="s">
        <v>1679</v>
      </c>
      <c r="F936" s="2" t="s">
        <v>15</v>
      </c>
      <c r="G936" s="2" t="s">
        <v>1416</v>
      </c>
      <c r="H936" s="2" t="s">
        <v>39</v>
      </c>
      <c r="I936" s="2" t="str">
        <f>IFERROR(__xludf.DUMMYFUNCTION("GOOGLETRANSLATE(C936,""fr"",""en"")"),"Customers for 39 years at the Macif and still satisfied with their services until June 2021 where a thunderstorm damaged the engine and the battery of our roller component operating on solar energy, the expert mandated by the Macif refused us compensate f"&amp;"or the pretext that this equipment was not connected to electricity and could in no case have been damaged by a thunderstorm. We challenged his expertise and the file was re -studied and second refusal.
We have just viewed the official website of this co"&amp;"mpany where they specify that solar equipment is covered by home insurance, there is something to laugh if we should not pay € 700 from our pocket to settle the repair.
We asked for an appointment in our agency to find out if we could ensure our solar sh"&amp;"utters by paying a surprise; We were told that it was not possible. Given what is written on the official website we are really in a vaudeville !!
")</f>
        <v>Customers for 39 years at the Macif and still satisfied with their services until June 2021 where a thunderstorm damaged the engine and the battery of our roller component operating on solar energy, the expert mandated by the Macif refused us compensate for the pretext that this equipment was not connected to electricity and could in no case have been damaged by a thunderstorm. We challenged his expertise and the file was re -studied and second refusal.
We have just viewed the official website of this company where they specify that solar equipment is covered by home insurance, there is something to laugh if we should not pay € 700 from our pocket to settle the repair.
We asked for an appointment in our agency to find out if we could ensure our solar shutters by paying a surprise; We were told that it was not possible. Given what is written on the official website we are really in a vaudeville !!
</v>
      </c>
    </row>
    <row r="937" ht="15.75" customHeight="1">
      <c r="B937" s="2" t="s">
        <v>2610</v>
      </c>
      <c r="C937" s="2" t="s">
        <v>2611</v>
      </c>
      <c r="D937" s="2" t="s">
        <v>2603</v>
      </c>
      <c r="E937" s="2" t="s">
        <v>1679</v>
      </c>
      <c r="F937" s="2" t="s">
        <v>15</v>
      </c>
      <c r="G937" s="2" t="s">
        <v>563</v>
      </c>
      <c r="H937" s="2" t="s">
        <v>301</v>
      </c>
      <c r="I937" s="2" t="str">
        <f>IFERROR(__xludf.DUMMYFUNCTION("GOOGLETRANSLATE(C937,""fr"",""en"")"),"For my part
We had a setback with the Gli Macif insurance which it was disengaged as soon as we needed them!
If you need not to be covered, go to them!
Here is our situation:
1/ I paid for my contributions for 6 years at the Gli Macif
2/ occurred"&amp;" in June 2021 an unpaid rent and degradations
3/ I receive a letter from the Macif justifying that it would not cover the unpaid as well as the damage
4/ I had to do all the work alone, spend in terms of work, and mourn the unpaid rent
5/ Finally ici"&amp;"ng on the cake I ask the Macif by registered mail a request for reimbursement for the 6 years where I paid a service which did not assure me!
Result: refusal mail! These launders have never assured me and in addition they keep the contributions paid fr"&amp;"om 6 years on the pretext that it lacked a signature of the second tenant on a page of the lease!
Now we are at La Generali who '' a priori 'valid at the entrance the files, I say a priori because I do not trust insurers!
")</f>
        <v>For my part
We had a setback with the Gli Macif insurance which it was disengaged as soon as we needed them!
If you need not to be covered, go to them!
Here is our situation:
1/ I paid for my contributions for 6 years at the Gli Macif
2/ occurred in June 2021 an unpaid rent and degradations
3/ I receive a letter from the Macif justifying that it would not cover the unpaid as well as the damage
4/ I had to do all the work alone, spend in terms of work, and mourn the unpaid rent
5/ Finally icing on the cake I ask the Macif by registered mail a request for reimbursement for the 6 years where I paid a service which did not assure me!
Result: refusal mail! These launders have never assured me and in addition they keep the contributions paid from 6 years on the pretext that it lacked a signature of the second tenant on a page of the lease!
Now we are at La Generali who '' a priori 'valid at the entrance the files, I say a priori because I do not trust insurers!
</v>
      </c>
    </row>
    <row r="938" ht="15.75" customHeight="1">
      <c r="B938" s="2" t="s">
        <v>2612</v>
      </c>
      <c r="C938" s="2" t="s">
        <v>2613</v>
      </c>
      <c r="D938" s="2" t="s">
        <v>2603</v>
      </c>
      <c r="E938" s="2" t="s">
        <v>1679</v>
      </c>
      <c r="F938" s="2" t="s">
        <v>15</v>
      </c>
      <c r="G938" s="2" t="s">
        <v>2614</v>
      </c>
      <c r="H938" s="2" t="s">
        <v>301</v>
      </c>
      <c r="I938" s="2" t="str">
        <f>IFERROR(__xludf.DUMMYFUNCTION("GOOGLETRANSLATE(C938,""fr"",""en"")"),"Did not react during a disaster. We must constantly relaunch them. No way to have them directly on the phone. The urgency they do not know, they delegate the management to a third party.")</f>
        <v>Did not react during a disaster. We must constantly relaunch them. No way to have them directly on the phone. The urgency they do not know, they delegate the management to a third party.</v>
      </c>
    </row>
    <row r="939" ht="15.75" customHeight="1">
      <c r="B939" s="2" t="s">
        <v>2615</v>
      </c>
      <c r="C939" s="2" t="s">
        <v>2616</v>
      </c>
      <c r="D939" s="2" t="s">
        <v>2603</v>
      </c>
      <c r="E939" s="2" t="s">
        <v>1679</v>
      </c>
      <c r="F939" s="2" t="s">
        <v>15</v>
      </c>
      <c r="G939" s="2" t="s">
        <v>55</v>
      </c>
      <c r="H939" s="2" t="s">
        <v>56</v>
      </c>
      <c r="I939" s="2" t="str">
        <f>IFERROR(__xludf.DUMMYFUNCTION("GOOGLETRANSLATE(C939,""fr"",""en"")"),"The worst sales service we had to do.
There are no hesitation in hanging up with the nose and refuses to pass you a manager in the event of a dispute.")</f>
        <v>The worst sales service we had to do.
There are no hesitation in hanging up with the nose and refuses to pass you a manager in the event of a dispute.</v>
      </c>
    </row>
    <row r="940" ht="15.75" customHeight="1">
      <c r="B940" s="2" t="s">
        <v>2617</v>
      </c>
      <c r="C940" s="2" t="s">
        <v>2618</v>
      </c>
      <c r="D940" s="2" t="s">
        <v>2603</v>
      </c>
      <c r="E940" s="2" t="s">
        <v>1679</v>
      </c>
      <c r="F940" s="2" t="s">
        <v>15</v>
      </c>
      <c r="G940" s="2" t="s">
        <v>313</v>
      </c>
      <c r="H940" s="2" t="s">
        <v>56</v>
      </c>
      <c r="I940" s="2" t="str">
        <f>IFERROR(__xludf.DUMMYFUNCTION("GOOGLETRANSLATE(C940,""fr"",""en"")"),"Very disappointed ! I took home insurance with their service on May 10, 2021 to which I added an option for my bike. My bike was stolen on June 17. By calling them I had the unpleasant surprise to learn that my bike was not yet covered and that it will be"&amp;" taken care of until June 26 following the Hamon laws. So no recourse. The information during the subscription was not properly communicated to me!")</f>
        <v>Very disappointed ! I took home insurance with their service on May 10, 2021 to which I added an option for my bike. My bike was stolen on June 17. By calling them I had the unpleasant surprise to learn that my bike was not yet covered and that it will be taken care of until June 26 following the Hamon laws. So no recourse. The information during the subscription was not properly communicated to me!</v>
      </c>
    </row>
    <row r="941" ht="15.75" customHeight="1">
      <c r="B941" s="2" t="s">
        <v>2619</v>
      </c>
      <c r="C941" s="2" t="s">
        <v>2620</v>
      </c>
      <c r="D941" s="2" t="s">
        <v>2603</v>
      </c>
      <c r="E941" s="2" t="s">
        <v>1679</v>
      </c>
      <c r="F941" s="2" t="s">
        <v>15</v>
      </c>
      <c r="G941" s="2" t="s">
        <v>2621</v>
      </c>
      <c r="H941" s="2" t="s">
        <v>56</v>
      </c>
      <c r="I941" s="2" t="str">
        <f>IFERROR(__xludf.DUMMYFUNCTION("GOOGLETRANSLATE(C941,""fr"",""en"")"),"Insured at the Macif since always, I am more and more disappointed with this insurance which does not assume its role. Water damage caused twice following significant rains while work was carried out on the roof of my building. A year later I am still fig"&amp;"hting to be compensated. Not to mention that they have made mistakes in the open file numbers. In short, they are zero and do not industrial. No longer having the energy to fight I had to call on the company Lyanne who takes care for me to assert my right"&amp;"s. In short, I seriously think of changing insurer ...")</f>
        <v>Insured at the Macif since always, I am more and more disappointed with this insurance which does not assume its role. Water damage caused twice following significant rains while work was carried out on the roof of my building. A year later I am still fighting to be compensated. Not to mention that they have made mistakes in the open file numbers. In short, they are zero and do not industrial. No longer having the energy to fight I had to call on the company Lyanne who takes care for me to assert my rights. In short, I seriously think of changing insurer ...</v>
      </c>
    </row>
    <row r="942" ht="15.75" customHeight="1">
      <c r="B942" s="2" t="s">
        <v>2622</v>
      </c>
      <c r="C942" s="2" t="s">
        <v>2623</v>
      </c>
      <c r="D942" s="2" t="s">
        <v>2603</v>
      </c>
      <c r="E942" s="2" t="s">
        <v>1679</v>
      </c>
      <c r="F942" s="2" t="s">
        <v>15</v>
      </c>
      <c r="G942" s="2" t="s">
        <v>604</v>
      </c>
      <c r="H942" s="2" t="s">
        <v>56</v>
      </c>
      <c r="I942" s="2" t="str">
        <f>IFERROR(__xludf.DUMMYFUNCTION("GOOGLETRANSLATE(C942,""fr"",""en"")"),"The Macif is:
Increasingly ineffective
Less and less respectful of customer relations
Using low -all or not low -cozy experts
Who are incompetent, non -professional but on the other hand play the insurer's game by compensating less than the minimum an"&amp;"d therefore leaving the Macif client
After more than 50 years of contributions my parents are disgusted and decided to terminate all their contracts ...
Do the same ...")</f>
        <v>The Macif is:
Increasingly ineffective
Less and less respectful of customer relations
Using low -all or not low -cozy experts
Who are incompetent, non -professional but on the other hand play the insurer's game by compensating less than the minimum and therefore leaving the Macif client
After more than 50 years of contributions my parents are disgusted and decided to terminate all their contracts ...
Do the same ...</v>
      </c>
    </row>
    <row r="943" ht="15.75" customHeight="1">
      <c r="B943" s="2" t="s">
        <v>2624</v>
      </c>
      <c r="C943" s="2" t="s">
        <v>2625</v>
      </c>
      <c r="D943" s="2" t="s">
        <v>2603</v>
      </c>
      <c r="E943" s="2" t="s">
        <v>1679</v>
      </c>
      <c r="F943" s="2" t="s">
        <v>15</v>
      </c>
      <c r="G943" s="2" t="s">
        <v>604</v>
      </c>
      <c r="H943" s="2" t="s">
        <v>56</v>
      </c>
      <c r="I943" s="2" t="str">
        <f>IFERROR(__xludf.DUMMYFUNCTION("GOOGLETRANSLATE(C943,""fr"",""en"")"),"Uncompromising
Does not protect its customers
An interlocutor with each phone call.
Rexplication of the entire file each time
Incompetent and non -responsible teleoperator ...")</f>
        <v>Uncompromising
Does not protect its customers
An interlocutor with each phone call.
Rexplication of the entire file each time
Incompetent and non -responsible teleoperator ...</v>
      </c>
    </row>
    <row r="944" ht="15.75" customHeight="1">
      <c r="B944" s="2" t="s">
        <v>2626</v>
      </c>
      <c r="C944" s="2" t="s">
        <v>2627</v>
      </c>
      <c r="D944" s="2" t="s">
        <v>2603</v>
      </c>
      <c r="E944" s="2" t="s">
        <v>1679</v>
      </c>
      <c r="F944" s="2" t="s">
        <v>15</v>
      </c>
      <c r="G944" s="2" t="s">
        <v>631</v>
      </c>
      <c r="H944" s="2" t="s">
        <v>69</v>
      </c>
      <c r="I944" s="2" t="str">
        <f>IFERROR(__xludf.DUMMYFUNCTION("GOOGLETRANSLATE(C944,""fr"",""en"")"),"To flee !!
It has been more than two years since I left my apartment and that they continue to charge me, on the pretext that he would never have received a termination. And obviously your call after only 11 minutes to succeed in having someone at the si"&amp;"nister service because live it is impossible I am sending me a link to send an email or I am hanging up on the nose, and when I arrive To have someone the person announces me 15 minutes of waiting and during the connection it obviously hangs over no one r"&amp;"ecalls! A disaster! And while waiting for the account is always punctuated it is really shameful")</f>
        <v>To flee !!
It has been more than two years since I left my apartment and that they continue to charge me, on the pretext that he would never have received a termination. And obviously your call after only 11 minutes to succeed in having someone at the sinister service because live it is impossible I am sending me a link to send an email or I am hanging up on the nose, and when I arrive To have someone the person announces me 15 minutes of waiting and during the connection it obviously hangs over no one recalls! A disaster! And while waiting for the account is always punctuated it is really shameful</v>
      </c>
    </row>
    <row r="945" ht="15.75" customHeight="1">
      <c r="B945" s="2" t="s">
        <v>2628</v>
      </c>
      <c r="C945" s="2" t="s">
        <v>2629</v>
      </c>
      <c r="D945" s="2" t="s">
        <v>2603</v>
      </c>
      <c r="E945" s="2" t="s">
        <v>1679</v>
      </c>
      <c r="F945" s="2" t="s">
        <v>15</v>
      </c>
      <c r="G945" s="2" t="s">
        <v>1865</v>
      </c>
      <c r="H945" s="2" t="s">
        <v>69</v>
      </c>
      <c r="I945" s="2" t="str">
        <f>IFERROR(__xludf.DUMMYFUNCTION("GOOGLETRANSLATE(C945,""fr"",""en"")"),"I made a declaration of claim at the end of September 2020, the file is still not settled despite 2 letters of complaint to which the Macif never bothering to respond formally. It's scandalous!
No customer follow -up, each time must be called the call ce"&amp;"nter and re -explained the file, no follow -up of partners (experts, water leak research company). No respect for customer relations (I have been a customer since 1985 and I have all my insurance at the Macif - + a savings account + loan insurance). All c"&amp;"onfused I pay around € 500 per month to the Macif and no consideration. I will do what is necessary to find another insurer with concern and respect for its customers")</f>
        <v>I made a declaration of claim at the end of September 2020, the file is still not settled despite 2 letters of complaint to which the Macif never bothering to respond formally. It's scandalous!
No customer follow -up, each time must be called the call center and re -explained the file, no follow -up of partners (experts, water leak research company). No respect for customer relations (I have been a customer since 1985 and I have all my insurance at the Macif - + a savings account + loan insurance). All confused I pay around € 500 per month to the Macif and no consideration. I will do what is necessary to find another insurer with concern and respect for its customers</v>
      </c>
    </row>
    <row r="946" ht="15.75" customHeight="1">
      <c r="B946" s="2" t="s">
        <v>2630</v>
      </c>
      <c r="C946" s="2" t="s">
        <v>2631</v>
      </c>
      <c r="D946" s="2" t="s">
        <v>2603</v>
      </c>
      <c r="E946" s="2" t="s">
        <v>1679</v>
      </c>
      <c r="F946" s="2" t="s">
        <v>15</v>
      </c>
      <c r="G946" s="2" t="s">
        <v>654</v>
      </c>
      <c r="H946" s="2" t="s">
        <v>79</v>
      </c>
      <c r="I946" s="2" t="str">
        <f>IFERROR(__xludf.DUMMYFUNCTION("GOOGLETRANSLATE(C946,""fr"",""en"")"),"I have been paying for this insurance for 20 years and during a problem damage to water, no support all the excuses are good for clearing, good to pay that's all!")</f>
        <v>I have been paying for this insurance for 20 years and during a problem damage to water, no support all the excuses are good for clearing, good to pay that's all!</v>
      </c>
    </row>
    <row r="947" ht="15.75" customHeight="1">
      <c r="B947" s="2" t="s">
        <v>2632</v>
      </c>
      <c r="C947" s="2" t="s">
        <v>2633</v>
      </c>
      <c r="D947" s="2" t="s">
        <v>2603</v>
      </c>
      <c r="E947" s="2" t="s">
        <v>1679</v>
      </c>
      <c r="F947" s="2" t="s">
        <v>15</v>
      </c>
      <c r="G947" s="2" t="s">
        <v>82</v>
      </c>
      <c r="H947" s="2" t="s">
        <v>79</v>
      </c>
      <c r="I947" s="2" t="str">
        <f>IFERROR(__xludf.DUMMYFUNCTION("GOOGLETRANSLATE(C947,""fr"",""en"")"),"A festival of erroneous claims ...
The Macif wants to recover owners of mobile homes by offering self-confident insurance as a separate that it is in fact a banal secondary residence insurance, which is not at all suitable for a house Between caravan and"&amp;" residence.
The advisor tells me that it is a fixed, asks me if I have a wooden hair in the mobile home and tells me that I do not have an obligation of insurance while a mobile home is in a campsite and that 'It is required insurance.
Finally she ended"&amp;" up hanging on me ...
I remind you and another person tells me that ultimately they do not necessarily assure the mobile homes, that it is necessary to request them at the seat but only if we are already at home ....
In short, ultimately an ad on the In"&amp;"ternet that does not correspond to reality ...")</f>
        <v>A festival of erroneous claims ...
The Macif wants to recover owners of mobile homes by offering self-confident insurance as a separate that it is in fact a banal secondary residence insurance, which is not at all suitable for a house Between caravan and residence.
The advisor tells me that it is a fixed, asks me if I have a wooden hair in the mobile home and tells me that I do not have an obligation of insurance while a mobile home is in a campsite and that 'It is required insurance.
Finally she ended up hanging on me ...
I remind you and another person tells me that ultimately they do not necessarily assure the mobile homes, that it is necessary to request them at the seat but only if we are already at home ....
In short, ultimately an ad on the Internet that does not correspond to reality ...</v>
      </c>
    </row>
    <row r="948" ht="15.75" customHeight="1">
      <c r="B948" s="2" t="s">
        <v>2634</v>
      </c>
      <c r="C948" s="2" t="s">
        <v>2635</v>
      </c>
      <c r="D948" s="2" t="s">
        <v>2603</v>
      </c>
      <c r="E948" s="2" t="s">
        <v>1679</v>
      </c>
      <c r="F948" s="2" t="s">
        <v>15</v>
      </c>
      <c r="G948" s="2" t="s">
        <v>1477</v>
      </c>
      <c r="H948" s="2" t="s">
        <v>79</v>
      </c>
      <c r="I948" s="2" t="str">
        <f>IFERROR(__xludf.DUMMYFUNCTION("GOOGLETRANSLATE(C948,""fr"",""en"")"),"Insurance that seeks profitability at all costs. A member for fifteen years without incident, they did not hesitate to terminate my contracts after having used the legal protection that they themselves offered me. A advice run away, they have no humanity "&amp;"is the figures first.")</f>
        <v>Insurance that seeks profitability at all costs. A member for fifteen years without incident, they did not hesitate to terminate my contracts after having used the legal protection that they themselves offered me. A advice run away, they have no humanity is the figures first.</v>
      </c>
    </row>
    <row r="949" ht="15.75" customHeight="1">
      <c r="B949" s="2" t="s">
        <v>2636</v>
      </c>
      <c r="C949" s="2" t="s">
        <v>2637</v>
      </c>
      <c r="D949" s="2" t="s">
        <v>2603</v>
      </c>
      <c r="E949" s="2" t="s">
        <v>1679</v>
      </c>
      <c r="F949" s="2" t="s">
        <v>15</v>
      </c>
      <c r="G949" s="2" t="s">
        <v>1492</v>
      </c>
      <c r="H949" s="2" t="s">
        <v>92</v>
      </c>
      <c r="I949" s="2" t="str">
        <f>IFERROR(__xludf.DUMMYFUNCTION("GOOGLETRANSLATE(C949,""fr"",""en"")"),"I am extremely disappointed with this mutual which refuses to take care of a disaster that she had nevertheless agreed to cover. I absolutely do not recommend it.
I have been a member for almost 30 years with almost no claim to my credit. So I'm called a"&amp;" very good loyal customer ...
I am not a compulsive grinder or a ""haters"" of social networks. Our story is relatively simple, here is the main lines.
We have suffered a water damage due to a crack in the outside wall of our house. The #Macif mandates "&amp;"an expert and agrees in 2016 to take care of the damage caused provided that the origin of the leak is repaired.
Time to find the appropriate craftsman to repair the wall and the exterior coating, which this same craftsman integrates us into his schedule"&amp;", several months have passed.
At that time, my wife is pregnant with our 3rd child. Being aware of the risks linked to endocrine disruptors, we decide to undergo, neither to my wife or our infant nor to our 2 other children no longer the odors of solvent"&amp;"s inherent in the interior work.
It is therefore quite natural that in the beginning of 2021, after a year of hesitations linked to the COVID, we return to the #Macif to validate, the good care of the planned work.
The advisor was very embarrassed to "&amp;"tell me that the file had to be validated by his management ... 4 days after I receive a letter from the ""sinister client"" service telling me that he refuses to take care because the file is closed on their side. I am therefore very unhappy, because on "&amp;"our side the file is far from closed.
In conclusion, I wanted to testify so that those who hesitate to trust the #Macif are well aware of the way in which the ""good"" customers are treated (I dare not imagine the unfortunate people who are obliged to "&amp;"report several claims over a year…).
I also wanted to testify so that those who, like me, hesitated to competition their insurance because they think they are better accompanied when they need it. That they are very calmly trigger by saying that the fide"&amp;"lity of the #Macif is not reciprocal ...
A good hearing,
")</f>
        <v>I am extremely disappointed with this mutual which refuses to take care of a disaster that she had nevertheless agreed to cover. I absolutely do not recommend it.
I have been a member for almost 30 years with almost no claim to my credit. So I'm called a very good loyal customer ...
I am not a compulsive grinder or a "haters" of social networks. Our story is relatively simple, here is the main lines.
We have suffered a water damage due to a crack in the outside wall of our house. The #Macif mandates an expert and agrees in 2016 to take care of the damage caused provided that the origin of the leak is repaired.
Time to find the appropriate craftsman to repair the wall and the exterior coating, which this same craftsman integrates us into his schedule, several months have passed.
At that time, my wife is pregnant with our 3rd child. Being aware of the risks linked to endocrine disruptors, we decide to undergo, neither to my wife or our infant nor to our 2 other children no longer the odors of solvents inherent in the interior work.
It is therefore quite natural that in the beginning of 2021, after a year of hesitations linked to the COVID, we return to the #Macif to validate, the good care of the planned work.
The advisor was very embarrassed to tell me that the file had to be validated by his management ... 4 days after I receive a letter from the "sinister client" service telling me that he refuses to take care because the file is closed on their side. I am therefore very unhappy, because on our side the file is far from closed.
In conclusion, I wanted to testify so that those who hesitate to trust the #Macif are well aware of the way in which the "good" customers are treated (I dare not imagine the unfortunate people who are obliged to report several claims over a year…).
I also wanted to testify so that those who, like me, hesitated to competition their insurance because they think they are better accompanied when they need it. That they are very calmly trigger by saying that the fidelity of the #Macif is not reciprocal ...
A good hearing,
</v>
      </c>
    </row>
    <row r="950" ht="15.75" customHeight="1">
      <c r="B950" s="2" t="s">
        <v>2638</v>
      </c>
      <c r="C950" s="2" t="s">
        <v>2639</v>
      </c>
      <c r="D950" s="2" t="s">
        <v>2603</v>
      </c>
      <c r="E950" s="2" t="s">
        <v>1679</v>
      </c>
      <c r="F950" s="2" t="s">
        <v>15</v>
      </c>
      <c r="G950" s="2" t="s">
        <v>681</v>
      </c>
      <c r="H950" s="2" t="s">
        <v>92</v>
      </c>
      <c r="I950" s="2" t="str">
        <f>IFERROR(__xludf.DUMMYFUNCTION("GOOGLETRANSLATE(C950,""fr"",""en"")"),"I have just paid the price for a water entrance by the roof that caused damage on 3 ceilings, the glass wool soaked in the attic and a VMC HS which no longer works. The mandated Macif The Saretec expertise cabinet, which was due more to the number of part"&amp;"s, the floor surface, the size of my pergolas, the swimming pool. He refused to go up to see the damage in the attic for security reasons. He decided to take into account 2 ceilings out of 3, not to reimburse the VMC, to change 2 strips of glass wool with"&amp;"out being climbing the condition of the attic. He did not determine the causes of these water entries, it is supposedly not his job, moreover the insurance will not take into account the causes but that part of the consequences based on this expertise Roo"&amp;"med, without professionalism but the Macif finds this type of normal expertise, the expert did not need to see the damage in the attic. In my contract, I am well covered by the search for the origin of the water damage, the Macif takes place and always re"&amp;"sponds the same catchphrase, we do not have to look for the causes for this water damage. It's been 30 years that I have been a member of the Macif, it is clear that he will not see me anymore when this disaster is closed and my damage repaired. It is I w"&amp;"ho advances the Macif by constantly relating them to know their intentions. Nothing to do with customer satisfaction.")</f>
        <v>I have just paid the price for a water entrance by the roof that caused damage on 3 ceilings, the glass wool soaked in the attic and a VMC HS which no longer works. The mandated Macif The Saretec expertise cabinet, which was due more to the number of parts, the floor surface, the size of my pergolas, the swimming pool. He refused to go up to see the damage in the attic for security reasons. He decided to take into account 2 ceilings out of 3, not to reimburse the VMC, to change 2 strips of glass wool without being climbing the condition of the attic. He did not determine the causes of these water entries, it is supposedly not his job, moreover the insurance will not take into account the causes but that part of the consequences based on this expertise Roomed, without professionalism but the Macif finds this type of normal expertise, the expert did not need to see the damage in the attic. In my contract, I am well covered by the search for the origin of the water damage, the Macif takes place and always responds the same catchphrase, we do not have to look for the causes for this water damage. It's been 30 years that I have been a member of the Macif, it is clear that he will not see me anymore when this disaster is closed and my damage repaired. It is I who advances the Macif by constantly relating them to know their intentions. Nothing to do with customer satisfaction.</v>
      </c>
    </row>
    <row r="951" ht="15.75" customHeight="1">
      <c r="B951" s="2" t="s">
        <v>2640</v>
      </c>
      <c r="C951" s="2" t="s">
        <v>2641</v>
      </c>
      <c r="D951" s="2" t="s">
        <v>2603</v>
      </c>
      <c r="E951" s="2" t="s">
        <v>1679</v>
      </c>
      <c r="F951" s="2" t="s">
        <v>15</v>
      </c>
      <c r="G951" s="2" t="s">
        <v>343</v>
      </c>
      <c r="H951" s="2" t="s">
        <v>101</v>
      </c>
      <c r="I951" s="2" t="str">
        <f>IFERROR(__xludf.DUMMYFUNCTION("GOOGLETRANSLATE(C951,""fr"",""en"")"),"I have been a member of the Macif for years. I seriously think of terminating all contracts at home (vehicles (2) dwellings (there are 4!) Health (2).
You must constantly send RAR to management. They always find you an argument so as not to reimburse ..."&amp;"
I asked for 2 information statements. On one, ""rear shock"" was noted when it is a ""front shock"".
My brother insured at home had a pedestrian accident and the ""defense"" was not put forward. The compensation is more than miserable. They do not want"&amp;" to take care of contradictory medical expertise and therefore it is up to us to manage.
In their latest information book, the Macif has put forward that people with disabilities with their family carers were helped. So I phoned. I had 3 interlocutors: t"&amp;"he 1st was not aware, ""I remind you this afternoon"", she told me, ... I'm still waiting.
The 2nd, very kind, transferred me to a social worker. She listened to me religiously and finally, I quote: ""Let go for 1 month"" !!!
")</f>
        <v>I have been a member of the Macif for years. I seriously think of terminating all contracts at home (vehicles (2) dwellings (there are 4!) Health (2).
You must constantly send RAR to management. They always find you an argument so as not to reimburse ...
I asked for 2 information statements. On one, "rear shock" was noted when it is a "front shock".
My brother insured at home had a pedestrian accident and the "defense" was not put forward. The compensation is more than miserable. They do not want to take care of contradictory medical expertise and therefore it is up to us to manage.
In their latest information book, the Macif has put forward that people with disabilities with their family carers were helped. So I phoned. I had 3 interlocutors: the 1st was not aware, "I remind you this afternoon", she told me, ... I'm still waiting.
The 2nd, very kind, transferred me to a social worker. She listened to me religiously and finally, I quote: "Let go for 1 month" !!!
</v>
      </c>
    </row>
    <row r="952" ht="15.75" customHeight="1">
      <c r="B952" s="2" t="s">
        <v>2642</v>
      </c>
      <c r="C952" s="2" t="s">
        <v>2643</v>
      </c>
      <c r="D952" s="2" t="s">
        <v>2603</v>
      </c>
      <c r="E952" s="2" t="s">
        <v>1679</v>
      </c>
      <c r="F952" s="2" t="s">
        <v>15</v>
      </c>
      <c r="G952" s="2" t="s">
        <v>2644</v>
      </c>
      <c r="H952" s="2" t="s">
        <v>114</v>
      </c>
      <c r="I952" s="2" t="str">
        <f>IFERROR(__xludf.DUMMYFUNCTION("GOOGLETRANSLATE(C952,""fr"",""en"")"),"Hi there,
I have been a Macif customer for 20 years, for the 1st time I had to call on them following a break -in my box ... it's been 3 months since my box is open to all, that I am transferred from service to service, redirected to one of their partner"&amp;" who has nothing to do ...
I am disappointed, as is the previous opinion, I have paid all of my insurance for 20 years for a deplorable management.")</f>
        <v>Hi there,
I have been a Macif customer for 20 years, for the 1st time I had to call on them following a break -in my box ... it's been 3 months since my box is open to all, that I am transferred from service to service, redirected to one of their partner who has nothing to do ...
I am disappointed, as is the previous opinion, I have paid all of my insurance for 20 years for a deplorable management.</v>
      </c>
    </row>
    <row r="953" ht="15.75" customHeight="1">
      <c r="B953" s="2" t="s">
        <v>2645</v>
      </c>
      <c r="C953" s="2" t="s">
        <v>2646</v>
      </c>
      <c r="D953" s="2" t="s">
        <v>2603</v>
      </c>
      <c r="E953" s="2" t="s">
        <v>1679</v>
      </c>
      <c r="F953" s="2" t="s">
        <v>15</v>
      </c>
      <c r="G953" s="2" t="s">
        <v>1532</v>
      </c>
      <c r="H953" s="2" t="s">
        <v>114</v>
      </c>
      <c r="I953" s="2" t="str">
        <f>IFERROR(__xludf.DUMMYFUNCTION("GOOGLETRANSLATE(C953,""fr"",""en"")"),"More than 6 months that they make me pay for my insurance without having terminated my contract with the former company. And it is still not set despite many calls and emails. To flee!!")</f>
        <v>More than 6 months that they make me pay for my insurance without having terminated my contract with the former company. And it is still not set despite many calls and emails. To flee!!</v>
      </c>
    </row>
    <row r="954" ht="15.75" customHeight="1">
      <c r="B954" s="2" t="s">
        <v>2647</v>
      </c>
      <c r="C954" s="2" t="s">
        <v>2648</v>
      </c>
      <c r="D954" s="2" t="s">
        <v>2603</v>
      </c>
      <c r="E954" s="2" t="s">
        <v>1679</v>
      </c>
      <c r="F954" s="2" t="s">
        <v>15</v>
      </c>
      <c r="G954" s="2" t="s">
        <v>732</v>
      </c>
      <c r="H954" s="2" t="s">
        <v>126</v>
      </c>
      <c r="I954" s="2" t="str">
        <f>IFERROR(__xludf.DUMMYFUNCTION("GOOGLETRANSLATE(C954,""fr"",""en"")"),"Non -competitive price both in car insurance and living room.
Be careful to align their prices on competition This company does not hesitate to remove ""services"" insidiously even in the prejudice of former customers.
Some agency staff lacks empathy an"&amp;"d are sometimes rather arrogant.")</f>
        <v>Non -competitive price both in car insurance and living room.
Be careful to align their prices on competition This company does not hesitate to remove "services" insidiously even in the prejudice of former customers.
Some agency staff lacks empathy and are sometimes rather arrogant.</v>
      </c>
    </row>
    <row r="955" ht="15.75" customHeight="1">
      <c r="B955" s="2" t="s">
        <v>2649</v>
      </c>
      <c r="C955" s="2" t="s">
        <v>2650</v>
      </c>
      <c r="D955" s="2" t="s">
        <v>2603</v>
      </c>
      <c r="E955" s="2" t="s">
        <v>1679</v>
      </c>
      <c r="F955" s="2" t="s">
        <v>15</v>
      </c>
      <c r="G955" s="2" t="s">
        <v>2651</v>
      </c>
      <c r="H955" s="2" t="s">
        <v>126</v>
      </c>
      <c r="I955" s="2" t="str">
        <f>IFERROR(__xludf.DUMMYFUNCTION("GOOGLETRANSLATE(C955,""fr"",""en"")"),"Banoted from one advice to another for months for a claim at my home I thought I had finally found a listening. Unfortunately it is not, the insurer takes refuge behind the expert with absent subscribers due to overload of files from to the 1st confinemen"&amp;"t. No communication or communication parasitized due to the diversity of advisers (never the same). A obstacle course for the insured.
I have always appreciated the Macif for my vehicle but for the house it's another matter. I seriously plan to bring the"&amp;" file back to a justice conciliator because I no longer know how to arrive at the conclusion of my disaster.")</f>
        <v>Banoted from one advice to another for months for a claim at my home I thought I had finally found a listening. Unfortunately it is not, the insurer takes refuge behind the expert with absent subscribers due to overload of files from to the 1st confinement. No communication or communication parasitized due to the diversity of advisers (never the same). A obstacle course for the insured.
I have always appreciated the Macif for my vehicle but for the house it's another matter. I seriously plan to bring the file back to a justice conciliator because I no longer know how to arrive at the conclusion of my disaster.</v>
      </c>
    </row>
    <row r="956" ht="15.75" customHeight="1">
      <c r="B956" s="2" t="s">
        <v>2652</v>
      </c>
      <c r="C956" s="2" t="s">
        <v>2653</v>
      </c>
      <c r="D956" s="2" t="s">
        <v>2603</v>
      </c>
      <c r="E956" s="2" t="s">
        <v>1679</v>
      </c>
      <c r="F956" s="2" t="s">
        <v>15</v>
      </c>
      <c r="G956" s="2" t="s">
        <v>1161</v>
      </c>
      <c r="H956" s="2" t="s">
        <v>141</v>
      </c>
      <c r="I956" s="2" t="str">
        <f>IFERROR(__xludf.DUMMYFUNCTION("GOOGLETRANSLATE(C956,""fr"",""en"")"),"If you need nothing the Macif is there! 2 Expertises before changing tailgate on traffic because Macif agents are mistaken to send their agents to the right sector, 2 expertise for a broken perspective,
For a natural disaster concerning cracks on house t"&amp;"hey make an observation in videoconferencing !! To assess the claim at a distance, it's sloppy !!!
Thank you the Macif")</f>
        <v>If you need nothing the Macif is there! 2 Expertises before changing tailgate on traffic because Macif agents are mistaken to send their agents to the right sector, 2 expertise for a broken perspective,
For a natural disaster concerning cracks on house they make an observation in videoconferencing !! To assess the claim at a distance, it's sloppy !!!
Thank you the Macif</v>
      </c>
    </row>
    <row r="957" ht="15.75" customHeight="1">
      <c r="B957" s="2" t="s">
        <v>2654</v>
      </c>
      <c r="C957" s="2" t="s">
        <v>2655</v>
      </c>
      <c r="D957" s="2" t="s">
        <v>2603</v>
      </c>
      <c r="E957" s="2" t="s">
        <v>1679</v>
      </c>
      <c r="F957" s="2" t="s">
        <v>15</v>
      </c>
      <c r="G957" s="2" t="s">
        <v>154</v>
      </c>
      <c r="H957" s="2" t="s">
        <v>141</v>
      </c>
      <c r="I957" s="2" t="str">
        <f>IFERROR(__xludf.DUMMYFUNCTION("GOOGLETRANSLATE(C957,""fr"",""en"")"),"We had a degat with my partner.
However, these after having led us by boat for 5 days did not even send a leak search specialist.
Claiming that it was to the neighbor's insurance (because the water came from the ceiling) or the trustee to intervene.
Fo"&amp;"r this, he takes refuge behind the IRSI agreement and his modifications of July 2020 ... which stipulate the opposite !!!
So in addition to being incapable they are liars.
Ah yes I forgot too, rude, because they can also hang up on you and pass the bad "&amp;"line ... without doing on purpose of course ....
Zero bogus customer service
")</f>
        <v>We had a degat with my partner.
However, these after having led us by boat for 5 days did not even send a leak search specialist.
Claiming that it was to the neighbor's insurance (because the water came from the ceiling) or the trustee to intervene.
For this, he takes refuge behind the IRSI agreement and his modifications of July 2020 ... which stipulate the opposite !!!
So in addition to being incapable they are liars.
Ah yes I forgot too, rude, because they can also hang up on you and pass the bad line ... without doing on purpose of course ....
Zero bogus customer service
</v>
      </c>
    </row>
    <row r="958" ht="15.75" customHeight="1">
      <c r="B958" s="2" t="s">
        <v>2656</v>
      </c>
      <c r="C958" s="2" t="s">
        <v>2657</v>
      </c>
      <c r="D958" s="2" t="s">
        <v>2603</v>
      </c>
      <c r="E958" s="2" t="s">
        <v>1679</v>
      </c>
      <c r="F958" s="2" t="s">
        <v>15</v>
      </c>
      <c r="G958" s="2" t="s">
        <v>364</v>
      </c>
      <c r="H958" s="2" t="s">
        <v>141</v>
      </c>
      <c r="I958" s="2" t="str">
        <f>IFERROR(__xludf.DUMMYFUNCTION("GOOGLETRANSLATE(C958,""fr"",""en"")"),"I have been insured for a long time for my home, never for the rest because they are far too expensive by car and motorcycle. I never needed them so my subscription finally rather my monthly sample was going well. On the other hand, as soon as it was nece"&amp;"ssary to involve the insurance MRH disaster, incompetent staff, never respond to requests, never recall, they do not read emails and mails either. It's detestable, the Macif really takes us for milk cows ... I don't even recommend my worst enemy")</f>
        <v>I have been insured for a long time for my home, never for the rest because they are far too expensive by car and motorcycle. I never needed them so my subscription finally rather my monthly sample was going well. On the other hand, as soon as it was necessary to involve the insurance MRH disaster, incompetent staff, never respond to requests, never recall, they do not read emails and mails either. It's detestable, the Macif really takes us for milk cows ... I don't even recommend my worst enemy</v>
      </c>
    </row>
    <row r="959" ht="15.75" customHeight="1">
      <c r="B959" s="2" t="s">
        <v>2658</v>
      </c>
      <c r="C959" s="2" t="s">
        <v>2659</v>
      </c>
      <c r="D959" s="2" t="s">
        <v>2603</v>
      </c>
      <c r="E959" s="2" t="s">
        <v>1679</v>
      </c>
      <c r="F959" s="2" t="s">
        <v>15</v>
      </c>
      <c r="G959" s="2" t="s">
        <v>160</v>
      </c>
      <c r="H959" s="2" t="s">
        <v>141</v>
      </c>
      <c r="I959" s="2" t="str">
        <f>IFERROR(__xludf.DUMMYFUNCTION("GOOGLETRANSLATE(C959,""fr"",""en"")"),"Very good customer relationship with quick availability of advisers by phone.
Mal suitable and dear price for long -term furnished rental.
Easy phone contact.")</f>
        <v>Very good customer relationship with quick availability of advisers by phone.
Mal suitable and dear price for long -term furnished rental.
Easy phone contact.</v>
      </c>
    </row>
    <row r="960" ht="15.75" customHeight="1">
      <c r="B960" s="2" t="s">
        <v>2660</v>
      </c>
      <c r="C960" s="2" t="s">
        <v>2661</v>
      </c>
      <c r="D960" s="2" t="s">
        <v>2603</v>
      </c>
      <c r="E960" s="2" t="s">
        <v>1679</v>
      </c>
      <c r="F960" s="2" t="s">
        <v>15</v>
      </c>
      <c r="G960" s="2" t="s">
        <v>1565</v>
      </c>
      <c r="H960" s="2" t="s">
        <v>141</v>
      </c>
      <c r="I960" s="2" t="str">
        <f>IFERROR(__xludf.DUMMYFUNCTION("GOOGLETRANSLATE(C960,""fr"",""en"")"),"Run away !! Water damage in my apartment in June 2020 following the plug of the toilet evacuation column of the building, since then, more toilets or shower in my apartment because their expert does not agree with the estimate of repair of their repair bu"&amp;"siness. There, we are in November, I called lots of times, for nothing, I am strolled from telephone platform in telephone platform. After more than 30 years of Macif I will change her creamy, and for my vehicles too. An advice ? RUN AWAY !! (If I put a s"&amp;"tar is that there was no less)")</f>
        <v>Run away !! Water damage in my apartment in June 2020 following the plug of the toilet evacuation column of the building, since then, more toilets or shower in my apartment because their expert does not agree with the estimate of repair of their repair business. There, we are in November, I called lots of times, for nothing, I am strolled from telephone platform in telephone platform. After more than 30 years of Macif I will change her creamy, and for my vehicles too. An advice ? RUN AWAY !! (If I put a star is that there was no less)</v>
      </c>
    </row>
    <row r="961" ht="15.75" customHeight="1">
      <c r="B961" s="2" t="s">
        <v>2662</v>
      </c>
      <c r="C961" s="2" t="s">
        <v>2663</v>
      </c>
      <c r="D961" s="2" t="s">
        <v>2603</v>
      </c>
      <c r="E961" s="2" t="s">
        <v>1679</v>
      </c>
      <c r="F961" s="2" t="s">
        <v>15</v>
      </c>
      <c r="G961" s="2" t="s">
        <v>743</v>
      </c>
      <c r="H961" s="2" t="s">
        <v>167</v>
      </c>
      <c r="I961" s="2" t="str">
        <f>IFERROR(__xludf.DUMMYFUNCTION("GOOGLETRANSLATE(C961,""fr"",""en"")"),"Hello
Following a claim (burglary) I went on October 26 to the Agen agency to wear an alarm bill to put in the file.
I had the misfortune to ask the employee who received me, where the advancement of the file was, knowing that the disaster had taken pla"&amp;"ce on Oct 19 and that the expert was mandated only on Oct. 23.
As an answer I had: ""We are not there to treat the claims, we are there to make the salesperson"".
Even if it is certainly true, I find its words particularly scandalous and moved in my sit"&amp;"uation knowing that I have been without window for a week.
Macif member since 1979 I really look forward to the date for me too doing business ....")</f>
        <v>Hello
Following a claim (burglary) I went on October 26 to the Agen agency to wear an alarm bill to put in the file.
I had the misfortune to ask the employee who received me, where the advancement of the file was, knowing that the disaster had taken place on Oct 19 and that the expert was mandated only on Oct. 23.
As an answer I had: "We are not there to treat the claims, we are there to make the salesperson".
Even if it is certainly true, I find its words particularly scandalous and moved in my situation knowing that I have been without window for a week.
Macif member since 1979 I really look forward to the date for me too doing business ....</v>
      </c>
    </row>
    <row r="962" ht="15.75" customHeight="1">
      <c r="B962" s="2" t="s">
        <v>2664</v>
      </c>
      <c r="C962" s="2" t="s">
        <v>2665</v>
      </c>
      <c r="D962" s="2" t="s">
        <v>2603</v>
      </c>
      <c r="E962" s="2" t="s">
        <v>1679</v>
      </c>
      <c r="F962" s="2" t="s">
        <v>15</v>
      </c>
      <c r="G962" s="2" t="s">
        <v>743</v>
      </c>
      <c r="H962" s="2" t="s">
        <v>167</v>
      </c>
      <c r="I962" s="2" t="str">
        <f>IFERROR(__xludf.DUMMYFUNCTION("GOOGLETRANSLATE(C962,""fr"",""en"")"),"Hello,
I have been a Macif customer for over 30 years, we have been robbed more than 4 months ago, we are still waiting for the reimbursement of it. Our Macif agency (Route de Vannes - St Herblain) and the expert refer the mutually, they are unable to te"&amp;"ll us where our file is. I contacted them 5 times by phone and I have already gone 4 times to the agency ... inadmissible for a large group like this.")</f>
        <v>Hello,
I have been a Macif customer for over 30 years, we have been robbed more than 4 months ago, we are still waiting for the reimbursement of it. Our Macif agency (Route de Vannes - St Herblain) and the expert refer the mutually, they are unable to tell us where our file is. I contacted them 5 times by phone and I have already gone 4 times to the agency ... inadmissible for a large group like this.</v>
      </c>
    </row>
    <row r="963" ht="15.75" customHeight="1">
      <c r="B963" s="2" t="s">
        <v>2666</v>
      </c>
      <c r="C963" s="2" t="s">
        <v>2667</v>
      </c>
      <c r="D963" s="2" t="s">
        <v>2603</v>
      </c>
      <c r="E963" s="2" t="s">
        <v>1679</v>
      </c>
      <c r="F963" s="2" t="s">
        <v>15</v>
      </c>
      <c r="G963" s="2" t="s">
        <v>170</v>
      </c>
      <c r="H963" s="2" t="s">
        <v>167</v>
      </c>
      <c r="I963" s="2" t="str">
        <f>IFERROR(__xludf.DUMMYFUNCTION("GOOGLETRANSLATE(C963,""fr"",""en"")"),"I have already given my opinion but here is the continuation: after a conflict concerning a water leak, I returned to the Macif to solve this problem that remained pending. The expert gave his version and I mine but things do not manage because my word ha"&amp;"s no value in the face of that of the expert, he lied but I understand that we give him reason given that He is paid by them and that he defends their interests, necessarily no one is impartial and on my side. Even the person I had on the phone was odious"&amp;" and threatened to cut short the conversation if I don't calm down because I was very angry, I did not come back from this injustice, I didn't understand anything Their way of acting, how do you want when I say that the expert refused the search for leak "&amp;"(he asked me if I knew how much it costs the insurance) and that I had to look for me -This where the water came from, that everything started from there, how do I want me to do, I told him that I was not a professional, he replied me either, I Asked if h"&amp;"e knew how much I pay the insurance to be insured in the event of a disaster, I asked him that he had to commission a specialized business, he did not want, I showed him the wet and damaged boxes, , he didn't even want to look at what was inside and decid"&amp;"es that there was nothing in the boxes ??? In addition to my anger, he threatened me to leave, as I did not give in, he left without doing anything, without filling out of a claim, nothing. Very pro. I have never caused any problem for 37 years, this expe"&amp;"rt came with a condescending, disrespectful air. If the Macif does not want to compensate me, well that she does it. But it is a bad calculation, because not compliance with the contract (I reserve the right to file a complaint). Because and thanks to thi"&amp;"s expert from the SOGEDEX company in Boulogne-sur-Mer, the drop of water that made the vase overwhelmed, I terminated almost all my contracts. After 37 years of good and loyal payments I go, congratulate your expert La Macif, you have won about 300 euros,"&amp;" value of objects, in the boxes that I estimated. But even by saying that I want to make me pass for a liar and scammer, because the expert who saw nothing said ... etc. etc Let fall is really a non -compliance with a contract, I trusted this insurance an"&amp;"d I regret it, I even thought seen my regularity and the many contracts I had there, the 37 years of loyalty I would have a little more consideration. Far too many things have accumulated, two years ago, I was offered online a life insurance contract, I s"&amp;"aid OK for 30 euros per year and I ended up with 198 euros, I asked To terminate they did not want, they told me that we had to wait for the anniversary date on April 1, when I knew later that the law gave me a retraction period of 14 days because the con"&amp;"tract has been proposed online, but they passed over and I could not be reimbursed, despite my emails, I received a letter of refusal, I even had a counselor to explain the problem to her. During the terminations of cars and housing contracts I realized t"&amp;"hat I had an accident life contract that I did not ask, they put it automatically. Too much it is too much and in addition you do not compensate you when you are entitled. This is anyway, at the end of the month, everything is terminated (two auto insuran"&amp;"ce, a home, an accident insurance insurance (imposed), a student residence, and I will then withdraw my bank accounts, my life insurance and Then bye bye.")</f>
        <v>I have already given my opinion but here is the continuation: after a conflict concerning a water leak, I returned to the Macif to solve this problem that remained pending. The expert gave his version and I mine but things do not manage because my word has no value in the face of that of the expert, he lied but I understand that we give him reason given that He is paid by them and that he defends their interests, necessarily no one is impartial and on my side. Even the person I had on the phone was odious and threatened to cut short the conversation if I don't calm down because I was very angry, I did not come back from this injustice, I didn't understand anything Their way of acting, how do you want when I say that the expert refused the search for leak (he asked me if I knew how much it costs the insurance) and that I had to look for me -This where the water came from, that everything started from there, how do I want me to do, I told him that I was not a professional, he replied me either, I Asked if he knew how much I pay the insurance to be insured in the event of a disaster, I asked him that he had to commission a specialized business, he did not want, I showed him the wet and damaged boxes, , he didn't even want to look at what was inside and decides that there was nothing in the boxes ??? In addition to my anger, he threatened me to leave, as I did not give in, he left without doing anything, without filling out of a claim, nothing. Very pro. I have never caused any problem for 37 years, this expert came with a condescending, disrespectful air. If the Macif does not want to compensate me, well that she does it. But it is a bad calculation, because not compliance with the contract (I reserve the right to file a complaint). Because and thanks to this expert from the SOGEDEX company in Boulogne-sur-Mer, the drop of water that made the vase overwhelmed, I terminated almost all my contracts. After 37 years of good and loyal payments I go, congratulate your expert La Macif, you have won about 300 euros, value of objects, in the boxes that I estimated. But even by saying that I want to make me pass for a liar and scammer, because the expert who saw nothing said ... etc. etc Let fall is really a non -compliance with a contract, I trusted this insurance and I regret it, I even thought seen my regularity and the many contracts I had there, the 37 years of loyalty I would have a little more consideration. Far too many things have accumulated, two years ago, I was offered online a life insurance contract, I said OK for 30 euros per year and I ended up with 198 euros, I asked To terminate they did not want, they told me that we had to wait for the anniversary date on April 1, when I knew later that the law gave me a retraction period of 14 days because the contract has been proposed online, but they passed over and I could not be reimbursed, despite my emails, I received a letter of refusal, I even had a counselor to explain the problem to her. During the terminations of cars and housing contracts I realized that I had an accident life contract that I did not ask, they put it automatically. Too much it is too much and in addition you do not compensate you when you are entitled. This is anyway, at the end of the month, everything is terminated (two auto insurance, a home, an accident insurance insurance (imposed), a student residence, and I will then withdraw my bank accounts, my life insurance and Then bye bye.</v>
      </c>
    </row>
    <row r="964" ht="15.75" customHeight="1">
      <c r="B964" s="2" t="s">
        <v>2668</v>
      </c>
      <c r="C964" s="2" t="s">
        <v>2669</v>
      </c>
      <c r="D964" s="2" t="s">
        <v>2603</v>
      </c>
      <c r="E964" s="2" t="s">
        <v>1679</v>
      </c>
      <c r="F964" s="2" t="s">
        <v>15</v>
      </c>
      <c r="G964" s="2" t="s">
        <v>2670</v>
      </c>
      <c r="H964" s="2" t="s">
        <v>167</v>
      </c>
      <c r="I964" s="2" t="str">
        <f>IFERROR(__xludf.DUMMYFUNCTION("GOOGLETRANSLATE(C964,""fr"",""en"")"),"A wall smashed by my neighbor, repair assembled 300 euros by the expert Macif.
""Call our approved craftsmen they will come"". Never answered my calls, never come ....
You think with 300 euros we do not repair a wall.
I went to an agency, they never co"&amp;"ntact their craftsmen and always entrenched behind their ""expert""
If your clairvoyant certifies you that you will never have claims, why not, otherwise go your way ...")</f>
        <v>A wall smashed by my neighbor, repair assembled 300 euros by the expert Macif.
"Call our approved craftsmen they will come". Never answered my calls, never come ....
You think with 300 euros we do not repair a wall.
I went to an agency, they never contact their craftsmen and always entrenched behind their "expert"
If your clairvoyant certifies you that you will never have claims, why not, otherwise go your way ...</v>
      </c>
    </row>
    <row r="965" ht="15.75" customHeight="1">
      <c r="B965" s="2" t="s">
        <v>2671</v>
      </c>
      <c r="C965" s="2" t="s">
        <v>2672</v>
      </c>
      <c r="D965" s="2" t="s">
        <v>2603</v>
      </c>
      <c r="E965" s="2" t="s">
        <v>1679</v>
      </c>
      <c r="F965" s="2" t="s">
        <v>15</v>
      </c>
      <c r="G965" s="2" t="s">
        <v>2673</v>
      </c>
      <c r="H965" s="2" t="s">
        <v>174</v>
      </c>
      <c r="I965" s="2" t="str">
        <f>IFERROR(__xludf.DUMMYFUNCTION("GOOGLETRANSLATE(C965,""fr"",""en"")"),"Did you know that there were franchises on home insurance? A disaster at a neighbor and hop you pay the franchise. No way to challenge a priori, except that the duty of information, blah ... I discovered that, but you, you know?")</f>
        <v>Did you know that there were franchises on home insurance? A disaster at a neighbor and hop you pay the franchise. No way to challenge a priori, except that the duty of information, blah ... I discovered that, but you, you know?</v>
      </c>
    </row>
    <row r="966" ht="15.75" customHeight="1">
      <c r="B966" s="2" t="s">
        <v>2674</v>
      </c>
      <c r="C966" s="2" t="s">
        <v>2675</v>
      </c>
      <c r="D966" s="2" t="s">
        <v>2603</v>
      </c>
      <c r="E966" s="2" t="s">
        <v>1679</v>
      </c>
      <c r="F966" s="2" t="s">
        <v>15</v>
      </c>
      <c r="G966" s="2" t="s">
        <v>2676</v>
      </c>
      <c r="H966" s="2" t="s">
        <v>174</v>
      </c>
      <c r="I966" s="2" t="str">
        <f>IFERROR(__xludf.DUMMYFUNCTION("GOOGLETRANSLATE(C966,""fr"",""en"")"),"Someone walks regularly on my roof, out of pure malice, and raises the sealing connection of a velux roof window and lately added the displacement of ridge tiles, from what I saw on the Photo (knowing that to enter my garden this person in my garden destr"&amp;"oyed a piquet sealed in a low wall and supporting a rigid fence, broken the gutter of the wooden shelter on which it clung to climb ...). I call and inform the Macif of this movement of the tiles knowing that I constantly replace this sealing connection. "&amp;"Their answer: But you don't believe that you are assured for a tile movement?! So it would be good that they inform members that they are not insured for vandalism! I brought roofer for quotes and I learned that to move these ridge tiles, which are studde"&amp;"d, they have necessarily been broken! I am tired of being sent walked by their telephone agents and must find a new insurer but it seems that many are of this ilk. In addition, during the repair of a ceiling paint following a roof leak, they divide the re"&amp;"imbursement of almost half, although the price charged by the self-employed person is that of the market with the VAT less! The Macif does not even want to reimburse the market price but calling on their craftsmen is to be flee (which I have already done)"&amp;" because their work is neither done nor to do. The Macif shooting too much on the prices, these craftsmen working for her, give you for the price she pays them! So catastrophic job ...")</f>
        <v>Someone walks regularly on my roof, out of pure malice, and raises the sealing connection of a velux roof window and lately added the displacement of ridge tiles, from what I saw on the Photo (knowing that to enter my garden this person in my garden destroyed a piquet sealed in a low wall and supporting a rigid fence, broken the gutter of the wooden shelter on which it clung to climb ...). I call and inform the Macif of this movement of the tiles knowing that I constantly replace this sealing connection. Their answer: But you don't believe that you are assured for a tile movement?! So it would be good that they inform members that they are not insured for vandalism! I brought roofer for quotes and I learned that to move these ridge tiles, which are studded, they have necessarily been broken! I am tired of being sent walked by their telephone agents and must find a new insurer but it seems that many are of this ilk. In addition, during the repair of a ceiling paint following a roof leak, they divide the reimbursement of almost half, although the price charged by the self-employed person is that of the market with the VAT less! The Macif does not even want to reimburse the market price but calling on their craftsmen is to be flee (which I have already done) because their work is neither done nor to do. The Macif shooting too much on the prices, these craftsmen working for her, give you for the price she pays them! So catastrophic job ...</v>
      </c>
    </row>
    <row r="967" ht="15.75" customHeight="1">
      <c r="B967" s="2" t="s">
        <v>2677</v>
      </c>
      <c r="C967" s="2" t="s">
        <v>2678</v>
      </c>
      <c r="D967" s="2" t="s">
        <v>2603</v>
      </c>
      <c r="E967" s="2" t="s">
        <v>1679</v>
      </c>
      <c r="F967" s="2" t="s">
        <v>15</v>
      </c>
      <c r="G967" s="2" t="s">
        <v>2114</v>
      </c>
      <c r="H967" s="2" t="s">
        <v>174</v>
      </c>
      <c r="I967" s="2" t="str">
        <f>IFERROR(__xludf.DUMMYFUNCTION("GOOGLETRANSLATE(C967,""fr"",""en"")"),"
I declared a water damage (leak) on a swimming pool
Soon a year that my file was opened, I was owed to me following the meeting of a commission in Dec 2019. I regularly relaunch and nothing .... no return
Not serious to avoid
")</f>
        <v>
I declared a water damage (leak) on a swimming pool
Soon a year that my file was opened, I was owed to me following the meeting of a commission in Dec 2019. I regularly relaunch and nothing .... no return
Not serious to avoid
</v>
      </c>
    </row>
    <row r="968" ht="15.75" customHeight="1">
      <c r="B968" s="2" t="s">
        <v>2679</v>
      </c>
      <c r="C968" s="2" t="s">
        <v>2680</v>
      </c>
      <c r="D968" s="2" t="s">
        <v>2603</v>
      </c>
      <c r="E968" s="2" t="s">
        <v>1679</v>
      </c>
      <c r="F968" s="2" t="s">
        <v>15</v>
      </c>
      <c r="G968" s="2" t="s">
        <v>2681</v>
      </c>
      <c r="H968" s="2" t="s">
        <v>196</v>
      </c>
      <c r="I968" s="2" t="str">
        <f>IFERROR(__xludf.DUMMYFUNCTION("GOOGLETRANSLATE(C968,""fr"",""en"")"),"Very good insurer when you have no problem.
I was burgled over 6 months ago and I have not yet been reimbursed and the door is still not replaced.
My door was fractured and a repairer came to put a makeshift board the same evening and I have always had "&amp;"this board for 6 months.
I have asked that I have been reminded for several weeks concerning the progress of my file and no one manifests.
It's scandalous.")</f>
        <v>Very good insurer when you have no problem.
I was burgled over 6 months ago and I have not yet been reimbursed and the door is still not replaced.
My door was fractured and a repairer came to put a makeshift board the same evening and I have always had this board for 6 months.
I have asked that I have been reminded for several weeks concerning the progress of my file and no one manifests.
It's scandalous.</v>
      </c>
    </row>
    <row r="969" ht="15.75" customHeight="1">
      <c r="B969" s="2" t="s">
        <v>2682</v>
      </c>
      <c r="C969" s="2" t="s">
        <v>2683</v>
      </c>
      <c r="D969" s="2" t="s">
        <v>2603</v>
      </c>
      <c r="E969" s="2" t="s">
        <v>1679</v>
      </c>
      <c r="F969" s="2" t="s">
        <v>15</v>
      </c>
      <c r="G969" s="2" t="s">
        <v>199</v>
      </c>
      <c r="H969" s="2" t="s">
        <v>196</v>
      </c>
      <c r="I969" s="2" t="str">
        <f>IFERROR(__xludf.DUMMYFUNCTION("GOOGLETRANSLATE(C969,""fr"",""en"")"),"42 minutes on the phone, to try to ask a question about my motorhome insurance contract, I nevertheless ended up hanging up after being put on hold twice, I have to lack patience, certainly :(
")</f>
        <v>42 minutes on the phone, to try to ask a question about my motorhome insurance contract, I nevertheless ended up hanging up after being put on hold twice, I have to lack patience, certainly :(
</v>
      </c>
    </row>
    <row r="970" ht="15.75" customHeight="1">
      <c r="B970" s="2" t="s">
        <v>2684</v>
      </c>
      <c r="C970" s="2" t="s">
        <v>2685</v>
      </c>
      <c r="D970" s="2" t="s">
        <v>2603</v>
      </c>
      <c r="E970" s="2" t="s">
        <v>1679</v>
      </c>
      <c r="F970" s="2" t="s">
        <v>15</v>
      </c>
      <c r="G970" s="2" t="s">
        <v>2686</v>
      </c>
      <c r="H970" s="2" t="s">
        <v>203</v>
      </c>
      <c r="I970" s="2" t="str">
        <f>IFERROR(__xludf.DUMMYFUNCTION("GOOGLETRANSLATE(C970,""fr"",""en"")"),"It's been years that I have been a client at the Macif except that it will stop this week!
During our few days of vacation, the circuit breaker disjuncted following a thunderstorm. An entire freezer filled with meat + the fridge freezer (large ice packs,"&amp;" blue cords, etc.) was lost. I do not even prefer to indicate the amount of loss and shock.
Having not taken the option loss food absolutely no euro can be reimbursed !!! Honestly I am sure that other insurances include it in their contract.
At least ma"&amp;"ke the effort of a minimum.
When it does not happen there is no problem, however at least problem there you can gold and already tell yourself that it will not be there!
Really very disappointed with this confidence ...
I brought my spouse to their hou"&amp;"se, well we're going to leave very quickly.")</f>
        <v>It's been years that I have been a client at the Macif except that it will stop this week!
During our few days of vacation, the circuit breaker disjuncted following a thunderstorm. An entire freezer filled with meat + the fridge freezer (large ice packs, blue cords, etc.) was lost. I do not even prefer to indicate the amount of loss and shock.
Having not taken the option loss food absolutely no euro can be reimbursed !!! Honestly I am sure that other insurances include it in their contract.
At least make the effort of a minimum.
When it does not happen there is no problem, however at least problem there you can gold and already tell yourself that it will not be there!
Really very disappointed with this confidence ...
I brought my spouse to their house, well we're going to leave very quickly.</v>
      </c>
    </row>
    <row r="971" ht="15.75" customHeight="1">
      <c r="B971" s="2" t="s">
        <v>2687</v>
      </c>
      <c r="C971" s="2" t="s">
        <v>2688</v>
      </c>
      <c r="D971" s="2" t="s">
        <v>2603</v>
      </c>
      <c r="E971" s="2" t="s">
        <v>1679</v>
      </c>
      <c r="F971" s="2" t="s">
        <v>15</v>
      </c>
      <c r="G971" s="2" t="s">
        <v>2689</v>
      </c>
      <c r="H971" s="2" t="s">
        <v>203</v>
      </c>
      <c r="I971" s="2" t="str">
        <f>IFERROR(__xludf.DUMMYFUNCTION("GOOGLETRANSLATE(C971,""fr"",""en"")"),"First claims housing in February and file still not taken care of by the Macif despite my numerous reminders. When I manage to reach them on the phone, they tell me that the file will be taken care of ... and then nothing! Messaging on the site is useless"&amp;" since there is never an answer. I no longer know what to do so that my file is taken care of and invites you to flee this company")</f>
        <v>First claims housing in February and file still not taken care of by the Macif despite my numerous reminders. When I manage to reach them on the phone, they tell me that the file will be taken care of ... and then nothing! Messaging on the site is useless since there is never an answer. I no longer know what to do so that my file is taken care of and invites you to flee this company</v>
      </c>
    </row>
    <row r="972" ht="15.75" customHeight="1">
      <c r="B972" s="2" t="s">
        <v>2690</v>
      </c>
      <c r="C972" s="2" t="s">
        <v>2691</v>
      </c>
      <c r="D972" s="2" t="s">
        <v>2603</v>
      </c>
      <c r="E972" s="2" t="s">
        <v>1679</v>
      </c>
      <c r="F972" s="2" t="s">
        <v>15</v>
      </c>
      <c r="G972" s="2" t="s">
        <v>2692</v>
      </c>
      <c r="H972" s="2" t="s">
        <v>210</v>
      </c>
      <c r="I972" s="2" t="str">
        <f>IFERROR(__xludf.DUMMYFUNCTION("GOOGLETRANSLATE(C972,""fr"",""en"")"),"I am very disappointed with my recent experience at the Macif. Following the recognition of natural disaster in my town, I reported a disaster and I was dealing with interlocutors who were not up to the task.")</f>
        <v>I am very disappointed with my recent experience at the Macif. Following the recognition of natural disaster in my town, I reported a disaster and I was dealing with interlocutors who were not up to the task.</v>
      </c>
    </row>
    <row r="973" ht="15.75" customHeight="1">
      <c r="B973" s="2" t="s">
        <v>2693</v>
      </c>
      <c r="C973" s="2" t="s">
        <v>2694</v>
      </c>
      <c r="D973" s="2" t="s">
        <v>2603</v>
      </c>
      <c r="E973" s="2" t="s">
        <v>1679</v>
      </c>
      <c r="F973" s="2" t="s">
        <v>15</v>
      </c>
      <c r="G973" s="2" t="s">
        <v>2695</v>
      </c>
      <c r="H973" s="2" t="s">
        <v>214</v>
      </c>
      <c r="I973" s="2" t="str">
        <f>IFERROR(__xludf.DUMMYFUNCTION("GOOGLETRANSLATE(C973,""fr"",""en"")"),"TO FLEE !!
After more than 30 years of Macif insurance, I just thrown in the towel. I terminated all my contracts.")</f>
        <v>TO FLEE !!
After more than 30 years of Macif insurance, I just thrown in the towel. I terminated all my contracts.</v>
      </c>
    </row>
    <row r="974" ht="15.75" customHeight="1">
      <c r="B974" s="2" t="s">
        <v>2696</v>
      </c>
      <c r="C974" s="2" t="s">
        <v>2697</v>
      </c>
      <c r="D974" s="2" t="s">
        <v>2603</v>
      </c>
      <c r="E974" s="2" t="s">
        <v>1679</v>
      </c>
      <c r="F974" s="2" t="s">
        <v>15</v>
      </c>
      <c r="G974" s="2" t="s">
        <v>2379</v>
      </c>
      <c r="H974" s="2" t="s">
        <v>218</v>
      </c>
      <c r="I974" s="2" t="str">
        <f>IFERROR(__xludf.DUMMYFUNCTION("GOOGLETRANSLATE(C974,""fr"",""en"")"),"In November 2019, garden devastated by snowstorm. Travaux made, billed on 04/22 and Macif regulations on 24/04. Bravo to the Macif.
Follows awaiting a second claim (roof to be changed suite small) and can only rent the involvement and professionalism of "&amp;"this insurance.")</f>
        <v>In November 2019, garden devastated by snowstorm. Travaux made, billed on 04/22 and Macif regulations on 24/04. Bravo to the Macif.
Follows awaiting a second claim (roof to be changed suite small) and can only rent the involvement and professionalism of this insurance.</v>
      </c>
    </row>
    <row r="975" ht="15.75" customHeight="1">
      <c r="B975" s="2" t="s">
        <v>2698</v>
      </c>
      <c r="C975" s="2" t="s">
        <v>2699</v>
      </c>
      <c r="D975" s="2" t="s">
        <v>2603</v>
      </c>
      <c r="E975" s="2" t="s">
        <v>1679</v>
      </c>
      <c r="F975" s="2" t="s">
        <v>15</v>
      </c>
      <c r="G975" s="2" t="s">
        <v>2700</v>
      </c>
      <c r="H975" s="2" t="s">
        <v>218</v>
      </c>
      <c r="I975" s="2" t="str">
        <f>IFERROR(__xludf.DUMMYFUNCTION("GOOGLETRANSLATE(C975,""fr"",""en"")"),"Hello,
I am not used to leaving negative comments, I did not even leave it when the Macif refused to compensate for me following a burglary where I lost thousands of euros.
I have been a member for more than 10 years, always up to date on my payments "&amp;"and no claim (except burglary where they have not been of any help).
But here I had a water damage (WC of the neighbor's neighbor, which flooded all of my apartment and which seriously damaged the wood covered with simple pvc slab on the area of ​​the "&amp;"show and the corridor) on December 4, 2018 .
An expert passed several weeks later to see the damage and according to him there was only the PVC prosecutor's office to replace (which covered the wood completely damaged by water) despite that we showed h"&amp;"im the wood below. A company was commissioned to intervene at home on December 19, 2019, more than a year after, leaving us to live in a shabby state affecting the main living room. When the company intervened, it removed all of the initial PVC tiles to a"&amp;"pply new ones.
But seeing that the wood underneath was completely unusable and unhealthy, the Sachante company quickly abandoned after starting the work because they were absolutely not possible in view of the state of the wood below.
It therefore l"&amp;"eft us an in progress site, 5 days before the end of year celebrations with a completely moldy wood (without the layer of initial PVC blades above which hid the degraded appearance of the wood). The wooden slabs are raised under our steps, these are unsta"&amp;"ble. Not to mention the dangerousness of this situation, when we fall because of this unstable wooden floor and bumps on it (due to swelling following water soaking). In addition we must constantly walk in shoes so as not to injure ourselves because of th"&amp;"e bursts of wood.
So we contacted the Macif to understand in December 2019, she then asked us to contact the company that intervened with us to have a new quote (while it is her work). The company tells us that it has sent a new quote with a new cost"&amp;"ing to the expert but without any return from him.
After not far from around thirty calls and emails between the expert firm, the work company and Macif insurance, we had a second appointment from the expert scheduled for March 16, 2020 or 1 day before"&amp;" containment and 3 months after the intervention of the company.
At the time of the meeting, the expert calls us and tells us that in view of the situation he would not come, and that having consulted the dozens of photos and emails detailing the state"&amp;" of our prosecution, As well as the new quote the company, it validated the operation which consisted in changing the wood destroyed by the water damage.
Of course, he does not confirm it in writing, and without return from him after 3 weeks, we call a"&amp;"gain the Macif insurance to know the rest of the stages, the advisor knows nothing and the next day we receive a very Short email of 3 lines that tells us:
""Given the damage, it belongs to your lessor or the insurer of the building, to take charge of th"&amp;"e repair of the prosecution. Please get closer to your lessor concerning this work.""
It is unacceptable, for more than a year that the water damage has taken place and now, 4 months after the intervention of the company, we live in an unsanitary state"&amp;" (since they withdrew the pvc slabs Who masked the smell and mold of damaged wood), the wooden slabs below are lifted, the smell infected ...
We are experiencing a horrible situation with an unbearable smell, imagine yourself in times of containment wh"&amp;"en you cannot go out! It is intolerable and inhuman, knowing that they continue to take us every month without any counterpart, never.
I am extremely disappointed and tired of running after months to have an answer so my question should we take legal a"&amp;"ction? The work company which left its site in the middle or the principal the Macif who told him to abandon his site in the middle without even a temporary solution which would cover the risks of falls due to the unstable ground ?? ?
And why do they l"&amp;"eave us in a worse state than that before which they intervened?")</f>
        <v>Hello,
I am not used to leaving negative comments, I did not even leave it when the Macif refused to compensate for me following a burglary where I lost thousands of euros.
I have been a member for more than 10 years, always up to date on my payments and no claim (except burglary where they have not been of any help).
But here I had a water damage (WC of the neighbor's neighbor, which flooded all of my apartment and which seriously damaged the wood covered with simple pvc slab on the area of ​​the show and the corridor) on December 4, 2018 .
An expert passed several weeks later to see the damage and according to him there was only the PVC prosecutor's office to replace (which covered the wood completely damaged by water) despite that we showed him the wood below. A company was commissioned to intervene at home on December 19, 2019, more than a year after, leaving us to live in a shabby state affecting the main living room. When the company intervened, it removed all of the initial PVC tiles to apply new ones.
But seeing that the wood underneath was completely unusable and unhealthy, the Sachante company quickly abandoned after starting the work because they were absolutely not possible in view of the state of the wood below.
It therefore left us an in progress site, 5 days before the end of year celebrations with a completely moldy wood (without the layer of initial PVC blades above which hid the degraded appearance of the wood). The wooden slabs are raised under our steps, these are unstable. Not to mention the dangerousness of this situation, when we fall because of this unstable wooden floor and bumps on it (due to swelling following water soaking). In addition we must constantly walk in shoes so as not to injure ourselves because of the bursts of wood.
So we contacted the Macif to understand in December 2019, she then asked us to contact the company that intervened with us to have a new quote (while it is her work). The company tells us that it has sent a new quote with a new costing to the expert but without any return from him.
After not far from around thirty calls and emails between the expert firm, the work company and Macif insurance, we had a second appointment from the expert scheduled for March 16, 2020 or 1 day before containment and 3 months after the intervention of the company.
At the time of the meeting, the expert calls us and tells us that in view of the situation he would not come, and that having consulted the dozens of photos and emails detailing the state of our prosecution, As well as the new quote the company, it validated the operation which consisted in changing the wood destroyed by the water damage.
Of course, he does not confirm it in writing, and without return from him after 3 weeks, we call again the Macif insurance to know the rest of the stages, the advisor knows nothing and the next day we receive a very Short email of 3 lines that tells us:
"Given the damage, it belongs to your lessor or the insurer of the building, to take charge of the repair of the prosecution. Please get closer to your lessor concerning this work."
It is unacceptable, for more than a year that the water damage has taken place and now, 4 months after the intervention of the company, we live in an unsanitary state (since they withdrew the pvc slabs Who masked the smell and mold of damaged wood), the wooden slabs below are lifted, the smell infected ...
We are experiencing a horrible situation with an unbearable smell, imagine yourself in times of containment when you cannot go out! It is intolerable and inhuman, knowing that they continue to take us every month without any counterpart, never.
I am extremely disappointed and tired of running after months to have an answer so my question should we take legal action? The work company which left its site in the middle or the principal the Macif who told him to abandon his site in the middle without even a temporary solution which would cover the risks of falls due to the unstable ground ?? ?
And why do they leave us in a worse state than that before which they intervened?</v>
      </c>
    </row>
    <row r="976" ht="15.75" customHeight="1">
      <c r="B976" s="2" t="s">
        <v>2701</v>
      </c>
      <c r="C976" s="2" t="s">
        <v>2702</v>
      </c>
      <c r="D976" s="2" t="s">
        <v>2603</v>
      </c>
      <c r="E976" s="2" t="s">
        <v>1679</v>
      </c>
      <c r="F976" s="2" t="s">
        <v>15</v>
      </c>
      <c r="G976" s="2" t="s">
        <v>2703</v>
      </c>
      <c r="H976" s="2" t="s">
        <v>380</v>
      </c>
      <c r="I976" s="2" t="str">
        <f>IFERROR(__xludf.DUMMYFUNCTION("GOOGLETRANSLATE(C976,""fr"",""en"")"),"My mobile home located in a campsite in Saint Aygulf underwent the floods of November 23, 2019 ... an expert passed on December 3. We went to the scene to meet him and make my declaration as the fairest possible. Mr. made 90 expertise during the day (betw"&amp;"een 8 a.m. and 5 p.m.) including 5 in a quarter of an hour in my sector. His report arrived at the Macif on December 20. January 9 I received a registered letter Network that I was struck off on March 31. Magged several interventions by my Macif advisers "&amp;"I am still not reimbursed. I am threatening so as not to compensate me because there would be too many discrepancies between my declaration and that of the 'Expert.or we do not arrive neither me nor the advisers to know which. cat and mouse I deplore the "&amp;"fact that I am taken For someone Malhonete, I deplore the fact that I have radiated my vehicle me who put forward this insurance.")</f>
        <v>My mobile home located in a campsite in Saint Aygulf underwent the floods of November 23, 2019 ... an expert passed on December 3. We went to the scene to meet him and make my declaration as the fairest possible. Mr. made 90 expertise during the day (between 8 a.m. and 5 p.m.) including 5 in a quarter of an hour in my sector. His report arrived at the Macif on December 20. January 9 I received a registered letter Network that I was struck off on March 31. Magged several interventions by my Macif advisers I am still not reimbursed. I am threatening so as not to compensate me because there would be too many discrepancies between my declaration and that of the 'Expert.or we do not arrive neither me nor the advisers to know which. cat and mouse I deplore the fact that I am taken For someone Malhonete, I deplore the fact that I have radiated my vehicle me who put forward this insurance.</v>
      </c>
    </row>
    <row r="977" ht="15.75" customHeight="1">
      <c r="B977" s="2" t="s">
        <v>2704</v>
      </c>
      <c r="C977" s="2" t="s">
        <v>2705</v>
      </c>
      <c r="D977" s="2" t="s">
        <v>2603</v>
      </c>
      <c r="E977" s="2" t="s">
        <v>1679</v>
      </c>
      <c r="F977" s="2" t="s">
        <v>15</v>
      </c>
      <c r="G977" s="2" t="s">
        <v>2706</v>
      </c>
      <c r="H977" s="2" t="s">
        <v>380</v>
      </c>
      <c r="I977" s="2" t="str">
        <f>IFERROR(__xludf.DUMMYFUNCTION("GOOGLETRANSLATE(C977,""fr"",""en"")"),"Serious degradation of customer service for a year: customer service on the phone no longer meets or interim expectations, management of bumps down. very long compensation deadlines")</f>
        <v>Serious degradation of customer service for a year: customer service on the phone no longer meets or interim expectations, management of bumps down. very long compensation deadlines</v>
      </c>
    </row>
    <row r="978" ht="15.75" customHeight="1">
      <c r="B978" s="2" t="s">
        <v>2707</v>
      </c>
      <c r="C978" s="2" t="s">
        <v>2708</v>
      </c>
      <c r="D978" s="2" t="s">
        <v>2603</v>
      </c>
      <c r="E978" s="2" t="s">
        <v>1679</v>
      </c>
      <c r="F978" s="2" t="s">
        <v>15</v>
      </c>
      <c r="G978" s="2" t="s">
        <v>379</v>
      </c>
      <c r="H978" s="2" t="s">
        <v>380</v>
      </c>
      <c r="I978" s="2" t="str">
        <f>IFERROR(__xludf.DUMMYFUNCTION("GOOGLETRANSLATE(C978,""fr"",""en"")"),"Hello
I decused by the Macif and a long -standing client (I have been assured for everything at home like my family) and yet I am waiting for their response for the repair of a window since September 1, they make the ""word"" despite My many reminders!"&amp;"
Their services do not answer.")</f>
        <v>Hello
I decused by the Macif and a long -standing client (I have been assured for everything at home like my family) and yet I am waiting for their response for the repair of a window since September 1, they make the "word" despite My many reminders!
Their services do not answer.</v>
      </c>
    </row>
    <row r="979" ht="15.75" customHeight="1">
      <c r="B979" s="2" t="s">
        <v>2709</v>
      </c>
      <c r="C979" s="2" t="s">
        <v>2710</v>
      </c>
      <c r="D979" s="2" t="s">
        <v>2603</v>
      </c>
      <c r="E979" s="2" t="s">
        <v>1679</v>
      </c>
      <c r="F979" s="2" t="s">
        <v>15</v>
      </c>
      <c r="G979" s="2" t="s">
        <v>2711</v>
      </c>
      <c r="H979" s="2" t="s">
        <v>380</v>
      </c>
      <c r="I979" s="2" t="str">
        <f>IFERROR(__xludf.DUMMYFUNCTION("GOOGLETRANSLATE(C979,""fr"",""en"")"),"Insured at the Macif for more than 45 years I am furious that the Macif has settled last year on a false declaration of a craftsman who sent false information on the cause of breakdown of an air conditioning of my residence .")</f>
        <v>Insured at the Macif for more than 45 years I am furious that the Macif has settled last year on a false declaration of a craftsman who sent false information on the cause of breakdown of an air conditioning of my residence .</v>
      </c>
    </row>
    <row r="980" ht="15.75" customHeight="1">
      <c r="B980" s="2" t="s">
        <v>2712</v>
      </c>
      <c r="C980" s="2" t="s">
        <v>2713</v>
      </c>
      <c r="D980" s="2" t="s">
        <v>2603</v>
      </c>
      <c r="E980" s="2" t="s">
        <v>1679</v>
      </c>
      <c r="F980" s="2" t="s">
        <v>15</v>
      </c>
      <c r="G980" s="2" t="s">
        <v>2140</v>
      </c>
      <c r="H980" s="2" t="s">
        <v>384</v>
      </c>
      <c r="I980" s="2" t="str">
        <f>IFERROR(__xludf.DUMMYFUNCTION("GOOGLETRANSLATE(C980,""fr"",""en"")"),"Hello
A member for 33 years, I fight with the Macif following my burglary. The telephone waiting time is exasperating and I never have the same interlocutor. Hence each time obligation to restore the context. The burglars stole our keys in particular the"&amp;" second game of the Twingo. Once the work is carried out by my usual non -approved mechanic Macif I learn that the reimbursement of the bill of 1,915 euros will be capped at 800 euros while the expert confirmed that the costs were justified. I discover th"&amp;"is now when I had negotiated that there is no applied franchise given my loyalty. This is extremely violence in this difficult context of burglary. I warned the Macif for the first time that their process is unacceptable and that I plan to terminate my ma"&amp;"ny contracts and even enter the UFC Que Choisir. Nothing helps for the moment. Hence this message on the toe. Ok the Macif when everything is fine. No one when it comes to protecting us. And no transparency
")</f>
        <v>Hello
A member for 33 years, I fight with the Macif following my burglary. The telephone waiting time is exasperating and I never have the same interlocutor. Hence each time obligation to restore the context. The burglars stole our keys in particular the second game of the Twingo. Once the work is carried out by my usual non -approved mechanic Macif I learn that the reimbursement of the bill of 1,915 euros will be capped at 800 euros while the expert confirmed that the costs were justified. I discover this now when I had negotiated that there is no applied franchise given my loyalty. This is extremely violence in this difficult context of burglary. I warned the Macif for the first time that their process is unacceptable and that I plan to terminate my many contracts and even enter the UFC Que Choisir. Nothing helps for the moment. Hence this message on the toe. Ok the Macif when everything is fine. No one when it comes to protecting us. And no transparency
</v>
      </c>
    </row>
    <row r="981" ht="15.75" customHeight="1">
      <c r="B981" s="2" t="s">
        <v>2714</v>
      </c>
      <c r="C981" s="2" t="s">
        <v>2715</v>
      </c>
      <c r="D981" s="2" t="s">
        <v>2603</v>
      </c>
      <c r="E981" s="2" t="s">
        <v>1679</v>
      </c>
      <c r="F981" s="2" t="s">
        <v>15</v>
      </c>
      <c r="G981" s="2" t="s">
        <v>2716</v>
      </c>
      <c r="H981" s="2" t="s">
        <v>384</v>
      </c>
      <c r="I981" s="2" t="str">
        <f>IFERROR(__xludf.DUMMYFUNCTION("GOOGLETRANSLATE(C981,""fr"",""en"")"),"No loss follow -up, no privileged interlocutor, everyone gets started and anyone telling anything in passing as they can hang up.
Anyway, big anything !!!
I no longer recommend the Macif.")</f>
        <v>No loss follow -up, no privileged interlocutor, everyone gets started and anyone telling anything in passing as they can hang up.
Anyway, big anything !!!
I no longer recommend the Macif.</v>
      </c>
    </row>
    <row r="982" ht="15.75" customHeight="1">
      <c r="B982" s="2" t="s">
        <v>2717</v>
      </c>
      <c r="C982" s="2" t="s">
        <v>2718</v>
      </c>
      <c r="D982" s="2" t="s">
        <v>2603</v>
      </c>
      <c r="E982" s="2" t="s">
        <v>1679</v>
      </c>
      <c r="F982" s="2" t="s">
        <v>15</v>
      </c>
      <c r="G982" s="2" t="s">
        <v>1737</v>
      </c>
      <c r="H982" s="2" t="s">
        <v>384</v>
      </c>
      <c r="I982" s="2" t="str">
        <f>IFERROR(__xludf.DUMMYFUNCTION("GOOGLETRANSLATE(C982,""fr"",""en"")"),"Very angry not to be kept informed of a file in progress for 1 month and a half!")</f>
        <v>Very angry not to be kept informed of a file in progress for 1 month and a half!</v>
      </c>
    </row>
    <row r="983" ht="15.75" customHeight="1">
      <c r="B983" s="2" t="s">
        <v>2719</v>
      </c>
      <c r="C983" s="2" t="s">
        <v>2720</v>
      </c>
      <c r="D983" s="2" t="s">
        <v>2603</v>
      </c>
      <c r="E983" s="2" t="s">
        <v>1679</v>
      </c>
      <c r="F983" s="2" t="s">
        <v>15</v>
      </c>
      <c r="G983" s="2" t="s">
        <v>396</v>
      </c>
      <c r="H983" s="2" t="s">
        <v>222</v>
      </c>
      <c r="I983" s="2" t="str">
        <f>IFERROR(__xludf.DUMMYFUNCTION("GOOGLETRANSLATE(C983,""fr"",""en"")"),"Since the end of September 2019, I have always been waiting for the expert who must assess the water damage, that must theoretically come on January 29, 2020")</f>
        <v>Since the end of September 2019, I have always been waiting for the expert who must assess the water damage, that must theoretically come on January 29, 2020</v>
      </c>
    </row>
    <row r="984" ht="15.75" customHeight="1">
      <c r="B984" s="2" t="s">
        <v>2721</v>
      </c>
      <c r="C984" s="2" t="s">
        <v>2722</v>
      </c>
      <c r="D984" s="2" t="s">
        <v>2603</v>
      </c>
      <c r="E984" s="2" t="s">
        <v>1679</v>
      </c>
      <c r="F984" s="2" t="s">
        <v>15</v>
      </c>
      <c r="G984" s="2" t="s">
        <v>2723</v>
      </c>
      <c r="H984" s="2" t="s">
        <v>222</v>
      </c>
      <c r="I984" s="2" t="str">
        <f>IFERROR(__xludf.DUMMYFUNCTION("GOOGLETRANSLATE(C984,""fr"",""en"")"),"Difficulty subscribing
Customer area that is difficult to function with bugs on the pages
Unable to pay by check, I was asked for my bank details
The prize is disproportionately expensive; I don't mind and it's an assumed choice to pay dearly to have a"&amp;" correct service, but there I pay dear for a deplorable service
Customer service is very unparalleled (waiting time greater than 5 minutes, our advisers are all busy ...).
No management of the sinister service: I called for a water damage in my cellar. "&amp;"The insurer told me to see the trustee for the repair, even though I said that the trustee was zero and did not move and that I needed them. The trustee having finally replaced the pipe that was fleeing in my cellar, I called the insurer for him to move. "&amp;"The expert came to see the damage, and told me that he would make a letter to the trustee by putting me in copy. The trustee having received nothing, and myself either, I called the Macif to find out if the mail was off to a good start. ""Yes,"" the Macif"&amp;" told me, without being able to communicate the content of the mail or the registered trustee number. So I had to call the expert myself and I came across someone who told me I did not have access to my file and that he did not know at all if the mail was"&amp;" sent! Thank you the Macif for the control of its experts!
So I went back to the Macif, but for the moment nothing moves. I was just told on the phone that the expert had concluded that the cellar being old she needed to be redone and therefore I was not"&amp;" entitled to compensation.
Thank you the Macif! Apart from having cost me money and time to call them they are strictly useless.
And in the balance sheet I live in an apartment cluttered with various cases that I cannot go down to the cellar because of "&amp;"the state of it.")</f>
        <v>Difficulty subscribing
Customer area that is difficult to function with bugs on the pages
Unable to pay by check, I was asked for my bank details
The prize is disproportionately expensive; I don't mind and it's an assumed choice to pay dearly to have a correct service, but there I pay dear for a deplorable service
Customer service is very unparalleled (waiting time greater than 5 minutes, our advisers are all busy ...).
No management of the sinister service: I called for a water damage in my cellar. The insurer told me to see the trustee for the repair, even though I said that the trustee was zero and did not move and that I needed them. The trustee having finally replaced the pipe that was fleeing in my cellar, I called the insurer for him to move. The expert came to see the damage, and told me that he would make a letter to the trustee by putting me in copy. The trustee having received nothing, and myself either, I called the Macif to find out if the mail was off to a good start. "Yes," the Macif told me, without being able to communicate the content of the mail or the registered trustee number. So I had to call the expert myself and I came across someone who told me I did not have access to my file and that he did not know at all if the mail was sent! Thank you the Macif for the control of its experts!
So I went back to the Macif, but for the moment nothing moves. I was just told on the phone that the expert had concluded that the cellar being old she needed to be redone and therefore I was not entitled to compensation.
Thank you the Macif! Apart from having cost me money and time to call them they are strictly useless.
And in the balance sheet I live in an apartment cluttered with various cases that I cannot go down to the cellar because of the state of it.</v>
      </c>
    </row>
    <row r="985" ht="15.75" customHeight="1">
      <c r="B985" s="2" t="s">
        <v>2724</v>
      </c>
      <c r="C985" s="2" t="s">
        <v>2725</v>
      </c>
      <c r="D985" s="2" t="s">
        <v>2603</v>
      </c>
      <c r="E985" s="2" t="s">
        <v>1679</v>
      </c>
      <c r="F985" s="2" t="s">
        <v>15</v>
      </c>
      <c r="G985" s="2" t="s">
        <v>2723</v>
      </c>
      <c r="H985" s="2" t="s">
        <v>222</v>
      </c>
      <c r="I985" s="2" t="str">
        <f>IFERROR(__xludf.DUMMYFUNCTION("GOOGLETRANSLATE(C985,""fr"",""en"")"),"Following a water damage for more than a 1 year, I have still not been or compensated, and the work not realized by the entrepreneur who works with the Macif.
I lived and the owner retains my deposit because work not done. I request compensation and dama"&amp;"ges for the damage suffered.
I will set up the procedure in the event of disagreements with insurance: complaint mail (15 days to answer) and mediator intervention")</f>
        <v>Following a water damage for more than a 1 year, I have still not been or compensated, and the work not realized by the entrepreneur who works with the Macif.
I lived and the owner retains my deposit because work not done. I request compensation and damages for the damage suffered.
I will set up the procedure in the event of disagreements with insurance: complaint mail (15 days to answer) and mediator intervention</v>
      </c>
    </row>
    <row r="986" ht="15.75" customHeight="1">
      <c r="B986" s="2" t="s">
        <v>2726</v>
      </c>
      <c r="C986" s="2" t="s">
        <v>2727</v>
      </c>
      <c r="D986" s="2" t="s">
        <v>2603</v>
      </c>
      <c r="E986" s="2" t="s">
        <v>1679</v>
      </c>
      <c r="F986" s="2" t="s">
        <v>15</v>
      </c>
      <c r="G986" s="2" t="s">
        <v>2397</v>
      </c>
      <c r="H986" s="2" t="s">
        <v>222</v>
      </c>
      <c r="I986" s="2" t="str">
        <f>IFERROR(__xludf.DUMMYFUNCTION("GOOGLETRANSLATE(C986,""fr"",""en"")"),"Client for over 30 years and I will terminate everything. Total incompetence in terms of the care of a claim caused by the gutter of my failing neighbor. Expertise carried out after work (infiltration cannot wait 6 months for the Macif react) although the"&amp;"ir date has been communicated. Not taking into account the fact that the disaster was from the RC of my neighbor. And conclusions that arise on the side of the opposing insurance denying the evidence: under the gutter of my neighbor infiltrations - apart "&amp;"from the gutter of my neighbor no infiltration. But everything being out of time, the opposing insurance was perplexed ... Goodbye Macif! We will hear about it.")</f>
        <v>Client for over 30 years and I will terminate everything. Total incompetence in terms of the care of a claim caused by the gutter of my failing neighbor. Expertise carried out after work (infiltration cannot wait 6 months for the Macif react) although their date has been communicated. Not taking into account the fact that the disaster was from the RC of my neighbor. And conclusions that arise on the side of the opposing insurance denying the evidence: under the gutter of my neighbor infiltrations - apart from the gutter of my neighbor no infiltration. But everything being out of time, the opposing insurance was perplexed ... Goodbye Macif! We will hear about it.</v>
      </c>
    </row>
    <row r="987" ht="15.75" customHeight="1">
      <c r="B987" s="2" t="s">
        <v>2728</v>
      </c>
      <c r="C987" s="2" t="s">
        <v>2729</v>
      </c>
      <c r="D987" s="2" t="s">
        <v>2603</v>
      </c>
      <c r="E987" s="2" t="s">
        <v>1679</v>
      </c>
      <c r="F987" s="2" t="s">
        <v>15</v>
      </c>
      <c r="G987" s="2" t="s">
        <v>1957</v>
      </c>
      <c r="H987" s="2" t="s">
        <v>413</v>
      </c>
      <c r="I987" s="2" t="str">
        <f>IFERROR(__xludf.DUMMYFUNCTION("GOOGLETRANSLATE(C987,""fr"",""en"")"),"I live in a town house shared in 2 dwellings, I live upstairs. On September 14, my neighbor below points out to me that there is a Deau leak in her accommodation, after several searchs, I cut my arrival of water, the leak stops. We each make a statement ("&amp;"we are assured every 2 at the Macif). All the piping is recessed we do not see them or is the leak, we just see or water flows. The expert refuses the search for destructive leak. After several calls to the Macif, the expert reminds me today (September 25"&amp;") to tell me who always refuses to take care of the leak search, because we know where the flight is! (because for him since the water flows in a place the flight is necessarily there!) He started to get angry telling me that I did not understand what he "&amp;"was telling me! Super the Macif! One thing is on ..... on the due date, I remove my contacts from the Macif and I will see elsewhere.")</f>
        <v>I live in a town house shared in 2 dwellings, I live upstairs. On September 14, my neighbor below points out to me that there is a Deau leak in her accommodation, after several searchs, I cut my arrival of water, the leak stops. We each make a statement (we are assured every 2 at the Macif). All the piping is recessed we do not see them or is the leak, we just see or water flows. The expert refuses the search for destructive leak. After several calls to the Macif, the expert reminds me today (September 25) to tell me who always refuses to take care of the leak search, because we know where the flight is! (because for him since the water flows in a place the flight is necessarily there!) He started to get angry telling me that I did not understand what he was telling me! Super the Macif! One thing is on ..... on the due date, I remove my contacts from the Macif and I will see elsewhere.</v>
      </c>
    </row>
    <row r="988" ht="15.75" customHeight="1">
      <c r="B988" s="2" t="s">
        <v>2730</v>
      </c>
      <c r="C988" s="2" t="s">
        <v>2731</v>
      </c>
      <c r="D988" s="2" t="s">
        <v>2603</v>
      </c>
      <c r="E988" s="2" t="s">
        <v>1679</v>
      </c>
      <c r="F988" s="2" t="s">
        <v>15</v>
      </c>
      <c r="G988" s="2" t="s">
        <v>2732</v>
      </c>
      <c r="H988" s="2" t="s">
        <v>1620</v>
      </c>
      <c r="I988" s="2" t="str">
        <f>IFERROR(__xludf.DUMMYFUNCTION("GOOGLETRANSLATE(C988,""fr"",""en"")"),"To flee! Electric Degat never compensated! I will attack this insurer! I do not recommend this insurance at all! If I had been able to meter 0, to flee !!!!! ...")</f>
        <v>To flee! Electric Degat never compensated! I will attack this insurer! I do not recommend this insurance at all! If I had been able to meter 0, to flee !!!!! ...</v>
      </c>
    </row>
    <row r="989" ht="15.75" customHeight="1">
      <c r="B989" s="2" t="s">
        <v>2733</v>
      </c>
      <c r="C989" s="2" t="s">
        <v>2734</v>
      </c>
      <c r="D989" s="2" t="s">
        <v>2603</v>
      </c>
      <c r="E989" s="2" t="s">
        <v>1679</v>
      </c>
      <c r="F989" s="2" t="s">
        <v>15</v>
      </c>
      <c r="G989" s="2" t="s">
        <v>2735</v>
      </c>
      <c r="H989" s="2" t="s">
        <v>1624</v>
      </c>
      <c r="I989" s="2" t="str">
        <f>IFERROR(__xludf.DUMMYFUNCTION("GOOGLETRANSLATE(C989,""fr"",""en"")"),"No respect for the insured. Does not respect the terms of his contracts. In the event of a claim you will have to fight to obtain compensation (to the court).")</f>
        <v>No respect for the insured. Does not respect the terms of his contracts. In the event of a claim you will have to fight to obtain compensation (to the court).</v>
      </c>
    </row>
    <row r="990" ht="15.75" customHeight="1">
      <c r="B990" s="2" t="s">
        <v>2736</v>
      </c>
      <c r="C990" s="2" t="s">
        <v>2737</v>
      </c>
      <c r="D990" s="2" t="s">
        <v>2603</v>
      </c>
      <c r="E990" s="2" t="s">
        <v>1679</v>
      </c>
      <c r="F990" s="2" t="s">
        <v>15</v>
      </c>
      <c r="G990" s="2" t="s">
        <v>2738</v>
      </c>
      <c r="H990" s="2" t="s">
        <v>1624</v>
      </c>
      <c r="I990" s="2" t="str">
        <f>IFERROR(__xludf.DUMMYFUNCTION("GOOGLETRANSLATE(C990,""fr"",""en"")"),"I live in the Drome on June 15 my house AS was touching by the Grele, Veranda and Damaged Cheminee, the expert is passing we had the result of the report, Mr. Refuses the work of the Cheminee under the pretext that he does not A has not seen and therefore"&amp;" cannot say if the degats come from the Grele, I want it to go on the roof but should not be described I have a roof window which gives on the cheminee he did not even do The effort to look because for him my contract did not mean the cheminee in account "&amp;"which is false and for the veranda I have 1000 euro to get out of my pocket because sir is not aci with the installation rate in any case once My work done is paying I change your insurance quickly.")</f>
        <v>I live in the Drome on June 15 my house AS was touching by the Grele, Veranda and Damaged Cheminee, the expert is passing we had the result of the report, Mr. Refuses the work of the Cheminee under the pretext that he does not A has not seen and therefore cannot say if the degats come from the Grele, I want it to go on the roof but should not be described I have a roof window which gives on the cheminee he did not even do The effort to look because for him my contract did not mean the cheminee in account which is false and for the veranda I have 1000 euro to get out of my pocket because sir is not aci with the installation rate in any case once My work done is paying I change your insurance quickly.</v>
      </c>
    </row>
    <row r="991" ht="15.75" customHeight="1">
      <c r="B991" s="2" t="s">
        <v>2739</v>
      </c>
      <c r="C991" s="2" t="s">
        <v>2740</v>
      </c>
      <c r="D991" s="2" t="s">
        <v>2603</v>
      </c>
      <c r="E991" s="2" t="s">
        <v>1679</v>
      </c>
      <c r="F991" s="2" t="s">
        <v>15</v>
      </c>
      <c r="G991" s="2" t="s">
        <v>2741</v>
      </c>
      <c r="H991" s="2" t="s">
        <v>423</v>
      </c>
      <c r="I991" s="2" t="str">
        <f>IFERROR(__xludf.DUMMYFUNCTION("GOOGLETRANSLATE(C991,""fr"",""en"")"),"Over 30 years customer of this insurer. A delay in payment on an additional contract Suite Mail Party in spam no doubt (probable in view of the number of unlined maci emails received and which I put in unwanted): immediate sanction, threatens by recommend"&amp;"ed to terminate the all contracts")</f>
        <v>Over 30 years customer of this insurer. A delay in payment on an additional contract Suite Mail Party in spam no doubt (probable in view of the number of unlined maci emails received and which I put in unwanted): immediate sanction, threatens by recommended to terminate the all contracts</v>
      </c>
    </row>
    <row r="992" ht="15.75" customHeight="1">
      <c r="B992" s="2" t="s">
        <v>2742</v>
      </c>
      <c r="C992" s="2" t="s">
        <v>2743</v>
      </c>
      <c r="D992" s="2" t="s">
        <v>2603</v>
      </c>
      <c r="E992" s="2" t="s">
        <v>1679</v>
      </c>
      <c r="F992" s="2" t="s">
        <v>15</v>
      </c>
      <c r="G992" s="2" t="s">
        <v>2744</v>
      </c>
      <c r="H992" s="2" t="s">
        <v>423</v>
      </c>
      <c r="I992" s="2" t="str">
        <f>IFERROR(__xludf.DUMMYFUNCTION("GOOGLETRANSLATE(C992,""fr"",""en"")"),"Letter sent yesterday
To follow up on your return, I inform you that as a loyal customer and satisfied for almost 23 years now I have no other alternative than to take out insurance with a competitor insurer.
In view of the expert's report I have the "&amp;"feeling that the guarantees subscribed do not serve me much.
On this subject I have just contacted the maif which offers to resume all of my contracts (PJ quote)
I really hope that you will take into account my dispute which would allow me to be able "&amp;"to remain a customer with my historic insurer.
Thank you in advance for your understanding
Best regards
")</f>
        <v>Letter sent yesterday
To follow up on your return, I inform you that as a loyal customer and satisfied for almost 23 years now I have no other alternative than to take out insurance with a competitor insurer.
In view of the expert's report I have the feeling that the guarantees subscribed do not serve me much.
On this subject I have just contacted the maif which offers to resume all of my contracts (PJ quote)
I really hope that you will take into account my dispute which would allow me to be able to remain a customer with my historic insurer.
Thank you in advance for your understanding
Best regards
</v>
      </c>
    </row>
    <row r="993" ht="15.75" customHeight="1">
      <c r="B993" s="2" t="s">
        <v>2745</v>
      </c>
      <c r="C993" s="2" t="s">
        <v>2746</v>
      </c>
      <c r="D993" s="2" t="s">
        <v>2603</v>
      </c>
      <c r="E993" s="2" t="s">
        <v>1679</v>
      </c>
      <c r="F993" s="2" t="s">
        <v>15</v>
      </c>
      <c r="G993" s="2" t="s">
        <v>2747</v>
      </c>
      <c r="H993" s="2" t="s">
        <v>423</v>
      </c>
      <c r="I993" s="2" t="str">
        <f>IFERROR(__xludf.DUMMYFUNCTION("GOOGLETRANSLATE(C993,""fr"",""en"")"),"After 30 years of home insurance/cars we discover that our police do not cover a climatic phenomena that has resulted in the flight of a low motorized south shelter shelter without other surrounding damage: flee south shelter for this unsuitable and maci "&amp;"shelter in time 'insurer (maybe the slate of 14,000 euros has something to do with it)")</f>
        <v>After 30 years of home insurance/cars we discover that our police do not cover a climatic phenomena that has resulted in the flight of a low motorized south shelter shelter without other surrounding damage: flee south shelter for this unsuitable and maci shelter in time 'insurer (maybe the slate of 14,000 euros has something to do with it)</v>
      </c>
    </row>
    <row r="994" ht="15.75" customHeight="1">
      <c r="B994" s="2" t="s">
        <v>2748</v>
      </c>
      <c r="C994" s="2" t="s">
        <v>2749</v>
      </c>
      <c r="D994" s="2" t="s">
        <v>2603</v>
      </c>
      <c r="E994" s="2" t="s">
        <v>1679</v>
      </c>
      <c r="F994" s="2" t="s">
        <v>15</v>
      </c>
      <c r="G994" s="2" t="s">
        <v>2750</v>
      </c>
      <c r="H994" s="2" t="s">
        <v>236</v>
      </c>
      <c r="I994" s="2" t="str">
        <f>IFERROR(__xludf.DUMMYFUNCTION("GOOGLETRANSLATE(C994,""fr"",""en"")"),"I called for a home insurance quote, I was sent the papers that I did not go back because not interested, and 2 months after I receive a payment notice for a contract that I did not take out. ...")</f>
        <v>I called for a home insurance quote, I was sent the papers that I did not go back because not interested, and 2 months after I receive a payment notice for a contract that I did not take out. ...</v>
      </c>
    </row>
    <row r="995" ht="15.75" customHeight="1">
      <c r="B995" s="2" t="s">
        <v>2751</v>
      </c>
      <c r="C995" s="2" t="s">
        <v>2752</v>
      </c>
      <c r="D995" s="2" t="s">
        <v>2603</v>
      </c>
      <c r="E995" s="2" t="s">
        <v>1679</v>
      </c>
      <c r="F995" s="2" t="s">
        <v>15</v>
      </c>
      <c r="G995" s="2" t="s">
        <v>1751</v>
      </c>
      <c r="H995" s="2" t="s">
        <v>236</v>
      </c>
      <c r="I995" s="2" t="str">
        <f>IFERROR(__xludf.DUMMYFUNCTION("GOOGLETRANSLATE(C995,""fr"",""en"")"),"Pool option: a pure lie")</f>
        <v>Pool option: a pure lie</v>
      </c>
    </row>
    <row r="996" ht="15.75" customHeight="1">
      <c r="B996" s="2" t="s">
        <v>2753</v>
      </c>
      <c r="C996" s="2" t="s">
        <v>2754</v>
      </c>
      <c r="D996" s="2" t="s">
        <v>2603</v>
      </c>
      <c r="E996" s="2" t="s">
        <v>1679</v>
      </c>
      <c r="F996" s="2" t="s">
        <v>15</v>
      </c>
      <c r="G996" s="2" t="s">
        <v>1269</v>
      </c>
      <c r="H996" s="2" t="s">
        <v>244</v>
      </c>
      <c r="I996" s="2" t="str">
        <f>IFERROR(__xludf.DUMMYFUNCTION("GOOGLETRANSLATE(C996,""fr"",""en"")"),"I've been waiting for a check for two years to start work following damage caused by the neighbors and I have still received nothing
The Macif wisely awaits that we are discouraged to claim what they owe us to avoid paying. At one point, it is necessary "&amp;"to call on a lawyer is that let's end up doing
I am assured at the Macif but it is a mistake and I am looking for insurance with good advice. In the meantime you have to avoid the Macif")</f>
        <v>I've been waiting for a check for two years to start work following damage caused by the neighbors and I have still received nothing
The Macif wisely awaits that we are discouraged to claim what they owe us to avoid paying. At one point, it is necessary to call on a lawyer is that let's end up doing
I am assured at the Macif but it is a mistake and I am looking for insurance with good advice. In the meantime you have to avoid the Macif</v>
      </c>
    </row>
    <row r="997" ht="15.75" customHeight="1">
      <c r="B997" s="2" t="s">
        <v>2755</v>
      </c>
      <c r="C997" s="2" t="s">
        <v>2756</v>
      </c>
      <c r="D997" s="2" t="s">
        <v>2603</v>
      </c>
      <c r="E997" s="2" t="s">
        <v>1679</v>
      </c>
      <c r="F997" s="2" t="s">
        <v>15</v>
      </c>
      <c r="G997" s="2" t="s">
        <v>2757</v>
      </c>
      <c r="H997" s="2" t="s">
        <v>244</v>
      </c>
      <c r="I997" s="2" t="str">
        <f>IFERROR(__xludf.DUMMYFUNCTION("GOOGLETRANSLATE(C997,""fr"",""en"")"),"Flee the Macif for 4 months I have suffered three night claims with floods of my accommodation by 3 times 75 l of water and vapors overheated on the face and eyes my rotten work plan my rotten shoes of fears and anxieties since that and without Hot water "&amp;"for two months in December 2018 my letters to their managing director Mr. Raby, their claims services are useless their expert in this him does not move their little finger to give me the slightest indemnity or they have all the photo documents included L"&amp;"ike a dog that bite their tails their services turn the file each time even a lawyer contacts them")</f>
        <v>Flee the Macif for 4 months I have suffered three night claims with floods of my accommodation by 3 times 75 l of water and vapors overheated on the face and eyes my rotten work plan my rotten shoes of fears and anxieties since that and without Hot water for two months in December 2018 my letters to their managing director Mr. Raby, their claims services are useless their expert in this him does not move their little finger to give me the slightest indemnity or they have all the photo documents included Like a dog that bite their tails their services turn the file each time even a lawyer contacts them</v>
      </c>
    </row>
    <row r="998" ht="15.75" customHeight="1">
      <c r="B998" s="2" t="s">
        <v>2758</v>
      </c>
      <c r="C998" s="2" t="s">
        <v>2759</v>
      </c>
      <c r="D998" s="2" t="s">
        <v>2603</v>
      </c>
      <c r="E998" s="2" t="s">
        <v>1679</v>
      </c>
      <c r="F998" s="2" t="s">
        <v>15</v>
      </c>
      <c r="G998" s="2" t="s">
        <v>244</v>
      </c>
      <c r="H998" s="2" t="s">
        <v>244</v>
      </c>
      <c r="I998" s="2" t="str">
        <f>IFERROR(__xludf.DUMMYFUNCTION("GOOGLETRANSLATE(C998,""fr"",""en"")"),"Superb efficient available insurance. Insured auto and home, I only have positive. Listening, understanding and above all understandable people !!")</f>
        <v>Superb efficient available insurance. Insured auto and home, I only have positive. Listening, understanding and above all understandable people !!</v>
      </c>
    </row>
    <row r="999" ht="15.75" customHeight="1">
      <c r="B999" s="2" t="s">
        <v>2760</v>
      </c>
      <c r="C999" s="2" t="s">
        <v>2761</v>
      </c>
      <c r="D999" s="2" t="s">
        <v>2603</v>
      </c>
      <c r="E999" s="2" t="s">
        <v>1679</v>
      </c>
      <c r="F999" s="2" t="s">
        <v>15</v>
      </c>
      <c r="G999" s="2" t="s">
        <v>1638</v>
      </c>
      <c r="H999" s="2" t="s">
        <v>248</v>
      </c>
      <c r="I999" s="2" t="str">
        <f>IFERROR(__xludf.DUMMYFUNCTION("GOOGLETRANSLATE(C999,""fr"",""en"")"),"Absence of the complaints service !!! I am asked to send an email what I do ... no answer. Then I am told that I am going to remind me in the 72 hers ... Nothing at all I remind me of Mainhtenant that I have to send an email by registered mail !!! This is"&amp;" how we treat a client over 35 years old of seniority with the Macif")</f>
        <v>Absence of the complaints service !!! I am asked to send an email what I do ... no answer. Then I am told that I am going to remind me in the 72 hers ... Nothing at all I remind me of Mainhtenant that I have to send an email by registered mail !!! This is how we treat a client over 35 years old of seniority with the Macif</v>
      </c>
    </row>
    <row r="1000" ht="15.75" customHeight="1">
      <c r="B1000" s="2" t="s">
        <v>2762</v>
      </c>
      <c r="C1000" s="2" t="s">
        <v>2763</v>
      </c>
      <c r="D1000" s="2" t="s">
        <v>2603</v>
      </c>
      <c r="E1000" s="2" t="s">
        <v>1679</v>
      </c>
      <c r="F1000" s="2" t="s">
        <v>15</v>
      </c>
      <c r="G1000" s="2" t="s">
        <v>432</v>
      </c>
      <c r="H1000" s="2" t="s">
        <v>248</v>
      </c>
      <c r="I1000" s="2" t="str">
        <f>IFERROR(__xludf.DUMMYFUNCTION("GOOGLETRANSLATE(C1000,""fr"",""en"")"),"I am revolted by the lack of courtesy and respect for this company. In January 2018 following the bad weather I suffered a damage to a building from my second home, following the passage of 1 novice expert I was not compensated but the height, I was radia"&amp;"ted Manu Militari, then That I have been a customer for 41 years without a major incident, with 2 housing contracts, 4 cars and 1 motorcycle. My 2 letters recommended to customer service remained unanswered.
eligible. My goa"&amp;"l: to leave them quickly.")</f>
        <v>I am revolted by the lack of courtesy and respect for this company. In January 2018 following the bad weather I suffered a damage to a building from my second home, following the passage of 1 novice expert I was not compensated but the height, I was radiated Manu Militari, then That I have been a customer for 41 years without a major incident, with 2 housing contracts, 4 cars and 1 motorcycle. My 2 letters recommended to customer service remained unanswered.
eligible. My goal: to leave them quickly.</v>
      </c>
    </row>
    <row r="1001" ht="15.75" customHeight="1">
      <c r="B1001" s="2" t="s">
        <v>2764</v>
      </c>
      <c r="C1001" s="2" t="s">
        <v>2765</v>
      </c>
      <c r="D1001" s="2" t="s">
        <v>2603</v>
      </c>
      <c r="E1001" s="2" t="s">
        <v>1679</v>
      </c>
      <c r="F1001" s="2" t="s">
        <v>15</v>
      </c>
      <c r="G1001" s="2" t="s">
        <v>435</v>
      </c>
      <c r="H1001" s="2" t="s">
        <v>248</v>
      </c>
      <c r="I1001" s="2" t="str">
        <f>IFERROR(__xludf.DUMMYFUNCTION("GOOGLETRANSLATE(C1001,""fr"",""en"")"),"A disaster. TO FLEE.")</f>
        <v>A disaster. TO FLEE.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2022-12-16T15:48:31Z</dcterms:created>
</cp:coreProperties>
</file>