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35hCxUxw985u0jtPLEQuhiEV5Tw=="/>
    </ext>
  </extLst>
</workbook>
</file>

<file path=xl/sharedStrings.xml><?xml version="1.0" encoding="utf-8"?>
<sst xmlns="http://schemas.openxmlformats.org/spreadsheetml/2006/main" count="7011" uniqueCount="2784">
  <si>
    <t>note</t>
  </si>
  <si>
    <t>auteur</t>
  </si>
  <si>
    <t>avis</t>
  </si>
  <si>
    <t>assureur</t>
  </si>
  <si>
    <t>produit</t>
  </si>
  <si>
    <t>type</t>
  </si>
  <si>
    <t>date_publication</t>
  </si>
  <si>
    <t>date_exp</t>
  </si>
  <si>
    <t>avis_en</t>
  </si>
  <si>
    <t>avis_cor</t>
  </si>
  <si>
    <t>avis_cor_en</t>
  </si>
  <si>
    <t>lt25-71932</t>
  </si>
  <si>
    <t>Cliente de +25 ans avec aucun sinistre sauf celui d un cambriolage en nov 2018. Cela fait +3 mois que mon dossier traîne encore..C est la 1ère fois je ne m attendais pas à ce genre de traitement</t>
  </si>
  <si>
    <t>MACIF</t>
  </si>
  <si>
    <t>habitation</t>
  </si>
  <si>
    <t>test</t>
  </si>
  <si>
    <t>06/03/2019</t>
  </si>
  <si>
    <t>01/03/2019</t>
  </si>
  <si>
    <t>kolbu-71178</t>
  </si>
  <si>
    <t>A assuré puis supprimé mon assurance pour des raisons informatiques. La maison est soudainement devenue trop grande pour être assurée alors que la surface (les plans avaient été communiqués) n'avait pas varié. Je n'ai eu affaire qu'à des passe plats... c'est la faute à l'informatique...</t>
  </si>
  <si>
    <t>11/02/2019</t>
  </si>
  <si>
    <t>01/02/2019</t>
  </si>
  <si>
    <t>syl-vie66-71161</t>
  </si>
  <si>
    <t xml:space="preserve">je suis assurée à la Macif depuis presque un an pour mon assurance habitation  et suis bien décidée à partir très vite 
suite à un sinistre arrivé hier, j'essaie de les contacté depuis ce matin et j'en suis à exactement 89 minutes d'attente hormis un répondeur qui me dit que mon appel est bien pris en compte, personne au bout du fils. J'ose même pas imaginer si j'étais en détresse </t>
  </si>
  <si>
    <t>jct-69324</t>
  </si>
  <si>
    <t>Assuré à la Macif depuis 19 ans, mon assurance a été résilié pour cause de sinistralité trop forte (quelques dégats des eaux ces trois dernières années -du fait d'un voisin- et dont le remboursement par la macif est sans commune mesure avec les indemnités encaissées depuis 19 ans..). Je n'ai jamais reçu le recommandé (envoyé sans AR), je me suis donc retrouvé sans assurance moi et ma famille pendant 7 mois sans le savoir (c'est en passant un coup de fil sur un autre sujet que je l'ai appris...). J'ai posé réclamation et la réponse a été une fin de non recevoir sous forme administrative.</t>
  </si>
  <si>
    <t>11/12/2018</t>
  </si>
  <si>
    <t>01/12/2018</t>
  </si>
  <si>
    <t>fellabour-69016</t>
  </si>
  <si>
    <t xml:space="preserve">Assureur vraiment a éviter Refuse de nous indemniser suite à un combriolage après une longue attente très déçue de votre part et de votre façon de traiter les dossiers </t>
  </si>
  <si>
    <t>30/11/2018</t>
  </si>
  <si>
    <t>01/11/2018</t>
  </si>
  <si>
    <t>calypso-68846</t>
  </si>
  <si>
    <t>Intervention supprimée à la demande de l'internaute.</t>
  </si>
  <si>
    <t>vm-68587</t>
  </si>
  <si>
    <t>Bonsoir Madames,Monsieurs ,
Je viens respectueusement ,vous tenir informer d'un incident qu'il y a eu à la suite de mon appel vers 15H58 au numero 0969394939,
J'ai eu une demoiselle ,pas à l'écoute ,qui était pressé ,agacé ,et qui était très mal éduqué ,aucun respect ni savoir vivre .
Tout d'abord elle me demande mon numéro sociétaire ,je lui répond que je n'étais pas chez moi et que je suis en voiture ,elle me répond c'est comme le numéro de sécurité social votre numéro de sécurité social vous la connaissez ,puis je lui donne mon nom prénom ,elle ne veux même pas chercher et me répond des Monsieur TOI et des Koffi j'en ai plein ,et elle me dit elle ne souhaite pas avoir mon adresse,car la politique de la Macif c'est le numero sociétaire ,et que je n'ai qu'à la rappeler dès que j'aurais ce numero ,je lui ai répondu en lui disant vous pensez que j'ai mon assurance gratuit ,vous traitez les assurez comme ça elle voulait pas me laisser parler j'ai fini pas hausser le ton en lui disant de racrocher si je ne pouvais pas m'expliquer .
Si c'est cela la qualité clientèle ,ne vous faites pas de soucis pour nous dès que possible nous partirons ,nous allons résiliez ,assurance habitation automobile ,responsabilité civil et protection juridique 
Bravo la qualité clientèle ,Bravo</t>
  </si>
  <si>
    <t>22/11/2018</t>
  </si>
  <si>
    <t>volcan41-34487</t>
  </si>
  <si>
    <t>Mon fils, victime d'infiltrations dans son appartement attend depuis plus d'1 an un remboursement accordé par l'expert et aucune nouvelle. "La solidarité est notre force" est l'adage de la Macif. Franchement scandaleux!</t>
  </si>
  <si>
    <t>07/11/2018</t>
  </si>
  <si>
    <t>dam62-68323</t>
  </si>
  <si>
    <t xml:space="preserve"> incendie dans un local commercial </t>
  </si>
  <si>
    <t>05/11/2018</t>
  </si>
  <si>
    <t>dianer-67812</t>
  </si>
  <si>
    <t xml:space="preserve">Bonjour, j'ai été très déçue par la Macif, avec eux r. j'ai choisie un autre assureur, mais mon contrat s'achevant au premier janvier 2019, la Macif doit me rendre une somme calculée au prorata. Le 17 septembre je reçois un courrier me disant que dans les prochains j'aurais le chèque. Il y a une semaine je les ai relancé mais je n'ai toujours pas de réponse. </t>
  </si>
  <si>
    <t>20/10/2018</t>
  </si>
  <si>
    <t>01/10/2018</t>
  </si>
  <si>
    <t>lebabass-67683</t>
  </si>
  <si>
    <t xml:space="preserve">A Fuir à volonté.
J'ai déclaré un dégâts des eaux parce qu'il y une fuite dans une canalisation encastré qui sert tout la bâtiment ce qui veut dire que la fuite ne vient pas de chez moi car plusieurs habitants ont la même fuite. La Macif me demande de réparer la fuite avant le traitement de mon dossier sachant que tout l'immeuble est concerné et c'est le bailleur qui s'en chargera car il en est au courant.
Un dossier de dégât des eaux non remboursé et qui traîne depuis un bon moment.
Aucune communication sur l'avancement de votre dossier et personne. 
Des conseillers qui prennent les assurés de hauts sachant qu'ils vivent grâce à nos cotisations.
Un expert qui vous prend pour des escrocs qui n'a pas envie de travailler du tout.
Mon appartement est dans un état déplorable parce que j'attend que Miss Macif prenne le temps de traiter mon dossier quand elle a un peu de temps.
Je pense sérieusement à résilier tous mes contrats de chez eux.
</t>
  </si>
  <si>
    <t>15/10/2018</t>
  </si>
  <si>
    <t>kira-67428</t>
  </si>
  <si>
    <t>Assuré depuis 38 ans à la MACIF, j'ai déclaré le 19 Janvier 2018 un sinistre de dégât des eaux; après échanges de correspondances et nombreuses relances, la MACIF désigne leur expert, qui lui-même requiert une expertise à une entreprise de recherche de fuite, et ce au bout de 6 mois; cette dernière n'intervient qu'à condition d'être payée; comme je suis lassé d'éponger la fuite depuis 6 mois, je règle la facture de recherche de fuite pour ne pas retarder davantage l'intervention et transmets aussitôt cette facture à MACIF (qui a commandé l'expertise). Depuis 4 mois je relance la MACIF en précisant que je prenais à ma charge la réparation extérieure et les dégâts internes (pourtant couverts par le contrat) mais que je désirais le remboursement de la recherche de fuite. Depuis, suite à de multiples relances, celà fait 3 fois que la MACIF me demande de  leur transmettre la facture et le rapport de la recherche de fuite, ce que j'effectue aussitôt (à chaque fois) en joignant la correspondance de MACIF commandant cette expertise, mais pas la moindre nouvelle de remboursement ou d'indemnisation. Vraiment très déçu d'être contraint d'avoir recours à d'autres voies qu'amiables contre une société qui prône le soutien dans l'aversité, et qui ne respecte pas même ses termes de contrat.</t>
  </si>
  <si>
    <t>11/10/2018</t>
  </si>
  <si>
    <t>micanabp-67023</t>
  </si>
  <si>
    <t>Perso j'ai eu un dégât des eaux dans mon ancien logement en décembre, ou l'assureur m'a assuré lors de la déclaration du sinistre que c'était bien pris en charge, la ont est en octobre, toujours rien de fait, aux dernières nouvelles, ils veulent plus prendre en charge, je n'ai vu ni assureurs, ni experts, personne ne s'est rendu sur place... L'assurance de mes ancien propriétaire ne prend pas en charge non plus, c'est pour ma pomme ! Voila voila...</t>
  </si>
  <si>
    <t>08/10/2018</t>
  </si>
  <si>
    <t>shen-67003</t>
  </si>
  <si>
    <t>Je vais résilier tous mes contrats Macif à leur prochaine échéance.
En cause, la difficulté pour assurer une nouvelle maison.
 sans considération pour les vieux clients.</t>
  </si>
  <si>
    <t>22/09/2018</t>
  </si>
  <si>
    <t>01/09/2018</t>
  </si>
  <si>
    <t>sandrine-66891</t>
  </si>
  <si>
    <t>fin mai, j'enregistre un sinistre chez moi. Apres avoir mandaté un expert qui lui même a mandaté une société pour une recherche de fuite, l'assureur m'envoie un courrier qui me dit être indemnisé sur mon compte d'un montant de plus de 700 euros.(27/07).
J'en profite pour acheter du matériel tuyaux,bac dégraisseur,sable, etc...
Le 14 septembre (2 mois apres), on me dit que l'argent perçu sert à payer la société qui est venu chez moi faire une recherche de fuite.
La macif me met dans une situation catastrophique car on parle de plusieurs centaines d'euros. Mais peut être que pour un assureur cette somme ne représente rien, pour un salarié on parle de la moitié d'un SMIC. En pleine période de 3è tiers d'imposition, taxe froncière qui suit et d'habitation, je vous laisse imaginer ma situation....</t>
  </si>
  <si>
    <t>21/09/2018</t>
  </si>
  <si>
    <t>juss-66033</t>
  </si>
  <si>
    <t xml:space="preserve">cliente depuis 32 ans la fidélité ne paye pas...
Un vol avec effraction depuis fenêtre 1er étage avec perçage coffre fort situé au sous-sol. Vol de tous mes bijoux, argent...plus tous les vêtements de mon fils et de mon mari. Avant même le rapport de l'expert m'ont envoyé un courrier de non prise en charge car les volets du 1er étage n'étaient pas verrouillés ; les volets au rez-de-chaussée étaient fermés. Le préjudice est très important d'où certainement leur refus catégorique de ne rien prendre en charge...Si vous êtes chez eux un conseil allez voir ailleurs....Si vous n'avez pas grand chose, on vous propose de faire réparer votre fenêtre...
Ils ont même mis en doute la véracité des faits alors qu'ensuite j'ai reçu un document du juge qui attestait que les malfaiteurs avaient été emprisonnés  ! Document transmis à l'assureur mais ne veulent pas revenir sur leur décision. </t>
  </si>
  <si>
    <t>24/08/2018</t>
  </si>
  <si>
    <t>01/08/2018</t>
  </si>
  <si>
    <t>atikah-65378</t>
  </si>
  <si>
    <t xml:space="preserve">Cliente à la macif pour mon logement depuis 10 ans j’ai donné environ 12000 euros en cotisation. 
Victime d’un cambriolage dans la soirée du 21 juin nous avons immédiatement contacté l’assistance pour déclarer le sinistre. Le lendemain aucune trace de notre dossier. Le surlendemain après un nouvel appel toujours pas d’ouverture de dossier. Le sinistre a été ouvert le 25 juin après 4 appels. 
L’expert qui est venu faire l’état de nos perte après lecture de notre contrat nous conseille de changé car les clauses sont vraiment déplorables. 
Un iPad a 1000€ qui a peine 6 mois perd 20% ! Une ps4 acheté à noël pareil. 
Nous avons perdu pour 10 000 euros de matériel. 
En tout l’expert nous chiffre une indemnisation à 4200€ pour l’entièreté de notre matériel. 
Je suis dégoûté et furieuse contre cette assurance en qui j’avais confiance et qui m’a roulé dans la farine en me disant que j’etais bien protégé. </t>
  </si>
  <si>
    <t>10/07/2018</t>
  </si>
  <si>
    <t>01/07/2018</t>
  </si>
  <si>
    <t>jls214-65128</t>
  </si>
  <si>
    <t>Très déçu d'apprendre le jour d'un sinistre que le contrat ne couvrait pas ce cas particulier et de constater que ma parole n'a aucune valeur en face de la décision de la Macif.
Ma décision est de résilier mes contrats Macif: 3 véhicules et 2 maisons et réflexion en cours pour vider mes contrats d'assurance vie.
La parole d'un sociétaire faisant confiance à Macif depuis 32 ans n'a aucune valeur aux oreilles d'un responsable Macif qui en l’occurrence n'a même pas daigné me parler.</t>
  </si>
  <si>
    <t>28/06/2018</t>
  </si>
  <si>
    <t>01/06/2018</t>
  </si>
  <si>
    <t>arn45-65037</t>
  </si>
  <si>
    <t>injoignables au téléphone, pas de suivi des réclamations.</t>
  </si>
  <si>
    <t>25/06/2018</t>
  </si>
  <si>
    <t>jorand54-63722</t>
  </si>
  <si>
    <t>Assuré depuis 39 ans chez la Macif, cet assureur refuse la prise en charge depuis 4 mois d'un sinistre au prétexte que j'habite un 5 pièces au lieu de 4 alors que mon contrat précise bien que je suis propriétaire de ce 4 pièces depuis 22 ans.
J'ai payé la franchise de 120 euros.
Après plusieurs recommandés et  2 mises en demeure restées vaines j'ai résilié aujourd'hui tous les contrats en cours et je vais assigné la Macif en justice. ASSUREUR MEPRISANT A FUIR</t>
  </si>
  <si>
    <t>02/05/2018</t>
  </si>
  <si>
    <t>01/05/2018</t>
  </si>
  <si>
    <t>kpi-63221</t>
  </si>
  <si>
    <t>Dégât des eaux dû au gel, l'expert désigné (polyexpert) passe et nous annonce un montant de remboursement de 3000€ versé sous 10 jours. Il nous dit de faire les travaux immédiatement et quelques jours plus tard, la MACIF refuse la prise en charge. L'expert a retourné sa veste....
La MACIF ne veut rien entendre.... Impossible de discuter avec expert ou MACIF....On nous demande de faire une contre-expertise.</t>
  </si>
  <si>
    <t>13/04/2018</t>
  </si>
  <si>
    <t>01/04/2018</t>
  </si>
  <si>
    <t>vero-63043</t>
  </si>
  <si>
    <t>Suite à un cambriolage la Macif Refuse de nous rembourser les dégâts et les vols... fenêtre cassée vitre brisée ...c est incompréhensible..nos fenêtres sont toutes de très bonne qualité 2800€ par fenêtre visiblement pas assez pour laMacif...Le Bris de vitre est rembourse par toute les assurances réparation pour nous 600€ euros remboursement zéro....</t>
  </si>
  <si>
    <t>07/04/2018</t>
  </si>
  <si>
    <t>kiki-58784</t>
  </si>
  <si>
    <t>Pas de réponse ou réponse tardive concernant la messagerie. Sinistre 31/07/2017 dossier encore en cours</t>
  </si>
  <si>
    <t>13/11/2017</t>
  </si>
  <si>
    <t>01/11/2017</t>
  </si>
  <si>
    <t>ln-58391</t>
  </si>
  <si>
    <t>Dégâts des eaux déclaré le 7 aout et 25 octobre toujours pas de nouvelles concernant le remboursement ou pas même si il est précisé que les dégâts du sol sont pris en charge et bien non devis trop cher...
2 experts sont passés et un plombier agréé macif qui a posé un rendez vous n est jamais venu?! Disparu malgres mes appel et mes messages 
Bref pitoyable pour un petit dégât des eaux d une simple douche!
Je résilie des mars prochain</t>
  </si>
  <si>
    <t>26/10/2017</t>
  </si>
  <si>
    <t>01/10/2017</t>
  </si>
  <si>
    <t>tahar-58362</t>
  </si>
  <si>
    <t>Agence de Bobigny dans le 93 tu les appelles pour un renseignement ta l'impression que tu les dérange je sais pas où il et recruter par contre je me suis déplace à l'agence il avait une fille sa va</t>
  </si>
  <si>
    <t>25/10/2017</t>
  </si>
  <si>
    <t>jeannot-46807</t>
  </si>
  <si>
    <t>conseil juridique nul J appelle pour un renseignement.On me dit patientez je me renseigne et au bout xxxxxx mn on me répond/ Je n'ai pas trouvé il faut appeler le juge???</t>
  </si>
  <si>
    <t>09/10/2017</t>
  </si>
  <si>
    <t>jo-57375</t>
  </si>
  <si>
    <t xml:space="preserve">Je suis tres tres decu du deroulement d'un sinistre survenu le 12 janvier pour etre tranquille j'ai fait appel à l'entreprise de maçonnerie agrée la macif les travaux sont une vraie castrophe.j'ai donc appelé compiegne à maintes reprises pour leur signaler mon 
mecontentement je n'ai pas vraiment été écouter épauler j'ai eu le ressentie que l'on 
retournait la situation contre moi , que j'é tait une menteuse et jusqu'à me dire que je n'étais 
pas assuré pour ma cloture. Mon dossier a commencé à bouger lorsque je suis allée voir
Une conseillere a l'agence de dieppe cette conseillere s' appelle JUDITH et grace à elle un expert est passé constater les dégats il en a conclut que c'etait déflorable qu'il fallait refaire tout le mur mon mur fait un plus de 4metres sur 3 rangés d'agglos cela devrait etre le B.A.B.A pour un maçon.  Aujourd'hui nous sommes le 15septembre et je suis toujours au meme point j'attends j'attends j'attends que la situation se débloque le weekend dernier j'ai failli perdre mon animal de compagnie in extremis car je n'ai pas de cloture .Je pensais etre entre de bonne mains chez mon assureur je tombe de haut . AUjourd'hui avec la concurrence une societe qui ne sait pas satisfaire ses clients peut tres vite se retrouver au fond du gouffre c'est le client qui fait tourner les affaires. Je n'ai plus espoir de grand chose ca fait 8 mois que ca dure. Je dois un grand merci à ma conseillere elle a fait tout son possible pour me satisfaire et debloquer le dossier et comme dans tout c'est toujours ceux qui sont en haut qui n'assurent pas qui s' endorment sur leurs lauriers après ils etonnent que lesclients vont voir ailleurs
une conseillère à l'agence de dieppe cette conseillère s' appelle JUDITH elle a su m'écouter 
et grace à elle un expert est venu constater les dégats il m'a dit que c'était dé florable 
</t>
  </si>
  <si>
    <t>15/09/2017</t>
  </si>
  <si>
    <t>01/09/2017</t>
  </si>
  <si>
    <t>michel-56968</t>
  </si>
  <si>
    <t xml:space="preserve">Sociétaire depuis plus de 30 ans, j’ai fait appel à la MACIF suite à un cambriolage.
 J’ai immédiatement déclaré ce sinistre par téléphone. Dans le flot d’informations et de démarches à effectuer en urgence, j’ai oublié de confirmer le sinistre par lettre recommandée dans un délai de 2 jours. Trop heureuse de cet oubli la MACIF m’a fait savoir qu’elle ne prendrait rien en charge. J’ai dû faire un courrier explicatif pour faire valoir mes droits à indemnisation. 
La MACIF m’a orienté sur l’entreprise MAG33 pour la sécurisation de la porte forcée. Pour ce faire, l’ouvrier de MAG33 a fait des dégâts dans l’encadrement maçonné qu’il a été incapable de réparer correctement par la suite.
La pose de la porte s’est faite avec de multiples contretemps.
1er rendez-vous :  la porte  était totalement différente de celle d’origine et à mon sens peu pratique.
Je l’ai donc refusée.
2ème rendez-vous :  la porte proposée était couleur miel et vernie. Le professionnel m’a assuré qu’elle ne pouvait être repeinte dans la bonne couleur.
Je vous passe les détails.  Je l’ai refusée.
3ème rendez-vous : la porte est posée plusieurs mois après mon cambriolage car las de cette attente, j’accepte plusieurs différences :  seuil de porte prévu pour être encastré dans le carrelage qui n’est pas encastré, vitre de la porte transparente au lieu de opaque, poignée  de porte beaucoup plus petite que celle d’origine et pose de l’ancienne poignée abimée.
En outre certains détails m’inquiètent sur la suite des travaux, dégâts de l’encadrement, plaques de BA13 posées approximativement, d’autant plus que j’ai une quantité limitée de tapisserie identique à l’ancienne et donc  l’impossibilité de me permettre un ratage. 
Rendez-vous est pris pour effectuer en un jour  les ponçages, la pose des joints de plaques, la peinture des plaques et la pose du papier peint avec les temps des différents séchages…
Rendez-vous  finalement annulé par MAG33 une semaine avant l’intervention.
 6 mois après mon cambriolage, saturé des mauvaises surprises de MAG33 et craignant d’en avoir de nouvelles, je décide de mettre fin aux interventions de cet entreprise.
Je contacte la MACIF pour obtenir de quoi faire ou faire faire les travaux ultérieurement par une autre entreprise de mon choix.
L’expert me contacte  par téléphone après m’avoir envoyé une feuille d’accord par mail. J’attire son attention sur une clause qui permettrait à la MACIF de me réclamer une franchise. L’expert me fait alors  remarquer que sur la feuille d’accord il est stipulé en toutes  lettres que la franchise de mon contrat est de 0€ et qu’il n’y a donc aucun soucis.
For de ce constat,  nous nous sommes mis d’accord pour que je perçoive pour solde de ce sinistre une indemnité de 504 €.
Peu de temps après je reçois une lettre de la MACIF qui accepte de me verser 504€ mais qui m’annonce une franchise de 120€...
Il fallait lire les petites lignes du contrat …
Que dois-je conclure de toute cette histoire ?
Qu’il ne faut jamais avoir confiance dans la MACIF sous peine de grosses déconvenues ?
OU
Que j’ai été victime d’un malheureux concours de circonstances qui sera vite résolu en ne me faisant pas payer la caution de 120 € (Avouez que pour une réputation ce n’est pas cher )
Vous ne manquerez pas d’informer les lecteurs de la conclusion de cette histoire.
A toutes fins utiles ma référence à rappeler est :
172843544/WIG004/WIG004
</t>
  </si>
  <si>
    <t>31/08/2017</t>
  </si>
  <si>
    <t>01/08/2017</t>
  </si>
  <si>
    <t>ttayech-30105</t>
  </si>
  <si>
    <t xml:space="preserve">Suite un Sinistre Foudre,je contacte la Macif pour déclaration Sinistre,déclaration ok, mais un expert doit me contacter sous 10 jours,14 jour après aucune nouvelle.
je contacte l'expert qui me demande les factures,chose fait dans la minute et il me dit nous vous contactons dans une semaine.
pas de nouvelle après 8jours, je rappel pas de trace de mes facture, renvoyer une fois de plus et il doivent me contacter dans une semaine.
si ma maison aurai était inhabitable j'aurai camper dans le jardin. inadmissible pour un prestataire qu'on paye pour ça </t>
  </si>
  <si>
    <t>26/08/2017</t>
  </si>
  <si>
    <t>mbouv-56859</t>
  </si>
  <si>
    <t>Sociétaire depuis près de 20 ans, la relation clientèle lors d'un récent cambriolage a été plus que négative. Au final, lors du seul événement que la
Macif a eu à gérer le résultat est nul. Plutôt que de vous démontrer que vous n'êtes pas qu'un numéro mais bien un client et que vous méritez d'être suivi, la macif brille en vous laissant ce sentiment de vous être fait volé une seconde fois et ce tous les ans. Je change donc d'assurance....</t>
  </si>
  <si>
    <t>24/08/2017</t>
  </si>
  <si>
    <t>buzzi91-56110</t>
  </si>
  <si>
    <t>Bonjour,
J'ai été victime d'un incendie au domicile que je loue, et je dois dire que la Macif a été en dessous de tout.
J'ai eu le droit à trois nuit à l'hôtel car je ne pouvez plus habiter le domicile, mais après il a fallu appeler un autre service, après plusieurs personnes, je comprends qu'il faut que je paie mon loyer du domicile sinistré et que j'avance le loyer de mon relogement...impossible pour moi, donc j'ai logé chez des amis. Après le passage de l'expert, La propriétaire a dut se débrouiller seule à faire plusieurs devis avec différentes entreprises, une galère. Elle a due avancer les travaux et se faire remourser sur facture. Pour mon préjudice, j'ai été dédommagé après six mois, et j'ai dut relancer la Macif plusieurs fois, de plus j'ai perçu une somme ridicule pour un lave linge et un sèche linge, avec l'indemnisation je ne pouvais même pas acheter un des deux. J'ai écrit à la Macif en leur envoyant un chèque du montant des indemnités et leur expliquant mon ressenti. La Macif a encaissé le chèque.
Je suis plus traumatisé par le comportement de la Macif que par l'incendie.</t>
  </si>
  <si>
    <t>19/07/2017</t>
  </si>
  <si>
    <t>01/07/2017</t>
  </si>
  <si>
    <t>kinou8381-55846</t>
  </si>
  <si>
    <t>Employés très aimables et Compétents ,tant en agence que par téléphone . tarif très correct , et en cas de sinistre aucun soucis ,contacter par expert très rapidement et rendez vous pris de même rapidement que demander de plus.</t>
  </si>
  <si>
    <t>06/07/2017</t>
  </si>
  <si>
    <t>saveriu-55239</t>
  </si>
  <si>
    <t>Quarante ans d’assurances sans aucun accident ou problème de vol de dégats  MAisons résidences secondaires, voitures, motos.., ou autre incident quelconque  Demande d'assurer un bien immobilier en Corse ou j'ai ma résidence principale mais assurée par ma femme à une autre compagnie puisqu'elle en est propriétaire la Corse  qui comme chacun le sait n'est pas la république française Première demande pas de réponse sur le site  deuxième demande pas de réponse appel je dois saisir par mail le site ne sert à rien pour une demande en Corse mais faut le savoir rien ne l'indique  mail fait relance pas de réponse à mes mails  passage au bureau de la MACIF à Bastia pour s'entendre dire que si il n'y as pas de réponse c'est que c'est négatif  On se fout du sociétaire à la MACIF. Conclusion changement d'assureur envisagé pou  Moi et tous ceux de ma famille et assurance prise à la concurrence.</t>
  </si>
  <si>
    <t>09/06/2017</t>
  </si>
  <si>
    <t>01/06/2017</t>
  </si>
  <si>
    <t>tontonbubu-54321</t>
  </si>
  <si>
    <t>toujours present</t>
  </si>
  <si>
    <t>26/04/2017</t>
  </si>
  <si>
    <t>01/04/2017</t>
  </si>
  <si>
    <t>domyves-53965</t>
  </si>
  <si>
    <t xml:space="preserve">Assuré depuis plus de 20 ans chez cet assureur, il n'assure  plus la prise en charge et la réparation de dégâts dues aux intempéries sur les anciens contrats. </t>
  </si>
  <si>
    <t>10/04/2017</t>
  </si>
  <si>
    <t>claudine-52555</t>
  </si>
  <si>
    <t>En 25 ans pas un sinistre. Ai du demander une simple attestaion alors la plus personne. Ni sur facebook ni au tel. Accueuil digne des plateformes a l autre bout du monde. Cela devient un refus de delivrer in document. Legal ???</t>
  </si>
  <si>
    <t>18/02/2017</t>
  </si>
  <si>
    <t>01/02/2017</t>
  </si>
  <si>
    <t>nath-52437</t>
  </si>
  <si>
    <t>c'est malheureux mais il faut mentir ma fille s est fait cambrioler a Barcelone mais comme elle y était pour ses études (que 3 mois) ils n ont rien voulut rembourser en fait il faut y être en vacances on est SOIT DISANT assurer 90 jours a l étranger et la ça faisait 15 jours .....encore une assurance qui joue sur les mots....pas sérieux....</t>
  </si>
  <si>
    <t>15/02/2017</t>
  </si>
  <si>
    <t>magali-rat-50009</t>
  </si>
  <si>
    <t>Je recommande la Macif dès que j'en ai l'occasion.</t>
  </si>
  <si>
    <t>07/12/2016</t>
  </si>
  <si>
    <t>01/12/2016</t>
  </si>
  <si>
    <t>clara-49901</t>
  </si>
  <si>
    <t xml:space="preserve">Je suis assurée à la MACIF depuis plus de 25 ans. Aujourd'hui, victime d'un dégâts des eaux, provenant de mon voisin du dessus, je tente désespérément de joindre la MACIF afin que l'on me face parvenir un simple formulaire de dégât des eaux. On commence par me demander de rappeler plus tard, au deuxième coup de fil, on me raccroche au nez, au 3ème,4ème et 5ème appel on refuse de traiter ma demande et on me demande de rappeler plus tard ou le lendemain. Quelle HONTE de traité ainsi ses assurés et je dirais même quelle incompétence face à une simple demande! Quand je demande à parler avec un responsable on refuse de me le passer et même de me donner un nom, très probablement de peur que que leur supérieur découvre l'incompétence de leur employés.  </t>
  </si>
  <si>
    <t>05/12/2016</t>
  </si>
  <si>
    <t>steffy-138643</t>
  </si>
  <si>
    <t xml:space="preserve">Très déçue car je viens de recevoir un recommandé m’annonçant la résiliation de mon contrat pour altérations des relations commerciales que je ne comprends pas 
Sur quoi la MAIF se base  pour résilier les contrats mais je suis très très déçue </t>
  </si>
  <si>
    <t>MAIF</t>
  </si>
  <si>
    <t>30/10/2021</t>
  </si>
  <si>
    <t>01/10/2021</t>
  </si>
  <si>
    <t>bim-138012</t>
  </si>
  <si>
    <t xml:space="preserve">Après 27 ans chez la Maif je constate que pour une porte fenêtre cassée a cause d un courant d air, mon assureur ne réagit pas et me laisser sans nouvelles. En effet, j ai contacté un ouvrier qui est intervenu dans la journée pour m établir un devis et commander les vitres seulement la Maif ne répond toujours pas après 15 jours sans fenêtre et le froid qui est de plus important . Voilà la récompense d être fidèle à la Maif sans sinistre. Vous avez le droit de payer 27 ans mais ATTENTION le jour où vous devez les solliciter, plus personne de cordial au bout de fil . Je déconseille fortement de payer un mois chez eux, d’ailleurs je quitte pour plus sûr et moins cher. </t>
  </si>
  <si>
    <t>21/10/2021</t>
  </si>
  <si>
    <t>eman-102274</t>
  </si>
  <si>
    <t>Manque total de réactivité, impossibilité de connaître malgré plusieurs appels depuis 2 semaines. Ne défend pas correctement ses assurés, ni à les satisfaire</t>
  </si>
  <si>
    <t>26/09/2021</t>
  </si>
  <si>
    <t>01/09/2021</t>
  </si>
  <si>
    <t>breizh56-65510</t>
  </si>
  <si>
    <t>J'ai un contrat d'assistance juridique avec la MAIF. Je pose des questions sur la procedure de licenciement d'une employée de maison et au bout de 5 questions, la personne au bout du fil me dit qu'il faut que je contacte un avocat. Hubuesque, si j'ai souscrit une assistance juridique c'est justement pour que la Maif prenne en compte ma démarche au global. 
Bref si vous avez besoin de rien, vous pouvez les appeler  !!!!</t>
  </si>
  <si>
    <t>12/07/2021</t>
  </si>
  <si>
    <t>01/07/2021</t>
  </si>
  <si>
    <t>toto13-57187</t>
  </si>
  <si>
    <t xml:space="preserve">La Maif est performante en assurance automobile. Pour l'habitation fuyez : j'ai vécu et vis encore un cauchemard. Nos voisins multiplient les travaux illégaux et les sinistres. Nous avons fait condamner ces gens là mais rien ne les arrêtent. L'entrevue que j'ai eu avec la militante (une sorte de médiatrice interne Maif) m'a dit comment avez vous fait pour ne pas Péter les plombs?  Et en fin de compte, l'usure, les dizaines de relances, les constats d'huissier, les frais de justice que nous avons dû payer, en partie à cause de l'inertie de l'assurance qui n'a jamais voulu envoyer un expert pour évaluer tous les travaux entrepris par nos voisins.... Ce que j'ai compris c'est que vous pousser à bout est une tactique de la Maif. En effet, au bout de dizaines et dizaine de coups de fils, couriels etc... vous allez laisser tomber la demande de remboursement. C'est une honte, ce d'autant que dans mon cas, j'ai même proposé de me désister de toute actions contre la Maif en échange d'une maigre évaluation de travaux qui ne tient évidemment pas compte des conséquences désastreuses de l'absence de protection de la Maif... </t>
  </si>
  <si>
    <t>09/06/2021</t>
  </si>
  <si>
    <t>01/06/2021</t>
  </si>
  <si>
    <t>mm-113140</t>
  </si>
  <si>
    <t>Je suis sociétaire Maif depuis près de 30 ans pour des contrats, habitation, véhicules, ... sans jamais un sinistre responsable. Très déçu par leur manière de traiter un dossier de sinistre avec tiers en cause, par le manque d'écoute, de réponses, de considération et de solutions constructives. Les conclusions d'expertise sont  partielles et inadaptées avec une indemnité proposée ne permettant pas de refaire les travaux. Je m'interroge sur l'interet et le libre arbitre de cette compagnie d'assurance qui préfère écouter les "cacans" de voisinage relayés par un expert qui outrepasse sa fonction, que de faire le travail demandé, c'est a dire relever factuellement les dégâts et les chiffrer tous.  Pourquoi la MAIF s'obstine à ne pas reconnaître des propos déplacés d'experts (qui en plus d 'être peu fiables ne comprennent pas les contrats) , à ne pas reconnaître des "oublis", pourtant factuellement justifies sur le terrain et par photo ?  Pourquoi nuire aux intérêts de leurs sociétaires, surtout avec un tiers en cause ? Pourquoi minimiser l'indemnisation ne permettant pas les travaux de reconstruction en nous contraignant vraisemblablement à la saisie de la justice ? Persuadés d'être a l'écoute, cette compagnie n'a de mutualiste que le nom et n'est que dans le commerce de bas étage, sans interlocuteur physique.</t>
  </si>
  <si>
    <t>09/05/2021</t>
  </si>
  <si>
    <t>01/05/2021</t>
  </si>
  <si>
    <t>jf60-112810</t>
  </si>
  <si>
    <t xml:space="preserve">Je suis sociétaire Maif depuis près de 40 ans pour des contrats, habitation, véhicules , accidents domestiques, sans jamais un sinistre responsable. Je suis déçu par leur manière et approche de traiter un dossier de sinistre incendie en cours, par le manque d'écoute, de réponses, de considération et de solutions constructives. Les conclusions d'expertise pour la reconstruction à l'identique sont inadaptées pour une maison ancienne en pierre de taille, et ils le savent parfaitement, avec une indemnité proposée ne permettant pas de refaire les travaux à l'identique par un professionnel du bâtiment au tarif minimal et ce de manière déclarée.Le montant du sinistre me semble pas très important et je ne comprends pas pourquoi la MAIF s'obstine à ne pas reconnaître des propos déplacés d'experts, des oublis, des manœuvres intimidantes, ses maladresses qui s'accumulent, une certaine arrogance  et des erreurs d’appréciation qui renforcent mon esprit de questionnement et un ressenti de volonté de nuire aux intérêts de leurs sociétaires. Ils sont persuadés de faire le bien, d’être a l’écoute, mais ils ne dérogent pas à une démarche destructive, mettant à mal le moral de ses sociétaires, déjà traumatisés par un sinistre où ils ont failli perdre leur maison, et leur vie. Je me pose des questions si nous avions perdu notre maison et notre vie. Et pourtant, j'essaie de les aider au maximum en faisant venir des professionnels du bâtiment ancien, en me documentant et en apportant des explications et des solutions simples, sans la volonté du surenchère, mais avec l'idée de ne pas s’appauvrir ou de faire les travaux par un artisan peu scrupuleux et de manière non déclarée et sans facture. Je ne retrouve pas l'esprit mutualiste, le sens des responsabilités et la qualité relationnelle envers des victimes, forcement meurtries et affectées en nous prenant comme des simples clients qui n'ont rien à dire avec des esprits inférieurs. </t>
  </si>
  <si>
    <t>06/05/2021</t>
  </si>
  <si>
    <t>felcat--108499</t>
  </si>
  <si>
    <t xml:space="preserve">J’ai été cambriolé fin novembre 2020
La Maif m’a demandé d’apporter le maximum de preuves yc photos ... elle a diligenté un expert puis l’indemnisation est arrivée à la hauteur de mes attentes car pour certains objets je ne possédais aucune preuve 
La mise en sécurité de la porte a été immédiatement remboursée.
Pour la serrurerie et la menuiserie, le remboursement a été à l’exacte hauteur du devis fourni par le serrurier privé.
Le contact avec le service Maif a été excellent et très à l’écoute de nos problèmes. Je les remercie vivement.
F.Jolivet </t>
  </si>
  <si>
    <t>30/03/2021</t>
  </si>
  <si>
    <t>01/03/2021</t>
  </si>
  <si>
    <t>jugiu-108103</t>
  </si>
  <si>
    <t>À la Maif depuis 11 ans, j'ai cotisé plusieurs milliers d'euros. J'ai été cambriolé il y a 1 mois et la maif n'a quasiment rien remboursé mais à encaissé une franchise. Aucune aide non plus pour le serrurier. Bref, nous avons tout perdu et la maif nous enfonce davantage.</t>
  </si>
  <si>
    <t>26/03/2021</t>
  </si>
  <si>
    <t>jb-106527</t>
  </si>
  <si>
    <t>J'ai déclaré un sinistre à la MAIF concernant les dégâts et dégradations dans une location.
Après de multiples tentatives écrites et orales en vue de démêler une situation simple, rendue inextricable par cet assureur se disant mutualiste, celui-ci a clôturé le dossier.
La MAIF, malgré la souscription d'une assurance propriétaire bailleur, trouve toujours un motif pour ne pas prendre le sinistre en compte, avec le soutien d'experts et de mandataires.
Assuré depuis plus de 40 ans, cet assureur mutualiste traite ses assurés avec mépris, et se montre d'une incorrection la plus totale.
Les appels ne donnent rien, n'ayant jamais la même personne au téléphone, avec des interprétations différentes et bien souvent contradictoires.
Ne voulant pas détaillé plus longuement l'incompétence de la MAIF dans ce domaine, je pense qu'au vu des cotisations demandées, qui sont très élevées, celles-ci ne sont pas justifiées.
J'ai perdu toute confiance dans les relations, la gestion des sinistres, ainsi que la perte de leur part des fichiers administratifs et contrat d'assurance.
De ce fait, j'ai décidé de changer d'assureur, ce dernier me propose des garanties supérieures et une prime bien inférieure.
Je considère que la gestion de ce sinistre n'a pas été traitée dans le respect des conditions générales prévues au contrat et des justificatifs que nous pouvons produire.
La MAIF est une assurance complétement déconnectée de son rôle, et oeuvre contre ses mutualistes.
Aussi je conseille vivement de fuir cette assurance comme beaucoup de sociétaires l'ont déjà fait.
NOTATION = 00.</t>
  </si>
  <si>
    <t>14/03/2021</t>
  </si>
  <si>
    <t>labiloute-82219</t>
  </si>
  <si>
    <t xml:space="preserve">L'assurance juridique de la MAIF ne se déclenche que pour un contentieux supérieur à 675 €
J'ai eu un litige avec un site marchand de 756 €.
La Maif m'a donc assisté tout naturellement.
J'avais déjà engagé une démarche auprès du site marchand pour me faire remboursé au titre légal de non conformité.
Le site marchand m'a fait un remboursement partiel de 301 €.
Et bien L'assistance juridique de la Maif a fait une soustraction 756 e - 301 € 
                            </t>
  </si>
  <si>
    <t>10/03/2021</t>
  </si>
  <si>
    <t>carentan-101422</t>
  </si>
  <si>
    <t>Bonjour, plus de 4 mois après un sinistre ( et 4 relances) , et un mois après le passage de l'expert qui avait mis en avant le fait que de vents de plus de 96 km/h et un terrain gorgé d'eau avait été la cause de la chute de 1 arbre de notre jardin sur la propriété du voisin, nous n'avons eu aucun retour de la maif plus prompt à faire de la pub à la télé que d' assurer leur clients!!! quel dommage !!! par contre le personnel est sympa au téléphone et répond toujours que tout va bien dans le meilleur des mondes mais que les arbres ne sont pas couverts par les assurances même en cas de catastrophes naturelles..... on pourrait dire Blah, Blah Blah..1000 tracas pour la maif</t>
  </si>
  <si>
    <t>xavierh-104513</t>
  </si>
  <si>
    <t xml:space="preserve">Un dégât des eaux pas réglé depuis 7 ans. Un expert qui tire tous les prix des travaux vers le bas et qui mentionne dans son rapport que des fuites persisteraient de chez mon voisin du dessus sans avoir visité son appartement. Après rencontre de mon voisin, ce dernier a clairement indiqué qu'il n'y avait pas de fuites. Un expert qui refuse de me répondre lorsque je lui pose des questions sur les conditions de relogement 4 jours avant le début des travaux. Un service réclamation qui ne me contacte pas. Que dire de plus ? </t>
  </si>
  <si>
    <t>20/02/2021</t>
  </si>
  <si>
    <t>01/02/2021</t>
  </si>
  <si>
    <t>ggpaut-104328</t>
  </si>
  <si>
    <t>En agence comme à Niort : ne répond pas aux courriers (même envoyés en avec AC )
Vous sollicite pour déclarer beaucoup d'objets précieux mais ne rembourse rien ou presque.
Exemple : Montre gousset chronomètre or : 80 euros (valeur réelle minimum 1500 !)
Collier 80 gr or : 100 euros ! etc etc
Mais je reconnais que c'est une des seules assurance qui ne rembourse pas les LOUIS d'OR et qui vous propose pourtant une indemnité de 0,01 € par pièce !!!
Leur experte semble plus experte  dans la maçonnerie que dans la bijouterie !
Les agences vous promettent des rendez-vous avec des conseillers mais ne répondent pas à vos courriers et à vos questions.
Tarifs très élevés pour un service nul et des montants de remboursements honteux.
A fuir...</t>
  </si>
  <si>
    <t>17/02/2021</t>
  </si>
  <si>
    <t>hirondelle17-103659</t>
  </si>
  <si>
    <t xml:space="preserve">J'ai été très déçu par MAÏF habitation, car le jour où des problèmes nous sont arrivés, ceux-ci n'ont aucunement défendu nos intérêts, mais pire que cela, lorsque nous avons été en justice contre la Société mis en cause, la MAÏF a diligenté un avocat contre nos intérêts.
Ne s'arrêtant pas là, il nous ont exclus de l'assurance sans aucun motif.
Mais au final, nous avons gagné toute la longue procédure, et avons contracté une autre assurance plus fiable.
</t>
  </si>
  <si>
    <t>04/02/2021</t>
  </si>
  <si>
    <t>clientmecontent70-103134</t>
  </si>
  <si>
    <t>Assurance extrêmement chère. Totalement inefficace notamment l’assistance juridique.
Quand on en a besoin tout est exclu, ou on apprend qu’il y a un délai de carence qu’on nous a jamais signalé.
J’ai un dégâts des eaux non réglé depuis mars 2020. Le pire c’est que l’entreprise responsable ne conteste pas le montant du devis, c’est l’expert maif de chez poly expert totalement incompétent et suspicieux alors que je n’y suis pour rien, qui sous estime largement le préjudice en se basant sur des prix du marché imaginaires qu’il a inventé. Je passe à la concurrence...</t>
  </si>
  <si>
    <t>23/01/2021</t>
  </si>
  <si>
    <t>01/01/2021</t>
  </si>
  <si>
    <t>phil-70-103041</t>
  </si>
  <si>
    <t>Moi aussi, je recommandais la Maif...Nous sommes fidèles à la Maif depuis plus de 30 ans. Peu de sinistres...on était en confiance , on avait foi en la philosophie mutualiste. on l'a recommandée à notre fille et nos proches...En décembre 2020, suite à un petit sinistre, paroi de douche brisée sans qu'on en connaisse la cause puisqu'il n'y avait personne dans la pièce, on nous annonce par tel avec no "inconnu" que ce n'est pas pris en charge car il faut un élément extérieur...J'en conclus qu'il aurait fallu inventer une cause, mais passons…
A la suite de cet incident, j'ai eu envie de faire le point avec la Maif histoire d'actualiser et d'être bien dans les clous en cas de sinistre. Depuis le 12 Décembre, c'est infernal...Des heures au téléphone avec des conseillères de bonne volonté mais qui ne connaissent pas le dossier et doivent en référer au siège. J'ai aussi écrit mais les gens du siège ne prennent pas la peine de m'appeler directement...J'ai des questions sans réponse et une demande d'attestation en attente depuis 1 mois...Décidément, je suis déçu! Qu'en sera-t-il en cas de sinistre. La Maif a perdu son âme. Le business a pris le dessus sur l'humain.
Quel dommage</t>
  </si>
  <si>
    <t>21/01/2021</t>
  </si>
  <si>
    <t>mf54-102771</t>
  </si>
  <si>
    <t>Ma belle-fille est enfermée avec son fils depuis hier après-midi chez elle, dans un appartement en deuxième étage, car la porte d'entrée n'ouvre plus suite à un acte de vandalisme. 
Contactée, la Maif a mis ma belle-fille en contact avec un serrurier, qui a dit qu'il passerait le lendemain, c'est à dire aujourd'hui. LA MAIF a annoncé qu'elle ne prendrait en charge que le déplacement du serrurier et une heure de main d'oeuvre. Ce matin la Lorraine est recouverte de neige, le serrurier, plutôt que de se déplacer, demande qu'on lui envoie des photos de la porte, vue de l'intérieur. Au vu des photos, le serrurier déclare qu'il ne pourra rien faire, car pour pouvoir intervenir, il faudrait selon lui être à l'intérieur de l'appartement. Nous soupçonnons ce Monsieur ne raconter n'importe quoi pour rester au chaud sous la couette en ce beau dimanche plutôt que de sillonner des routes enneigées ou verglacées. Recontactée, la MAIF nous dit en gros de nous démerder par nos propres moyens. A nous de trouver un serrurier. Et de le payer. Et de leur envoyer la facture, que la MAIF n'acquittera que dans la limite d'une certaine somme énigmatique, correspondant au déplacement et à une heure de main d'oeuvre.
C'est une honte.</t>
  </si>
  <si>
    <t>17/01/2021</t>
  </si>
  <si>
    <t>phi-101584</t>
  </si>
  <si>
    <t xml:space="preserve">Depuis 40 ans à la MAIF, avec plusieurs appartements désormais, je n'ai absolument aucun reproche à faire. L'assistance juridique m'a sauvé la mise avec ténécité et professionalisme lors des déboires rencontrés avec un constructeur défaillant, 3 dégats des eaux réglés rapidement; Ils ne rechignent pas en cherchant la petite bête pour les remboursements. joignables sans difficultés et sans payer.
Je n'ai pas vu mieux ailleurs chez mes amis, mais j'ai vu bien pire. 
Je n'ai mis que 3 *  pour le prix car pour les grandes maisons, ils sont un peu chers. </t>
  </si>
  <si>
    <t>17/12/2020</t>
  </si>
  <si>
    <t>01/12/2020</t>
  </si>
  <si>
    <t>diotime-101363</t>
  </si>
  <si>
    <t xml:space="preserve">Je suis sociétaire à la MAIF depuis 30 ans pour assurer mon logement et j'ai souscrit à la formule dite Equilibre, l'avant-dernière par ordre croissant de prix et de garanties. Je paie pour un 2 pièces parisien 520 euros/an (pour des biens assurés jusqu'à 82 000 euros). Je découvre que la Maif propose à ses nouveaux adhérents de nouvelles formules (il n'y en a plus que 3 au lieu des 4 anciennes) moins chères et comportant des garanties dont je ne dispose pas (réparation d'appareils électroménagers par ex ou assurance sur les produits nomades) et à des prix moins élevés. Je trouve scandaleux qu'on ne m'ait pas proposé ces nouvelles garanties. </t>
  </si>
  <si>
    <t>12/12/2020</t>
  </si>
  <si>
    <t>anne-101034</t>
  </si>
  <si>
    <t>40 ans de fidélité. Tout ça pour qu'au premier dégâts des eaux on m'envoie un expert odieux, qui n'est reste qu'un quart d'heure. A cherché a me faire croire que j'étais obligée accepter une réparation en passage apparent des tuyaux. Devant mon refus catégorique de défigurer la chambre et ma.maison avec des tuyaux partout l'expert part en claquant la porte et me menace de me pourrir la vie (pour l'instant elle y parvient très bien) Et la MAIF qui joue le jeu. Le problème n'avance pas. Les dégâts liés aux sinistre s'aggravent de jours en jour. On ne peut ni se laver ni faire une machine. La MAIF propose un hébergement à hauteur de ma valeur locative (je ne veux pas être reloger je veux que mon dégât soit pris en charge, je paye pour ça, les sociétaires ne sont pas les vaches a lait qui me paieront l'hotel) Tout ça pour un devis de plombier a 600€ et la prise en charge des dégâts dus a la recherche de fuite prévue dans mon contrat. Un mois que ça dure et aucun délai de fourni. La maif en est encore a demander des précisions a l'expert.!!! De qui se moquer t'on. Je suis tellement déçu après tant d'années de collaboration cordiales. J'ai recommandé MAIF a tous ceux qui me demandait , et ils ont suivi, mais aujourd'hui je me demande pourquoi la.maif fait appel a un cabinet d'experts notoirement connu en mal ( j'aurais du faire mes recherche internet avant j'aurai vu que 83% des assurés pensent comme moi aujourd'hui de ce cabinet d'experts Eurexo). Tellement déçu!!!!</t>
  </si>
  <si>
    <t>07/12/2020</t>
  </si>
  <si>
    <t>ludace-100907</t>
  </si>
  <si>
    <t>Dans l'ensemble, plutôt satisfait de la Maif: j'ai eu de nombreux sinistres dans mon appartement parisien et je n'ai eu que de bonnes réactivités de la part de cette assurance habitation: personnel toujours disponible et à l'écoute. Dernièrement, un sinistre ancien mais ayant été mis trop longtemps en attente par mes propriétaires (et donc classé sans suite) a été réactivé. L'année dernière on m'a proposé une entreprise que j'ai refusée pour des travaux que j'estimais médiocres, on m'en a proposé une autre. En trente ans, je n'ai vu aucun de mes sinistres non pris en compte par la Maif. J'en suis donc très satisfait.
Petit bémol: certains des interlocuteurs peuvent se transformer en VRP pour essayer de vous vendre une assurance-vie ou autre. A vous de ne pas vous laisser distraire!</t>
  </si>
  <si>
    <t>03/12/2020</t>
  </si>
  <si>
    <t>xerus-99488</t>
  </si>
  <si>
    <t>À ma surprise, après 33 ans de souscription à l'assurance MAIF, je viens de recevoir le 30/10/2020 un courrier m'informant de la résiliation de tous mes contrats (voiture x3, maison, appartement) pour altération des relations commerciales sans aucune précision du motif réel et justifié qui a poussé la MAIF à prendre cette décision arbitraire, injuste et incompréhensible. Le plus surprenant dans cette histoire est que mes relations avec la MAIF ont toujours été cordiales, courtoises et respectueuses ! 
Si la MAIF a certes le droit de rompre nos contrats de manière si brutale, est-il cependant acceptable éthiquement et moralement de mettre les gens dans l'embarras et de jouer ce jeu antinomique avec toutes les règles morales des institutions telles que la MAIF ? Pourrais-je un jour avoir concrètement une réponse m'indiquant le motif sérieux autre que l'altération des relations commerciales ? Que veut dire le directeur de la MAIF par le concept de l'altération des relations commerciales ? Pourrait-il mettre un autre vocable plus clair et palpable afin qu'on puisse déterminer l'agent de l'altération de ces relations commerciales ? Comment explique le directeur de la MAIF l'indifférence et le mépris pour ces assurés lorsqu'il correspond avec son assuré sans savoir s'il s'agit d'un M, d'une Mme ou d'une Mlle ? Et cela, je le répète, après plus de 30 ans de souscription à leurs services !!!!!</t>
  </si>
  <si>
    <t>01/11/2020</t>
  </si>
  <si>
    <t>diou-99404</t>
  </si>
  <si>
    <t>Étant sociétaire depuis plus d une dizaine d années à la maif je viens de recevoir un courrier m informant de la résiliation pour altération de la relation commerciale . Je n ai bien sûr reçu aucune précision concernant cette altération et de plus je tiens à préciser  n avoir  subi aucun sinistre aux cours de cette année.  Merci la maif . Où sont les valeurs mutualistes ?</t>
  </si>
  <si>
    <t>30/10/2020</t>
  </si>
  <si>
    <t>01/10/2020</t>
  </si>
  <si>
    <t>hatsudai-99395</t>
  </si>
  <si>
    <t xml:space="preserve">je déconseille fortement cette compagnie d'assurances à quiconque.
la qualité de service rendue au client est juste lamentable.
Il y a d'abord eu l'impossibilité de faire prendre en charge les travaux dans ma salle de bains à hauteur des dommages réels.
Puis l'impossibilité de faire assurer une maison en bord de mer sous prétexte qu'elle est en zone inondable. 
Tout est basé sur la com. la maif soit disant "assureur militant" s'est révélée absente au moment ou j'avais besoin de son aide. Le système de militants qui défendraient soit-disant les intérêts des sociétaires s'est révélé juste totalement bidon.
Renseignements pris dans mon cercle amical je découvre que beaucoup de mes proches sont déçus et peu satisfaits des services de la Maif.
A EVITER ABSOLUMENT
 </t>
  </si>
  <si>
    <t>la-prevention-connait-pas-98913</t>
  </si>
  <si>
    <t>Nous sommes à la Maif depuis toujours. Il se trouve qu'il y a deux semaines, suite aux fortes intempéries sur notre commune, nous avons un gros saule pleureur qui s'est littéralement fendu en deux et qui, en tombant, a arraché plusieurs branches d'un autre saule pleureur, tout aussi gros, qui se trouve à côté, à quelques mètres de distance.
Heureusement, tout est tombé sur notre terrain, à la limite d'autres terrains habités.
En voyant l'étendue des dégâts, nous avons immédiatement contacté une entreprise spécialisée que nous connaissions déjà, ayant fait appel à eux pour des travaux sur d'autres arbres. 
Le professionnel en question nous a dit qu'il fallait abattre ces 2 saules pour sécuriser la zone vis-à-vis de nos voisins.
C'est ce que nous avons fait en réglant la facture de 4500 €  
Nous avons contacté la Maif et on nous a répondu que nous n'avions droit à aucun remboursement ayant agi en "prévention" d'un risque. En effet, il aurait fallu attendre que ces 2 arbres s'abattent chez nos voisins pour que la Maif puisse les rembourser des dégâts ainsi occasionnés via notre garantie responsabilité civile. De notre côté, toujours rien mais la facture du professionnel aurait été beaucoup moins élevée car il est plus facile de découper un arbre à terre plutôt que de devoir procéder à son démontage à plus de 20 mètres de haut.
Par conséquent, j'en déduis qu'à la Maif, il vaut mieux attendre que le sinistre se produise plutôt que de le prévenir. 
Donc, de l'autre côté de notre terrain, là où il y a un gros bouleau qui menace de tomber sur une pâture avec des chevaux, je suppose qu'il faudra attendre aussi que le sinistre se produise pour que nous ayons une facture moins élevée à payer à l'entreprise d'abattage. Même au téléphone, on nous a dit:« Je sais, c'est aberrant, mais c'est la position de la Maif » 
Nous en sommes très déçus et nous posons la question de savoir si, ailleurs, la prévention est aussi mal reconnue.</t>
  </si>
  <si>
    <t>19/10/2020</t>
  </si>
  <si>
    <t>llefevre--98879</t>
  </si>
  <si>
    <t xml:space="preserve">Depuis 30 ans à la maif, je viens d’avoir un premier sinistre. Des gens gentils mais incompétents. Après un feu d’huile, l’expert ne passe qu’après la décontamination et la décontamination attend l’avis de l’expert. C’est juste dingue. Quelle déception ! Cette assurance est à fuir. Après le sinistre, je changerai. </t>
  </si>
  <si>
    <t>18/10/2020</t>
  </si>
  <si>
    <t>cpbar--97662</t>
  </si>
  <si>
    <t>Bonjour, suite à un dégât des eaux traitement du dossier et accueil lamentable ( j'avais l'impression d'une enquête de police ... ) tout çà pour m'entendre dire qu'un expert "allait vérifier tout celà" !!! ( assuré depuis plus de 20 ans chez cet assureur ... ) . Plus d'un mois après le sinistre je n'ai toujours aucun rendez vous d'expert et aucune réponse de la MAIF.
Bref je vais trouver beaucoup moins cher pour un service identique.</t>
  </si>
  <si>
    <t>21/09/2020</t>
  </si>
  <si>
    <t>01/09/2020</t>
  </si>
  <si>
    <t>seb89-96676</t>
  </si>
  <si>
    <t>Réactivité, écoute et crédit porté à la parole de l'assuré!! Les différents interlocuteurs ont été efficaces et rapides dans le traitement du sinistre habitation (coupure de courant) ayant entrainé l'arrêt des 3 frigos et une panne électrique sur la régulation du chauffage.
Rassurant, reposant quand on arrive de vacances avec cette mauvaise surprise.</t>
  </si>
  <si>
    <t>26/08/2020</t>
  </si>
  <si>
    <t>01/08/2020</t>
  </si>
  <si>
    <t>isaline--96178</t>
  </si>
  <si>
    <t xml:space="preserve">je ne peut pas être en total accore avec eux pour mon assurance habitation .
quand on demande a se que il y ai des membres de la famille qui soie assure dans la maison 
</t>
  </si>
  <si>
    <t>11/08/2020</t>
  </si>
  <si>
    <t>coupat-51116</t>
  </si>
  <si>
    <t>fissures sécheresse
expert demande micropieux
maif propose,comme cest tres cher DANS L ESPRIT MUTUALISTE de ne faire que des renforcements
en nous disant que tout serait pris en charge(jardin peinture sols etc) si les fissures revenaient
(5 ans plus tard  fissures,,,
reponse maif:dossier perdu,faut faire une nouvelle declaration,,,avec nouvelle franchise,,,</t>
  </si>
  <si>
    <t>02/07/2020</t>
  </si>
  <si>
    <t>01/07/2020</t>
  </si>
  <si>
    <t>jerome31-92111</t>
  </si>
  <si>
    <t>Je suis assuré à la MAIF depuis plus de 15 ans. il y a trois ans un orage grille ma pompe à chaleur. Elle avait dix ans, la Maif m'a à peine remboursé 200 euros sur les 5000 euros de réparation et le comble de tout, a fait passer un expert ! qui n'a même pas touché la pompe. Un ami qui a eu la même chose a lui été rembourser de la totalité de la réparation chez un autre assureur pour la même vétusté.
J'assure une piscine depuis 10 ans également. J'ai une fuite à cause d'une canalisation cassée. Le tout est sous une terrasse béton. Il faut compter environ 700 euros pour trouver la fuite puis casser et réparer la fuite et la dalle. Ils me répondent qu'ils peuvent pas intervenir ! C'est la goutte d'eau qui me pousse à aller voir ailleurs !</t>
  </si>
  <si>
    <t>24/06/2020</t>
  </si>
  <si>
    <t>01/06/2020</t>
  </si>
  <si>
    <t>ju17-92062</t>
  </si>
  <si>
    <t>"Sociétaire" Maif depuis environ 15 ans je me pensais bien "assuré" et "protégé" en cas de coup dur. J'ai actuellement 1 contrat habitation, 4 assurances Propriétaire non occupant, 4 véhicules, assurance pro et garanties complémentaires.
Je n'ai eu que trois sinistres dans ma vie dont aucun avec ma responsabilité mise en cause. Un véhicule à percuté mon mur de clôture, trois témoins ont vu la scène dont le facteur mais aucun n'a relevé la plaque d'immatriculation...
J'ai déclaré le sinistre pour réparer un mur de clôture récent, et demandé un devis de réparation à la personne qui à initialement enduit le mur.
Résultat : l'expert désigné conclut à une non prise en charge car pour lui ce n'ai pas un véhicule qui à causé les dégâts (rien que çà), et il estime la réparation à 400€ au lieu de 2200...(montant approximatifs).
J'ai en ma possession un message oral de l'expert expliquant tout ceci, heureusement car je n'ai jamais eu le rapport d'expertise !!!! Honteux !!!
On vient de me transmettre un rapport rectificatif ou tout à changé et le montant d'indemnisation passe à 250€...!!
J'ai écris au service réclamation mais......
J'aurai surement plus rapidement un message en me disant que ce que je décris n'est pas ce que la maif souhaite véhiculer...
Outre le caractère injurieux et diffamatoire du déroulement de cette prise en charge heureusement que rien n'est grave !
Si vous souhaiter dormir sur vos deux oreilles en cas de sinistre de je vous déconseille de vous assurer à la maif ! Pour résumer il vous faut embaucher une personne à temps plein pour faire des procedures et vous faire indemniser.</t>
  </si>
  <si>
    <t>anonymous-90384</t>
  </si>
  <si>
    <t>Assuré MAIF depuis une vingtaine d'années, j'ai toujours été satisfait des prestations de cet assureur (dégât des eaux et vol avec effraction dans mon véhicule)</t>
  </si>
  <si>
    <t>10/06/2020</t>
  </si>
  <si>
    <t>firulete-70391</t>
  </si>
  <si>
    <t>Assureur qui "milite" dans l'irresponsabilité et l'abus.  Ils vivent encore de l'image qu'ils ont su créer mais qui n'est que ça, une image.  Pour le reste c'est une assurance à éviter sans hésiter.</t>
  </si>
  <si>
    <t>08/06/2020</t>
  </si>
  <si>
    <t>assure-militant-58-89359</t>
  </si>
  <si>
    <t>Bonjour,
Je suis adhérent Filiamaïf depuis un bon nombre d'années sans aucun sinistre. 
1)	Suite à la canicule de 2018 des fissures sont apparues sur ma maison et ma commune est déclarée au journal officiel comme étant en état de catastrophe naturelle. Je précise que ma maison a cent ans cette année (2020) et que les fissures sont apparues en 2018 soit 98 ans après sa construction.
2)	Lors du passage de la tempête Ciara en février 2020, des ardoises sont tombées de ma toiture.
Je vous le donne en mille, d'après la Maïf, aucun rapport de cause à effet dans ces deux cas.
Des fissures apparaissent lors de la canicule, mais c'est un défaut de construction (je rappelle, 98 ans sans fissures) et l'expert de l'assurance oubli certaines fissures dans son rapport, des ardoises sont arrachées lors du passage de la tempête faisant la une des médias mais les vents ne sont pas assez violents pour la Maïf, alors même que leur expert m'a confirmé qu'une partie des dégâts étaient dus au coup de vent. Encore mieux, la vitesse du vent lors du passage de la tempête est estimée par la Maïf comme inférieure à la vitesse moyenne sur tout le mois. Ils sont fort à la Maïf !
Pour résumer l'assureur militant, milite plus pour lui que pour ses adhérents. Tant que vous n'avez pas de problème vous êtes le bienvenu, mais dès le premier souci, les arguments les plus farfelus sont de sortie pour que l'assureur s'exonère de ses obligations.
Je voudrais rassurer les internautes qui se plaignent des longs délais pour avoir une réponse de notre assureur, lorsque la réponse est négative, la Maïf fait preuve d'une réactivité remarquable.
Assuré militant, mais plus pour longtemps</t>
  </si>
  <si>
    <t>04/05/2020</t>
  </si>
  <si>
    <t>01/05/2020</t>
  </si>
  <si>
    <t>ode-88310</t>
  </si>
  <si>
    <t xml:space="preserve">Incroyable
2 ans que je demande des remboursements par chq pour suivre mes dossiers et ils continuent de faire des virements  !  On vous refait un chq et vous nous remboursez le virement...
Un vrai GAG
</t>
  </si>
  <si>
    <t>13/03/2020</t>
  </si>
  <si>
    <t>01/03/2020</t>
  </si>
  <si>
    <t>yo911-78228</t>
  </si>
  <si>
    <t xml:space="preserve">
Pour moi la pire des assurances, à fuir!
Notion de confiance, qualité de service et de la relation, satisfaction du client, les gestionnaires font preuve d'intelligence et de relationnels, les conseillers passe plus de temps pour gérer un sinistre que ces concurrents. Ces mots ce sont les vôtres (Mr le Directeur de la Maif) pour décrire votre assurance dans une interview "Les Échos". Et bien moi en tant que client j'ai un tout autre point de vue sur la Maif et ses gestionnaires! Victime d'infiltration répéter et d'odeur insupportable dans mon logement, j'ai contacté la protection juridique et signalé mon sinistre survenu il y a près de 4 mois! J'ai informé la Maif que mon bailleur ignorait volontairement la situation. La protection juridique m'a demandé de mettre mon bailleur en demeure et que sans réponse de celui-ci, un constat d'huissier serait alors réalisé. Et le volet indemnisation des objets sinistrés serait remboursé. Pourtant malgré l'odeur infâme des infiltrations, le matériel toujours en plein dans mon salon, aucun constat n'a jamais été réalisé, la protection juridique m'a menti, et mes éléments sinistré n'ont jamais été remboursé! Appel après appel, vos gestionnaires ont joué le même jeux que mon bailleur! Pourtant transmis au responsable, celui-ci m'indiquera prendre 30 jours pour étudier le dossier et revenir vers mois. Jamais aucun rappel de sa part et comme réponse après 30 jours, de soi-disant étude, celui-ci me répond "quelles sont vos dommages" alors même que la liste est bien connu! Aucune indemnisation, j'ai du passer en plus les fêtes de fin d'année dans la puanteur, en fauteuil roulant, je ne peux plus utiliser ma machine à laver puisque le compteur électrique est devenu défectueux dés suites des infiltrations! De l'eau dans le compteur électrique! Ce fait est extrêmement dangereux, dont la Maif a eu immédiatement connaissance sans jamais intervenir pour défendre mes intérêts. Elle me laisse sans avoir été dédommagé, et sans avoir défendu mes intérêts les mettant par ailleurs en péril. Voilà la gestion réelle de vos gestionnaires! Voilà ce que vous qualifiez de relation de confiance! De qualité de service! Pour mémoire je n'ai jamais vu une assurance agir ainsi et nuire à son client! Avez-vous jeté un oeil sur les avis concernant la Maif? Ils sont consternants, et je n'ai même pas encore ajouté le mien, mais c'est prévu. Laissez le client dans la dangerosité d'une telle situation, lui avoir menti depuis 4 mois et alors qu'il a payé pour une protection juridique, ne lui formulé ni aide, ni soutien, ni action, c'est tout simplement honteux, ignoble, pour moi la Maif est bien la pire des choses qu'il me soit arrivé, si je n'avait pas été chez vous, sans aucun doute, j'aurais obtenu soutien et indemnisation depuis bien longtemps! Trouvez-vous ma situation acceptable? Trouvez-vous normal que depuis 4 mois je n'ai plus la possibilité de laver mon linge? Sécher mon linge? Faire cuire mes aliments dans mes appareils électroménagers? Plus d'aspirateur car les eaux l'on abimé, et les appareils qui me permettait d'avoir un minimum de mobilité ont subi le même sort, m'empêchant de faite de pouvoir me promener et d'avoir des activités extérieures comme tout à chacun.
Trouvez-vous que la Maif agit comme il se doit en me laissant tous ces appareils en plein salon dans mon petit logement où j'ai déjà de la peine à bouger avec mon fauteuil roulant? C'est ça la Maif Monsieur le Directeur! C'est ce que je subi et ça c'est la réalité, vous devez le savoir, donc je vous informe de ma situation inacceptable.</t>
  </si>
  <si>
    <t>11/01/2020</t>
  </si>
  <si>
    <t>01/01/2020</t>
  </si>
  <si>
    <t>sebus31-69797</t>
  </si>
  <si>
    <t xml:space="preserve">Assuré Maif  j'ai subi une catastrophe naturelle sécheresse, reconnue par l'etat et l'assurance, un expert à estimé les dégâts en janvier 2018 à plus de 30000 euros, et depuis j'ai eu un versement de 200 euros, l'assurance refusant de me verser l'indemnisation immediate avec la vétusté déduite, ce qui est hors la loi. Ils me réclament des factures alors que je ne peux payer aucun acompte à une entreprise. Attention à éviter absolument </t>
  </si>
  <si>
    <t>10/01/2020</t>
  </si>
  <si>
    <t>jg-81852</t>
  </si>
  <si>
    <t xml:space="preserve">ma maison est assurée chez la MAIF avec déclaration d'une cheminée avec insert. La porte de l'insert est fissurée suite à un choc sur un pied de canapé. Non remboursable car l'insert déclaré au moment de la souscription fait parti des exclusions de la page 31 de conditions blablabla et n'est pas assuré !!! Donc le bris de glace n'est pas pris en compte. c'est INADMISSIBLE. Pour prélever il n'y a pas d'exclusion !!! c'est une honte.  </t>
  </si>
  <si>
    <t>12/12/2019</t>
  </si>
  <si>
    <t>01/12/2019</t>
  </si>
  <si>
    <t>nathalie-81427</t>
  </si>
  <si>
    <t>Une assurance sérieuse et proche de ses sociétaires, au fil des jours et des années.</t>
  </si>
  <si>
    <t>28/11/2019</t>
  </si>
  <si>
    <t>01/11/2019</t>
  </si>
  <si>
    <t>razorback-81063</t>
  </si>
  <si>
    <t>je recherchais une bonne assurance et après de longue étude je me suis orienté vers MAIF qui était déjà beaucoup plus cher. Après un dégat des eaux (environ 1000e) je recois un courrier pour re-evaluer le prix et j'ai le droit à un augmentation de 50%.</t>
  </si>
  <si>
    <t>16/11/2019</t>
  </si>
  <si>
    <t>yangounet-80982</t>
  </si>
  <si>
    <t>très déçu. Lors des épisodes de sécheresse, je me suis entendu dire que les problèmes de fissures venaient de la végétation autour de la maison et pas de la canicule... Malgré un courrier recommandé avec AR il a fallu deux cps de tel pour que la demande de résiliations soit prise en cpte. Et le remboursement de l'avance des cotisations de l'an prochain déjà prélevée ne me sera remboursée que dans deux mois... Que du bonheur.</t>
  </si>
  <si>
    <t>14/11/2019</t>
  </si>
  <si>
    <t>jbb-69904</t>
  </si>
  <si>
    <t xml:space="preserve">Pour ne pas indemniser le dégât des eaux la Maif a prétexté une condensation provenant de la  SDB  donc non remboursable. Alors que le plombier a détecté une fuite d'évacuation d'évier dans l'appart au dessous assuré aussi Maif. Après contestation via internet la Maif me fait l'aumône de rembourser la moitie que j'ai dépensé pour la réparation. Ma LRAR du 25sept 2019 au Président est restée sans réponse. Je demande une remboursement complet. Je suis assurée Maif depuis plus de 50 ans avec 5 habitations sans sinistre responsable. La Maif n'est plus ce qu'elle était. Fuyez  la maif qui se dit assureur militant.
 J.Bahl  </t>
  </si>
  <si>
    <t>06/11/2019</t>
  </si>
  <si>
    <t>laetilodie-80749</t>
  </si>
  <si>
    <t>Relation client déplorable. Du jour au lendemain ne veulent plus vous assurer sans en préciser la raison.
20 ans d'assurance et aucun sinistre au cours des dernières années</t>
  </si>
  <si>
    <t>05/11/2019</t>
  </si>
  <si>
    <t>doroangus-80697</t>
  </si>
  <si>
    <t xml:space="preserve">Nuls. pourtant j'étais assuré chez eux depuis 45 ans, qui dit mieux?
La MAIF est devenue une assurance détestable, qui n'assure plus rien et méprise l'assuré. Quand on leur demande, après avoir attendu leurs retours de vacances, qu'ils s'occupent enfin du dossier resté lettre morte pendant 4 semaines , ils disent qu'ils ont autre chose à faire, et on se fait engueuler. magnifique. Je vais les quitter définitivement.    </t>
  </si>
  <si>
    <t>04/11/2019</t>
  </si>
  <si>
    <t>juju91-80544</t>
  </si>
  <si>
    <t>Client de très longue date de la MAIF.
Toujours satisfait à chaque fois que j'ai du fait appel à la MAIF et c'est rassurant. Ne cherche pas à changer, c'est inutile.</t>
  </si>
  <si>
    <t>30/10/2019</t>
  </si>
  <si>
    <t>01/10/2019</t>
  </si>
  <si>
    <t>drine19-80346</t>
  </si>
  <si>
    <t>je pense que la maif a un probleme de reception.Il ne reçoive jamais rien ni courrier ni mail,donc incapable de faire une resiliation cordiale.Tres decu apres 25 ans de fidelite aucun regrets</t>
  </si>
  <si>
    <t>23/10/2019</t>
  </si>
  <si>
    <t>chrisp78-80324</t>
  </si>
  <si>
    <t>Tres decu par la (non) prise en charge de cet assureur. J'ai eu la mauvais chance d'enfermer mes clés a l'intérieur de l'appartement ce samedi. Dont regarde vite fait sur la site pour declarer un sinistre avant de faire que ce soit, pour découvrir qu'ils sont fermer après 12h30 le samedi pour les declarations, comme vous pouvez imaginer je ne peux pas attendre le lundi matin 9h pour qu'ils me rappel, j'appel un serrurier pour ouvrir la porte qui nécessite de changer la serrure. Travail faite en 15 minutes avec un sale facture de 1450 euro. J'attend le lundi matin pour les appeler et découvrir que RIEN n'est pris en charge. Il fallait appeler avant et utiliser leur réseau. Bah oui, j'aurais fait si il y avait un numero clairement indiquer quelque part.
Je recommande de bien chercher les numéros qu'il faut, personnellement je ne les retrouve null part. Sympa de perdre autant avant le reclamation des impôts et Noel...</t>
  </si>
  <si>
    <t>22/10/2019</t>
  </si>
  <si>
    <t>cesar-79248</t>
  </si>
  <si>
    <t>En état de catastrophe naturelle (sécheresse), ils nous écrivent qu'ils nous prennent bien en charge, puis font trainer deux ans, pour enfin nous déclarer au vu du montant du devis obtenu par leur expert que les dégâts ne sont pas dus à la sécheresse mais la conséquence de problèmes antérieurs. Résultat deux ans de perdu, une maison encore plus dégradée et une procédure au tribunal. Assurance à fuir!!!!!</t>
  </si>
  <si>
    <t>17/09/2019</t>
  </si>
  <si>
    <t>01/09/2019</t>
  </si>
  <si>
    <t>dhali-78954</t>
  </si>
  <si>
    <t xml:space="preserve"> Dossier sinistre ouvert depuis mars 2017 concernant un dol sur l'achat de ma résidence principale.
Au vu des enjeux l'affaire aurait être transmise à un avocat. Par soucis d'économie, la Maif a mis 1 an à en désigner un.
Mais cela ne s'arrête pas là. Il nous conseille un avocat qui nous préconise de mentir sur des dates car ils ont loupé le délai d'assignation. Alors vous vous dites il est temps de choisir un avocat compétent oh mon dieu Me revoila dans une nouvelle galère.
C'est moi qui dois faire le lien, car ils ne communiquent   pas les pièces au nouvel avocat. 
 A ce stade vous vous dites,  il me faut de l'aide ...je prends conseille à Ufc que choisir qui m'informe que je dois écrire au service réclamation ; 1er courrier sans réponse, effectivement, j'ai mis réclamation mais je ne l'ai pas adressé au service réclamation, donc pas traiter comme tel.
2ème puis 3ème courrier toujours dans l'attente d'un échange  de vive voix. 
Le plus déplorable est ce service est sensé accompagner les clients qui ne se sentent pas écouté, satisfait et bien entendu conseiller.
Je mets donc en cause leur manquement à leurs obligations.
 Aujourd'hui je recherche des personnes qui sont dans le même cas.
Pourriez-vous me transmettre vos coordonnées mail.
</t>
  </si>
  <si>
    <t>16/09/2019</t>
  </si>
  <si>
    <t>anouck-78694</t>
  </si>
  <si>
    <t>Je suis à la Maif depuis près de 20 ans et je n'ai jamais eu de problème jusqu'à cet été.
Propriétaire pour la première fois et depuis peu, j'ai pris la formule sérénité. A la suite d'un problème de moisissures j'ouvre un dossier "sinistre".
Depuis, il faut courir après les conseillers, et quand on les a au téléphone ils sont agressifs et pas du tout accompagnants. L'état d'esprit que j'ai toujours connu semble avoir complètement disparu au profit du découragement des assurés.
J'aimerais bien savoir ce qu'il s'est passé....</t>
  </si>
  <si>
    <t>26/08/2019</t>
  </si>
  <si>
    <t>01/08/2019</t>
  </si>
  <si>
    <t>ml6431-77631</t>
  </si>
  <si>
    <t xml:space="preserve">fait trainer en longueur les dossiers </t>
  </si>
  <si>
    <t>15/07/2019</t>
  </si>
  <si>
    <t>01/07/2019</t>
  </si>
  <si>
    <t>maraches-77307</t>
  </si>
  <si>
    <t>Le service client et tout simplement déplorable</t>
  </si>
  <si>
    <t>03/07/2019</t>
  </si>
  <si>
    <t>anliz-76760</t>
  </si>
  <si>
    <t>Nous avons subi un dégât des eaux important dans notre cuisine l'année dernière par notre voisine du dessus, nous avons contacté la Maif pour établir un état des lieux des dégâts. Puis plus rien, pas d'expert envoyé, rien...
Et quelques mois après, nous avons économisé et sommes prêts à refaire notre cuisine, mais souhaitons mettre à contribution la Maif pour la partie travaux (la couleur et les matériaux des meubles de cuisine étant légitimement à nos frais).
A nous de découvrir les meandres d'Eurexo, mandatés par Maif pour faire le boulot. Qui ont toutes les infos et qui ne répondent même plus (serveur téléphonique indisponible ce jour 13/06).
Décalage complet avec la pub et leurs mises en situation! Passez votre chemin, on espère toujours ne pas avoir à faire à son assureur, je vous confirme, Maif est une calamité!</t>
  </si>
  <si>
    <t>13/06/2019</t>
  </si>
  <si>
    <t>01/06/2019</t>
  </si>
  <si>
    <t>bibi-76260</t>
  </si>
  <si>
    <t xml:space="preserve">Je suis très peu satisfaite des remboursements concernant des sinistres que j'ai subi.
Les experts tirent les remboursements vers le bas.
Appliquent des pourcentages de vestusté qui non pas lieu d'être.
</t>
  </si>
  <si>
    <t>27/05/2019</t>
  </si>
  <si>
    <t>01/05/2019</t>
  </si>
  <si>
    <t>nouchka-75981</t>
  </si>
  <si>
    <t>J'ai eu dans l'année qui vient de s'écouler un cambriolage et la foudre qui est tombées sur la maison. Dans le cadre des 2 sinistres, j'ai trouvé que les experts (que je n'ai eu qu'au téléphone) n'étaient pas très compétents ni objectifs. Sur des bijoux anciens dérobés, je n'ai presque rien touché. Pour les dégâts causés pour la foudre, tout notre matériel électrique, électronique, qui souvent avait plus de 4 ou 5 ans, nous n'avons pratiquement rien touché non plus.
Bilan: 1 an après, nous n'avons toujours pas remplacé tous les équipements détruits, volés ou endommagés par la foudre.</t>
  </si>
  <si>
    <t>16/05/2019</t>
  </si>
  <si>
    <t>mathlo-72068</t>
  </si>
  <si>
    <t>Tout pareil !!!!! Ah sacré Achille !!!
Je suis très déçue par la gestion de ma situation par la MAIF : mère de 3 enfants, dont une toute récente qui a 4 mois, habitant à la campagne, dans une grande maison avec un étage et un jardin. 
Sportive, sans antécédents médicaux, je me romps le tendon d'Achille et la MAIF met en avant le fait que les affections tendineuses ne sont pas prises en charge par les contrats. J'en suis navrée. N'est ce pas la conséquence qui est dédommageable ? Une fracture du tibia, une entorse n'ont elle pas les mêmes conséquences qu'une rupture du tendon d'Achille, c'est à dire une immobilisation de longue durée à la maison ? Béquilles à la main et fauteuil roulant au quotidien ?
En espérant que vous comprendrez ma détresse et mon sentiment d'injustice, j'espère que ce commentaire pourra être utile aux sportifs qui recherche une assurance ! Ainsi qu'à la MAIF : pour réfléchir en terme de conséquence et non de causes...</t>
  </si>
  <si>
    <t>12/03/2019</t>
  </si>
  <si>
    <t>mariemarguerite-70041</t>
  </si>
  <si>
    <t>Je suis sociétaire à la MAIF depuis 25 ans mais depuis que j'ai assuré ma fille en 2016, c'est la cata ! Ils m'envoient des courriers qui ne me sont jamais parvenus et ne se soucient pas de savoir si je les aient reçus. J'imagine que les courriers sont revenus chez eux et ils ne s'en sont jamais inquiétés. Ainsi nous pensions êtres assurées ! c'est au moment d'un dégât des eaux - causé par l'appartement du dessus - qu'ils nous apprennent que nous ne sommes pas assurés ! Nous avons appelés et écrit de nombreuses fois pour résoudre ce problème. Ils n'apportent aucune solution et ne reconnaissent pas leurs erreurs.</t>
  </si>
  <si>
    <t>09/01/2019</t>
  </si>
  <si>
    <t>01/01/2019</t>
  </si>
  <si>
    <t>cam-69409</t>
  </si>
  <si>
    <t>Je ne recommande pas du tout a fuir
Clairement ils ce moquent de nous j' ai reçu 14€ de frais d echeance a régler ces frais correspondent à l envoi de l échelle annuelle c'est a dire a l' envoi d une enveloppe en écopli donc moins de 2€.
 Je leur ai donc écrit un mail pour avoir le détail des ces fameux 14€ la aussi j' ai eu un retour très vague correspond a des frais de souscription je suis déjà adhérente donc quels frais de souscription frais de résiliation je ne résilie pas frais de modification de contrat je ne modifie rien Bref passez votre chemin ils se font clairement de l' argent sur votre dos.</t>
  </si>
  <si>
    <t>14/12/2018</t>
  </si>
  <si>
    <t>guitariste-68436</t>
  </si>
  <si>
    <t>Bonjour, je suis a la MAIF depuis plus de 20 ans et je n ai jamais été voir ailleurs. La réactivité de la MAIF en cas de sinistre est exemplaire. J'ai été victime d'une agression et tous les interlocuteurs auxquels j'ai eu a faire étaient sympathiques. J'ai eu l'impression qu'ils étaient a mon service et faisaient de leur mieux. J'attends un retour su service client car j'ai été indemnisé en dessous de la valeur préconisé par l'expert car mon contrat datait de 2006 et n'avait pas été modifié. A ce sujet il serait bien d'avoir l'appel d'un conseiller tous les ans ou 2 ans afin de faire un bilan sur notre patrimoine etc comme le font Orange ou SFR .... dans d'autres domaines. J'étais avant passage de l'expert assuré pour un 6 pièces alors que j'en ai 5 par exemple....</t>
  </si>
  <si>
    <t>09/11/2018</t>
  </si>
  <si>
    <t>vincenzo-57982</t>
  </si>
  <si>
    <t>Tout est fait pour ne pas assumer leurs responsabilités, des pratiques plus que douteuses lorsqu'un sinistre se présente ...</t>
  </si>
  <si>
    <t>brayoullet-67688</t>
  </si>
  <si>
    <t>Bonjour, nous avons subi il y a 6 mois un cambriolage avec effraction à notre domicile. Le service relation client à tout le temps était présent dans notre dossier et répondu à toutes nos questions. Les réparations à notre domicile ont été entièrement pris en charge hormis la franchise bien sûr, et les bijoux volés ont été pris en charge au maximum de ce qu'il était possible vis à vis de notre contrat après expertise. Même si cela n'a pas suffit à combler le vol, MAIF a été exemplaire. Je suis adhérent depuis 20 ans et j'y ai tous mes contrats,  auto, motos, habitations et responsabilité civile. Lorsque des sinistres ont eu lieu, nous avons toujours été traité avec beaucoup de compréhension, d'écoute, de professionnalisme et de réactivité. C'est vrai que MAIF n'est pas l'assurance la moins chère, sans être la plus chère non plus, par contre en cas de problème ils sont là et ne se défilent pas, ils vous aident, vous écoutent et vous prennent en charge. Je ne changerai pas d'assurance c'est sûr. Merci MAIF.</t>
  </si>
  <si>
    <t>lisber-66345</t>
  </si>
  <si>
    <t>A fuir. Pour l'assurance habitation, c'est devenu l'horreur : on y laisse son argent et son energie. Un vrai calvaire, quel que soit le lieu de residence. La mauvai foi est desormais de mise à la MAIF et vous pouvez regarder votre plafond sinistre pendant plusieurs annees sans que cela pose le moindre problème. Voire même, peut-être que ça l'arrange? Je vous laisse imaginer en tout cas si votre maison prend feu. On vous dira qu'elle était en ruines juste avant et le temps que les experts passent et repassent vous pourrez aller camper 5 ou 6 ans dans le parc le plus proche</t>
  </si>
  <si>
    <t>22/08/2018</t>
  </si>
  <si>
    <t>gerardloiret-66274</t>
  </si>
  <si>
    <t xml:space="preserve">Je quitte la Maif après 45 ans d'adhesion la qualité du service a considérablement baissé fait systématiquement appel à des experts qui ne font pas diligence </t>
  </si>
  <si>
    <t>20/08/2018</t>
  </si>
  <si>
    <t>kafkaien-65972</t>
  </si>
  <si>
    <t>C'est mieux quand on n'a pas besoin ... Assurée depuis plus de 30 ans à la MAIF, ce n'est ni la fidélité ni l'absence de sinistre pendant des années qui crée la relation de confiance.</t>
  </si>
  <si>
    <t>03/08/2018</t>
  </si>
  <si>
    <t>kafka1-65572</t>
  </si>
  <si>
    <t>Je me suis laissé tenter par la Maif, car les parents instituteurs de mon ex-femme m'en disaient du bien. C’était le bazar dans les dossiers et il n'y avait jamais personne pour vous répondre convenablement. Les appels à cotisation était erronés et facturaient des véhicules ou objets que j'avais signalé ne plus posséder depuis parfois 2 à 3 ans. Fatigué de ne jamais obtenir les montant corrects, je me suis permis de corriger le montant sur le chèque annuel. Résultat: mes garanties ont été annulées sans prévenir. Je déconseilles vivement de croire le slogan bien-pensant de "l'assureur militant".</t>
  </si>
  <si>
    <t>22/07/2018</t>
  </si>
  <si>
    <t>zne-65398</t>
  </si>
  <si>
    <t xml:space="preserve">Les tarifs augmente. J'ai 3 contrats chez eux. J'ai annulé celui de la maison pour cause de déménagement. Ils m'ont facturé 9 euros de clôture ? J'ai demandé pourquoi. La personne m'a expliqué que c'était pour l'encre et le papier ? De plus le tarif de mon assurance corporel à augmenté vu qu'elle était liée soit disant à l'assurance de l'habitation. Hors, j'ai pris cette assurance pour tous les risques de la vie de tous les jours. </t>
  </si>
  <si>
    <t>victimedelamaif-64809</t>
  </si>
  <si>
    <t>Assureur militant oui mais pour se soustraire à ses obligations. Cet assureur vit sur une réputation totalement usurpée. Je sais de quoi, je parle, issu d une famille d enseignants mes grands parents et mes parents ont été assurés à la MAIF.la maison de ma maman a fait l'objet des innondations en Picardie de 2001, arrêté de Catnat et prise en charge par la MAIF des travaux de remise en état du dallage qui s était enfoncé dans le terrain ameubli. Puis le dallage s est progressivement ré enfoncé car les travaux avait été insuffisant. Nous avons saisi la MAIF qui n à jamais voulu reconnaître le lien entre les deux événements ! J' ai du allait à un procès et j ai du faire face à des avocats experts en manœuvres dilatoires qui ont réussi à atteindre des délais de forclusion. Résultat ma maman est morte avant de voir sa maison remise en état, sa maison ne vaut plus rien et tout ça a horriblement gâché sa fin de vie...je n' ai pas de mots pour décrire la colère que je ressens devant de telles manœuvres. En revanche, la MAIF n'a eu aucun état d âme à assurer les biens mobiliers d une personne âgée , maman, ayant  un peu perdu la tête pour plus de 100 000 euros, il devait bien y avoir 500  euros de mobiliers chez elle! Aucune obligation de conseil, c est hallucinant. Je dissuade quiconque de s adresser à eux, en cas de pépin sérieux  cette mutuelle sera votre ADVERSAIRE !</t>
  </si>
  <si>
    <t>15/06/2018</t>
  </si>
  <si>
    <t>em-64570</t>
  </si>
  <si>
    <t>Nous avons eu un dégât des eaux, temps de prise en charge plus de 3 mois. Un expert Texa est venu constaté le dégât des eaux en disant que ce n'était pas un dégât qui nécessitait le relogement qu'il y avait seulement des travaux d’embellissement à faire ... (Or l'eau coule des appliques électrique, nombreux champignons on poussés et l'aire ambiante est irrespirable. Deux jours après sont départ, le plafond s'est effondré nous avons retrouvé notre appartement avec 1cm d'eau sur tout le sol. Nous avons été relogé urgemment pendant 7 jours le temps que l'expert repasse seulement, il n'est pas repassé et aujourd'hui plus rien nous sommes à la rue ...</t>
  </si>
  <si>
    <t>07/06/2018</t>
  </si>
  <si>
    <t>avatar-64085</t>
  </si>
  <si>
    <t>Aucun égard pour les clients de plus de 20 ans</t>
  </si>
  <si>
    <t>18/05/2018</t>
  </si>
  <si>
    <t>isol2-64074</t>
  </si>
  <si>
    <t>A L'écoute des clients , bonne recherche de solutions , suivi rigoureux des dossiers, bon accueil amabilité,compassion,disponibilité des conseillers de clientèle;</t>
  </si>
  <si>
    <t>bxtlse33-63680</t>
  </si>
  <si>
    <t xml:space="preserve">Assurée à la MAIF depuis plus de 20 ans et sans sinistre, je constate que l'assureur "militant" semble ne pas considérer ses sociétaires ou plutôt faire preuve d'une extrême mauvaise foie quant aux dommages à indemniser. Un sociétaire victime à deux niveaux d'une part de malfaçons d'un artisan et d'autre part de mauvaise foie de la part d'un assureur soit disant mutualiste.... </t>
  </si>
  <si>
    <t>30/04/2018</t>
  </si>
  <si>
    <t>jdo2000-62647</t>
  </si>
  <si>
    <t xml:space="preserve">Après la  tempête un arbre de mon jardin se posa sur la maison de mon voisin puis glissa sur la clôture et tomba  essentiellement de l’autre coté de la clôture. Un artisan est intervenu rapidement pour dégager l’arbre et éviter les dégâts supplémentaires possibles. J’ai préparé le dossier et a la demande de Maif  j ' y ai ajouté des nombreuses photos. Voici la réponse : 
" Vous voudrez bien demander à l'artisan qui est intervenu de chiffrer en détail la partie représentée par le débitage de l'arbre tombé sur la clôture et la maison de votre voisin ".
1.	Les photos que j’ai envoyé servent à rien sinon a montrer comment MAIF est séreux et professionnel.
2.	Un arbre de 15-20m tombe, combien m3, mètres, branches, …  sont  tombé du coté du voisin ?  L’artisan , 3 mois après l’intervention,  a le droit de refuser passer son temps a remplir les dossiers et de faire des calculs  savants , ce n’est pas son job et dans ce cas Maif a le droit de ne rien rembourser.   Bien joué. 
L’empêcher tous remboursement ou  rembourser le moins et le plus tard  possible c’est un METIER dans lequel  le ridicule ne tue pas il apporte.
Maif est effectivement un grand militant pour son compte bancaire.
</t>
  </si>
  <si>
    <t>24/03/2018</t>
  </si>
  <si>
    <t>01/03/2018</t>
  </si>
  <si>
    <t>jp0511-61814</t>
  </si>
  <si>
    <t>Sociétaire depuis plus de 30 ans; Le service s'est beaucoup dégradé. Pour le moindre problème de dégat des eaux, nous avons affaire à une plateforme constitué avec un personnel peu compétent et jamais les mêmes personnes,qui envisage des solutions inadaptées aux problèmes rencontrés, font trainer la procédure et assurent surout les intérêts de l'assurance , mais pas ceux du sociétaire.</t>
  </si>
  <si>
    <t>27/02/2018</t>
  </si>
  <si>
    <t>01/02/2018</t>
  </si>
  <si>
    <t>dlo-61501</t>
  </si>
  <si>
    <t>Sur le Papier c'est bien, dans la vraie vie c'est moins idyllique. Pour la première fois, suite à une dégradation d'un tier sur un bien NEUF (facture à l'appui), l'assurance n'a JAMAIS et je dis bien JAMAIS cherché à contacter le tier. C'est à force que les relancer qu'ils ont fini par envoyer un mail plus d'un mois après la déclaration du sinistre. Puis plus rien. J'appelle à nouveau l'assurance. Pas de suite, pas de suivi, pas d'espérance à être dédommager. A ceci l'assurance m'informe qu'ils n'ont pas d'obligation de résultat. Intéressant car ceci implique qu'un tiers n'est pas obligé de répondre et de payer. Quand à la personne sinistrée , tant pis pour elle. En d'autre terme une assurance ne sert pas à grand chose.</t>
  </si>
  <si>
    <t>16/02/2018</t>
  </si>
  <si>
    <t>lea-60587</t>
  </si>
  <si>
    <t>J'ai toujours été assurée à la MAIF jamais aucun problème.</t>
  </si>
  <si>
    <t>17/01/2018</t>
  </si>
  <si>
    <t>01/01/2018</t>
  </si>
  <si>
    <t>fsd-60507</t>
  </si>
  <si>
    <t>Suite à un sinistre, la MAIF met d'abord tout en oeuvre pour essayer de ne pas prendre en charge le dossier (cette partie incombe à l'immeuble alors que ce n'est pas le cas), puis demande des attestations du syndic de copropriété pour finalement laisser "en plan" son sociétaire (débrouillez vous pour trouver une entreprise pour établir le devis). Première expérience avec la MAIF et ce sera la dernière.</t>
  </si>
  <si>
    <t>15/01/2018</t>
  </si>
  <si>
    <t>brett-58073</t>
  </si>
  <si>
    <t>Deux dossiers en cours chez MAIF ,une pose de volets et une pose de fermeture de grille</t>
  </si>
  <si>
    <t>05/12/2017</t>
  </si>
  <si>
    <t>01/12/2017</t>
  </si>
  <si>
    <t>ant-59311</t>
  </si>
  <si>
    <t>SERVICE CLIENT LAMENTABLE</t>
  </si>
  <si>
    <t>totof-58948</t>
  </si>
  <si>
    <t xml:space="preserve">Assurée depuis plus de 30 ans à la Maïf, très décue par un sinistre bris de glace soit disant suite choc thermique suite expertise et en attente acceptation prise en charge par la Maif. J'ai pu juget de l'incompétence de certains cabinets d'expertise qui travaillent avec la Maïf Nice notamment dans le bâtiment et qui mettent non seulement en doute la parole des assurés mais qui suite à expertise contradictoire, préfèrent suivre la décision de l'expert adverse... Il faudrait peut être que la Maïf travaille avec des experts COMPETENTS. </t>
  </si>
  <si>
    <t>20/11/2017</t>
  </si>
  <si>
    <t>madamem-58800</t>
  </si>
  <si>
    <t xml:space="preserve">J'ai eu deux dossiers avec la maif en moins d'un an. un premier litige avec carrefour suite à l'achat d'un appareil photo sensée aller sous le l'eau ce qui vallu de gâcher mes vacances à l'île Maurice. J'avais acheté cet appareil pour réaliser mon rêve : photographier les baleines. Mademoisselle Cleilia C. de la maif de Versailles a été tellement pugnace dans le cadre de mon assistance juridique que j'ai obtenue le remboursement et un montant pour mon préjudice. Pour mon second dossier, ou une Madame Nathalie D. A repris le relais ce fut exactement la même chose. Dégât des eaux très bien suivi, compréhension maximale. Mes litiges son terminés et je suis très satisfaite Je ne pouvais pas tomber mieux en cas de problèmes. Le personnel de la délégation de Paris (je n'ai pas retenue le prénom de tout le monde) est très sympathique et toujours à l'écoute. Merci la MAIF. Merci pour tout. </t>
  </si>
  <si>
    <t>ahurissant-12-58608</t>
  </si>
  <si>
    <t xml:space="preserve">Je viens de recevoir une  AR du directeur de la Maif , m'informant que je suis radiée pour des raisons de mauvais relationnel  Ce monsieur n'a pas apprécié que j'exprime mon mécontentement quant à leur façon de s'occuper de mes problèmes  4 DEGATS DES EAUX  DUS AU VOISIN DU DESSUS  MOI  je n'ai jamais causé le moindre trouble  ni problème à cet assureur  J'estime que c'est tout simplement un minable prétexte  Etant donné qu'il ne peut pas me reprocher d'être un mauvais adhérent .LE PLUS LAMENTABLE C'EST QUE CET ASSUREUR NE S'EN EST JAMAIS PRIS A MON VOISIN , CELUI QUI NE CESSE DE PROVOQUER CHEZ MOI DES DEGATS DES EAUX .Lui il est tranquille . JE SUIS COUPABLE D'AVOIR ETE 4 FOIS INNONDEE  PAR MON VOISIN .  ALORS IL LEUR FALLAIT BIEN TROUVER UN PRETEXTE  POUR SE DEBARRASSER DE MOI ! C'EST ABUSIF ! TOUT MON COURRIER L'ATTESTE . De toutes évidences , j'aurais du payer , être assurée , et accepter ces dégâts des eaux à répétition sans rien dire , et ATTENDRE GENTIMENT  QUE L'EAU CONTINUE A TOMBER DE MON PLAFOND SANS RIEN DIRE ? Mon double plafond s'est "effondré " 4 FOIS !!! SOUS LE POIDS DE L'EAU !! ça il s'en moque ..je coûte cher ? </t>
  </si>
  <si>
    <t>05/11/2017</t>
  </si>
  <si>
    <t>marie-58495</t>
  </si>
  <si>
    <t>suis virée après plus de 20 ans de cotisation parce que j'ai osé demandé la prise en charge de la protection juridique - honteux cette affaire - viré pour soit disant : relation commerciale altérée</t>
  </si>
  <si>
    <t>31/10/2017</t>
  </si>
  <si>
    <t>napa-58421</t>
  </si>
  <si>
    <t>15 ans d'assurance, JAMAIS UN SEUL INCIDENT DE PAIEMENT et ils me virent sans raison ni explication. Fuyez</t>
  </si>
  <si>
    <t>27/10/2017</t>
  </si>
  <si>
    <t>migara-58295</t>
  </si>
  <si>
    <t>je viens de m informer de la suite donnée au dégât des eaux de la mi- août dont je suis victime .pour lequel un expert est venu 2 MOIS plus TARD........</t>
  </si>
  <si>
    <t>23/10/2017</t>
  </si>
  <si>
    <t>chriiss-58217</t>
  </si>
  <si>
    <t>la maif vient de m'appeler en me disant qu'il me faisait un "avertissement" car j'avais 9 déclaration en 3 ans dont 1 seule indemnisée par eux !!je trouve ce procédé SCANDALEUX ET IGNOBLE!!!</t>
  </si>
  <si>
    <t>19/10/2017</t>
  </si>
  <si>
    <t>nath12-58179</t>
  </si>
  <si>
    <t xml:space="preserve">Actuellement assurée depuis 8 ans, mais plus pour longtemps, je suis outrée de voir comment mon dossier est géré.
Tous d’abord, l' « expert » à sous-évalué le montant des réparations 785,20 €  pour la réfection peinture et papier d'une pièce de 27 m².
J'ai eu la bêtise de ne demander que la réfection partielle : un pan de mur et tout le plafond (là, il n'y a pas le choix). J'ai obtenu un devis à 1 090 € communiqué en mars. Début avril, je reçois un virement de 628,16 €. Je ne comprends rien et appelle la MAIF. Ils me disent que cela correspond au montant chiffré par l'expert (sur pièce (càd sur photo) puisqu'il ne s'est jamais déplacé) déduction faite d'une soi-disant franchise de 157,04 €. Il s’avère que cette information est fausse et qu’il s’agirait en fait d’une vétusté devant m’être restituée sur présentation de la facture, selon la même gestionnaire, qui n’a pas été choquée de m’affirmer au préalable que ce montant comportant des centimes était une franchise…. 
Je conteste l’évaluation et surtout leur reproche d’avoir procédé à un virement sans me laisser le choix de recourir à un artisan agréé. Je leur demande donc de revoir le chiffrage ou de missionner quelqu’un après que je leur ai remboursé la somme virée sans me demander mon avis.
La gestionnaire du dossier fait mine de faire revoir le devis par l’expert puis m’oppose un refus. Je demande une expertise sur place ; elle refuse au motif que cela couterait aussi cher que la différence entre mon devis (1 100) et le montant estimé par l’expert (700).
Je demande alors qu’elle me communique les coordonnées d’artisans agréés. Silence radio.
Une avocate intervient. Mi-juillet 2017 (souvenez-vous tout ceci a commencé début mars 2017, la gestionnaire dans sa grande bonté nous communique enfin des noms d’entreprises agréées (pas très proches de mon domicile, bien évidemment…) ou me laisse la possibilité de percevoir le montant du devis de mars 2017.
Je recontacte l’artisan qui refuse d’intervenir, sa société a changé de statut, il a de plus gros chantiers et n’a plus le temps… Bref, j’ai enfin de quoi le payer mais il ne veut pas intervenir.
Je refais faire des devis mais en précisant que l’assurance ne veut pas payer une reprise totale et ne versera que 1 000 €.  
Beaucoup ne se déplacent même pas ou refusent de me faire un devis, d’autres chiffres à 1 900 € la reprise partielle ou entre 4 et 6000 € la reprise totale. 
Désespérée, je demande à mon avocate s’il est possible que l’assurance accepte de verser la somme de 1 600 € estimée entre temps pas l’expert pour un reprise totale, afin d’amortir au maximum le seul devis à peu près dans les clous à 1 900 € (pour une reprise partielle uniquement).
Là, la gestionnaire, responsable de tout ce bazar s’offusque et ne comprend pas pourquoi je ne fais pas intervenir l’artisan de départ, qui rappelons-le ne veut plus intervenir plus de 4 mois après son devis. Et pire encore, m’accuse d’avoir perçu indûment, voleuse que je suis, le franchise qu’elle m’aurait soi-disant remboursée ! Oui, on parle bien de la franchise, qui n’en est pas une mais de la vétusté…  
Je n’ai pourtant jamais perçu ni la somme de 125 € ni la somme de 157,04 €. Cette dame qui ne connait pas son dossier et me cause préjudice m’accuse désormais de choses erronées, ce qui est facilement prouvable (aucun virement…). Vu ses compétences, peut-être a-t-elle viré cette somme à un heureux bénéficiaire….
Il est impossible d’avoir un autre interlocuteur que la personne qui a ruiné mon dossier et me cause du tracas depuis mars 2017 en raison de son ingérence.
Quand on sait que certaines personnes perçoivent 1 000 € pour un cabinet de toilette de 1 m² et que lorsque l’on veut être honnête en faisant une réfection partielle et donc à moindre coût d’une pièce de 27 m², on nous pourri comme ça… C’est honteux ! Je suis dégoutée, je n’ai plus de mot… 
C’est décidé, je vais voir ailleurs si j’y suis ! </t>
  </si>
  <si>
    <t>18/10/2017</t>
  </si>
  <si>
    <t>fanfoe-57292</t>
  </si>
  <si>
    <t xml:space="preserve">J'ai une assurance habitation formule "sérénité". Ayant une installation chauffage solaire thermique et suite à des négligences multiples sur l'entretien, j'ai fait une déclaration à la maif : 8 mois de constitution de dossier, finalement désignation d'un expert spécialiste en ouvrage d'art auquel il a fallu expliquer le fonctionnement du solaire thermique ! Il a fallu attendre 5 mois pour avoir le compte rendu qui met en cause tous les intervenants. On m'a proposé de rentrer dans le judiciaire pour environ 12 000 euros de réparation ce que j'ai refusé vu la lenteur de la justice... La maif préfère payer 25 000 euros de frais d'avocat plutôt que de régler le contentieux a l'amiable. Je ressens cela comme un abandon de la part de la maif. Pas d'indemnités ! Toutes les réparations restant a ma charge. Assurance sérénité inutile !        </t>
  </si>
  <si>
    <t>12/09/2017</t>
  </si>
  <si>
    <t xml:space="preserve">Sinistre dégâts des eaux survenu  partir du 10 avril 2017, constat effectué le 14 avril date de l'intervention des pompiers pour stopper la fuite. </t>
  </si>
  <si>
    <t>08/09/2017</t>
  </si>
  <si>
    <t>jazz22-56971</t>
  </si>
  <si>
    <t>suite à un litige de voyage avec un organisme sur internet pour une prestation non conforme à celle annoncée, nous avons demandé à notre assurance recours et protection juridique d'intervenir auprès de l'agence de voyage afin d'obtenir réparation, après avoir fait notre recours par dossier étayé avec AR auprès de l'organisme et refus de celui-ci. Pendant 6 mois cette affaire a traîne sans que la MAIF ait fait quoi que ce soit pour défendre notre dossier pour enfin rester muette à notre sollicitation après l'échec de la saisie du médiateur tourisme et voyages. Il paraissait nécessaire alors d'intervenir auprès du tribunal pour obtenir gain de cause, comme le stipule le contrat d'assurance. Sociétaires depuis une trentaine d'années, nous sommes extrêmement déçus de la dégradation des prestations de la MAIF et nous ne sommes malheureusement pas les seuls (nos enfants également assurés et des amis proches ont été scandalisés par l'inaction ou les réponses inappropriées pour des résolutions de sinistres)
Une énorme déception dans la dégradation de la qualité de cette assurance.</t>
  </si>
  <si>
    <t>30/08/2017</t>
  </si>
  <si>
    <t>juste-56889</t>
  </si>
  <si>
    <t xml:space="preserve">Un zero pointe !
Societaire depuis plusieurs annees, je n'avais jamais fait appel a la MAIF. J'ai eu un incident ou j'ai utilise pour la premiere fois l'assurance civile lie au contrat habitation. J'ai recu un courrier de la maif me disant que j'etais responsable et donc pas de prise en charge. Des interlocureurs limite agressif et sui ne comprenne rien du tout... a croire qu'ils sont primes sur les dossiers rejetes .
Je ne recommande pas cette assurance... a eviter </t>
  </si>
  <si>
    <t>jube-56459</t>
  </si>
  <si>
    <t>Je suis adhérente à la MAIF depuis plus de 20 ans, et je suis catastrophée de la manière dont mon sinistre (dégat des eaux) est géré! Je ressens de l'agressivité et un manque total de communication. Voilà près d'un an que je n'ai plus jouissance de ma salle de bains et de ma cuisine et aucune compréhension des deux gestionnaires qui se sont succédés.</t>
  </si>
  <si>
    <t>03/08/2017</t>
  </si>
  <si>
    <t>niglisdavid-55685</t>
  </si>
  <si>
    <t>Je suis sociétaire de la Maif depuis 25 ans. J'ai subit un très gros vol dans ma maison. Ils ont tout détruit, arraché portes et fenêtres, lavabos, douche, escalier... plus tou,t je dit bien tout, volé dans la maison. J'ai signalé le sinistre le 3 mai , l'expert ne c'est déplacé que le 22 mai. Comme il faisait trop chaud il n'est resté que 20 Minutes sur place et à même refusé de visiter toute la maison. La maif n'a fait procéder à la sécurisation des lieux que au bout de 1 mois. Et contrairement à leur garantie,ils n'ont aucune entreprises partenaires pour effectuer les travaux. Maintenant ils refusent de couvrir l'ensemble du préjudice. Ils prétendent que la cabine de douche et la baignoire sont des meubles. Ils ne me transmettent pas les conclusions de l'expert.
J'ai déjà eu un cambriolage il y a 3 ans pour lequel il n'avait pas procéder à la sécurisation des lieux et pour un dommage en factures de 27000€, ils m'ont remboursé 8000€... C'est une compagnie qui ne respecte pas les contrats, qui gagne du temps pour vous mettre dans l'urgence d'accepter l'autoreparation et donc de n'être que très peu indemnisé. Maintenant je dénonce mon contrat devant les tribunaux. Je déconseille vivement cette assurance !!!!</t>
  </si>
  <si>
    <t>28/06/2017</t>
  </si>
  <si>
    <t>plim-30815</t>
  </si>
  <si>
    <t>des experts salariés de la Maif, pas de juristes et ils vous prennent pour des élèves ignares des années 60</t>
  </si>
  <si>
    <t>11/06/2017</t>
  </si>
  <si>
    <t>carole-55166</t>
  </si>
  <si>
    <t>Bonjour,
Le 03/07/2016, mon conjoint s'est suicidé en me laissant seule avec mes 2 enfants. Dans le cadre de mon contrat habitation, j'ai une option 3 qui donne droit à une indemnisation des obsèques et rentes pour moi et les enfants. 1er réponse en octobre - Le dossier était perdu
2eme réponses, il faut envoyer une liste de papiers (acte de naissance, décès....).Maintenant, ils attendent le PV que  je leur ai envoyé en lettre en AR le 28/02. Ils disent ne pas l'avoir, j'en ai marre, je sais plus quoi faire !!! maintenant ils veulent faire passer un expert pour évaluer le préjudice, presque un an après, c'est inadmissible, venir réveiller les blessures....Aucun humanisme et en attendant, je dois me débrouiller...</t>
  </si>
  <si>
    <t>06/06/2017</t>
  </si>
  <si>
    <t>bern-54857</t>
  </si>
  <si>
    <t>Bonjour,
Depuis 2008, un problème de voisinage tourne au cauchemar. J'ai fait réaliser une extension chez moi en 2007 par une entreprise et un voisin m'a fait un procès. La protection juridique de la MAIF est intervenu a minima et a missioné un avocat débutant qui n'a pas fait les expertises et constats d'huissier nécessaires pour traiter le dossier et n'a pas été plaider au trubunal. Sur conseil de la MAIF, pour faire des économie, il n'a pas rechercher la responsabilité de l'entreprise (qui était partenaire REN de la MAIF). Bilan, je suis comdamné à démolir, vais être saisi de tout mes biens et ne peut plus payer l'avocat que j'ai pris en direct pour me défendre. Le service réclamation , les mandataires, le médiateur renvoie tous à la même personne qui ne fait rien ! Merci la MAIF !</t>
  </si>
  <si>
    <t>23/05/2017</t>
  </si>
  <si>
    <t>01/05/2017</t>
  </si>
  <si>
    <t>maudc-54246</t>
  </si>
  <si>
    <t>Je suis à la Maif depuis 15 ans et quelle déception!!! Il ne faut pas avoir de sinistre !!! C'est une des assurances les plus chères du marché et le slogan "assureur militant" ne veut rien dire! Ils font appel à des experts qui trouvent tous les moyens de ne pas rembourser. Ils ne tiennent pas parole : Mon premier interlocuteur m'avait dit que je serai remboursée à 100% du remplacement à neuf, mais l'expert à trouvé moyen de revenir sur la parole de mon premier interlocuteur et finalement, il y a 30% de vétusté! Entre la vétusté et la franchise, le reste à payer est énorme!</t>
  </si>
  <si>
    <t>24/04/2017</t>
  </si>
  <si>
    <t>alex88-51965</t>
  </si>
  <si>
    <t>Attention à ces "assureurs", qui feignent ne pas avoir reçu vos courriers... J'ai reçu sous simple pli postal un échéancier pour une tacite reconduction d'un contrat d'une 40aine d'euros par an (!!!) pour une assurance enseignant, qui soit dit en passant ne sert strictement à que dalle. Courrier envoyé avant le 1er décembre pour résiliation (sous simple pli postal), et ces "assureurs" ne répondent même pas correctement à mon courrier leur précisant que j'ai envoyé un courrier en date de novembre. Passez votre chemin, seul le fric les intéresse (heureusement que je n'ai aucun autre produit chez eux). A titre de comparaison, AMF assurance prend acte de vos courriers et ne fait pas mine de ne rien recevoir.</t>
  </si>
  <si>
    <t>02/02/2017</t>
  </si>
  <si>
    <t>carmexlove-51594</t>
  </si>
  <si>
    <t>30/01/2017</t>
  </si>
  <si>
    <t>01/01/2017</t>
  </si>
  <si>
    <t>Assuré depuis 1970 à la MAIF, j'ai contacté ma "Mutuelle" dans le cadre de la protection juridique de mon contrat RAQVAM à propos d'un portail alu mal installé et qui se dilate sous l'effet du soleil au point de ne plus s'ouvrir. Le dossier a été ouvert en juin 2016. L'expert est passé début septembre et son compte-rendu qui ne tenait que sur une seule page m'a été adressé début novembre. Je pensais que l'expert était un technicien du bâtiment mais il m'a conseillé une solution amiable alors que je pense que ce portail comporte un vice caché. J'ai refusé la solution proposée.</t>
  </si>
  <si>
    <t>29/12/2016</t>
  </si>
  <si>
    <t>juju-50065</t>
  </si>
  <si>
    <t xml:space="preserve">A la Maif si vous êtes victime d'un dégât des eaux par exemple et que vous effectuez vous même les travaux de réparation , vous serez indemnisé à hauteur de 40 pour cent du prix qui serait accordé à une entreprise partenaire d'où une économie de 60 pour  cent  pour la Maif. Et pourtant ce sont bien nos cotisations qui alimentent les caisses . </t>
  </si>
  <si>
    <t>13/12/2016</t>
  </si>
  <si>
    <t>jm-49916</t>
  </si>
  <si>
    <t>Depuis le moi de mai la maif est incapable de prendre en charge la prise en charge de lunettes cassées par un tiers malgré tous les documents en leur possession (assurance adverse). 1 relance par mois à l'assureur tiers et ils attendent d'être payé avant de couvrir nos frais. Autant ne pas être couvert et demander soit même à l'assureur tiers la couverture des dommages. Lamentable...</t>
  </si>
  <si>
    <t>bb-133107</t>
  </si>
  <si>
    <t>Très mécontents pour la 2 eme fois en 10 ans. La 1ere fois ns avons dû passer par un avocat pour que Groupama prenne en charge une partie des sinistres.
La 2eme en août 2021 suite à un dégât des eaux, aucun retour sur cette prise en charge 3 sem après le sinistre.</t>
  </si>
  <si>
    <t>Groupama</t>
  </si>
  <si>
    <t>16/09/2021</t>
  </si>
  <si>
    <t>01/08/2021</t>
  </si>
  <si>
    <t>pcl-128498</t>
  </si>
  <si>
    <t>conseillers peu réactifs : après 1 mail et 2 appels téléphoniques j'attends toujours qu'on me rappelle malgré des promesses réitérées
sinon j'envisage de résilier</t>
  </si>
  <si>
    <t>18/08/2021</t>
  </si>
  <si>
    <t>justiciaire-121473</t>
  </si>
  <si>
    <t>Bonjour et 1 avis de plus en négatif,
Un sinistre de fuite d'eau au plafond, en cause le proprio du haut qui n'est pas très motivé pour prendre en compte sa responsabilité. Bref sinistre en octobre 2020, ce jour au 28 juin 2021 on nous dit pas de travaux à charge votre bien est insalubre à 90%. AH AH qui peut me donner un barème reconnu et sous quelle condition classée un bien insalubre car même mon diagnostiqueur ne connais aucun barème de se type. Les experts Groupama enfin Equadum de Rouen joue au pifomètre? Je ne lâcherais rien nous avons tous des droits en tant que clients. Ils seraient juste bon de se réunir tous ensemble contre la Groupama.</t>
  </si>
  <si>
    <t>28/06/2021</t>
  </si>
  <si>
    <t>roraima-97597</t>
  </si>
  <si>
    <t>Je suis assuré pour la maison depuis plusieurs années chez Groupama . Cette année j'ai fait appel à la protection juridique car je n'obtenais rien d'un voyagiste suite à une annulation de billets d'avion à cause du Covid. Ils m'ont demandé tout le dossier et en 6 mois , ils ont envoyé 2 lettres de relance . C'est ce que j'avais fait auparavant sans réponse de leur part....Comme le voyagiste ne leur a pas répondu non plus , il viennent de m'envoyer un courrier me demandant de me débrouiller moi même avec le médiateur du tourisme . C'est pitoyable de voir le peu d'énergie mis en œuvre par cette assurance au rabais . Ils m'ont seulement fait perdre 6 mois dans mes démarches . Ce n'était pas du tout ce que j'espérais d'une "assistance juridique"</t>
  </si>
  <si>
    <t>vero-112723</t>
  </si>
  <si>
    <t xml:space="preserve">Après avoir un subi deux cambriolages en 10 ans avec le vol de matériel hifi, ordinateurs mais aussi mon véhicule, je suis très satisfaite de la manière dont groupama gan a pris en charge mes dommages, mon contrat comprends la garantie de réequipement à neuf et c'est un sacré soulagement.
Merci à l'équipe du service indemnisations de nouméa. </t>
  </si>
  <si>
    <t>05/05/2021</t>
  </si>
  <si>
    <t>hassb-111822</t>
  </si>
  <si>
    <t>Une catastrophe un service sinistre avec du personnels irrespectueux 
Sinistre depuis fevrier avec dossier complet depuis debut mars et toujours pas de reponse...on me balade en me disant qu'on vous rappelle depuis plus de 3 semaines</t>
  </si>
  <si>
    <t>27/04/2021</t>
  </si>
  <si>
    <t>01/04/2021</t>
  </si>
  <si>
    <t>az-110761</t>
  </si>
  <si>
    <t xml:space="preserve">Retire alors que je suis plus chez eux
Attention a eux
Impossible d'avoir un interlocuteur 
C est toujours un disque avec la même  rengaine et a la fin personne </t>
  </si>
  <si>
    <t>17/04/2021</t>
  </si>
  <si>
    <t>val64-104800</t>
  </si>
  <si>
    <t>Je déconseille à toute personne qui souhaiterait s’assurer de le faire auprès de Groupama. Je n’ai jamais expérimenté un tel niveau d’incompétences, de systèmes inopérants générateurs d’erreurs en série qui se transforment en cauchemar administratif pendant des semaines et en coûts supplémentaires pour l’assuré. A éviter absolument !!</t>
  </si>
  <si>
    <t>25/02/2021</t>
  </si>
  <si>
    <t>neli-102705</t>
  </si>
  <si>
    <t xml:space="preserve">Au niveau des prix, ça va. 
Mais dès que vous avez un souci sur des bâtiments il n'y a plus personne. C'est une assurance qui ne veut pas payer. Elle cherche toutes les possibilités, toutes les failles, pour ne pas indemniser avec des tas d'experts bien rodés au système.
Évitez Groupama.
</t>
  </si>
  <si>
    <t>15/01/2021</t>
  </si>
  <si>
    <t>phil-101893</t>
  </si>
  <si>
    <t xml:space="preserve">Bonjour 
Il ne faut pas en avoir besoin,service inexistant et quand on les joints ils ne peuvent rien faire. Ils attendent.....des fois qu'on change d'avis. 
Problème avec un ordinateur portable qui a grillé et là on attends qu un expert rappel et ...rien rien </t>
  </si>
  <si>
    <t>28/12/2020</t>
  </si>
  <si>
    <t>aure56-101516</t>
  </si>
  <si>
    <t xml:space="preserve">Gros coup de vent sur la Bretagne le 13 dec petits dégâts mais dégâts quand même moins de 400euro et la seul réponse c'est refus car vent en dessous de 100kmh ... c'est franchement abuser .. j ai pourtant pris pas mal d option mais voilà sa pour payer ils sont la après plus personne </t>
  </si>
  <si>
    <t>16/12/2020</t>
  </si>
  <si>
    <t>feth-101359</t>
  </si>
  <si>
    <t xml:space="preserve">Trop cher et sinistre non remboursé... je vais résilier tous mes contrats persos et pros................. je déconseille........ et je noterais évidemment sur les réseaux mon avis. </t>
  </si>
  <si>
    <t>lauryne1712-100285</t>
  </si>
  <si>
    <t xml:space="preserve">J’avais l’assurance habitation chez Groupama, j’ai déménager et je continuais à payer car j’ai perdu l’état des lieux de sortie prouvant que je n’habite plus le logement.
J’ai appeler  Groupama en expliquant la situation. Il m’ont remboursé directement ce que j’avais payé lorsque que je n’étais plus dans ce logement.
Très bon service client, je payer 9€ par mois d’assurance habitation. Très correct.
Je recommande </t>
  </si>
  <si>
    <t>19/11/2020</t>
  </si>
  <si>
    <t>cvx-99647</t>
  </si>
  <si>
    <t>Suite à un dommage du au vent - une porte d'un abri de jardina été légèrement endommagée, le chambranle ayant été arraché. Ce risque est couvert par mon assurance et j'ai déclaré l'incident . Celui-ci ne peut être pris en considération car il ne s'agit pas d'un évènement climatique (qu'il leur faut !!) Ils souhaitaient que j'obtienne un certificat de la mairie ou des mairies avoisinantes prouvant la force du vent et de mes voisins s'ils avaient eu des dégâts !!!! J'ai fait réparer ces dommages pour un montant de 80 €.
J'ai donc décidé de résilier ce contrat mais maintenant, ils cherche à m'ennuyer : une lettre recommandée était postée trop tôt car je n'avais pas encore reçu l'avis d'échéance ! Donc refus de résilier ! Un deuxième courrier transmis 3 jours après avoir reçu l'avis d'échéance semble prendre le même chemin  !! Je pense donc résilier tous mes contrats auprès de Groupama, dommage pour l'agence locale. 
Je déconseille vivement de souscrire un contrat auprès de cette société</t>
  </si>
  <si>
    <t>04/11/2020</t>
  </si>
  <si>
    <t>nono--99581</t>
  </si>
  <si>
    <t xml:space="preserve">Je le déconseille à tout le monde ce sont des personnes qui ne cherche pas à  résoudre les problèmes mais plus à vous enfoncer des clous suite à un dégâts des eaux eaux et en désaccord avec le chiffrage de l expert ils ont tout fait pour trouver la petite bête vraiment à éviter je l ai recommandé à personne faites attention payer un peu plus chère mais éviter cette compagnie et surtout si elle ne fait pas partie de votre région </t>
  </si>
  <si>
    <t>03/11/2020</t>
  </si>
  <si>
    <t>pas-contente-99151</t>
  </si>
  <si>
    <t>Pour vendre ils sont forts, mais dés que vous avez un sinistre qui pour ma part n'est pas de mon fait (je ne suis fait mordre par un chien). Cela fait  1 an 1/2 qu'ils ont mon dossier, ils sont incapables de me défendre face à l'assurance adversaire, et là ce jour, il me propose de prendre un avocat, naturellement ils vont si je le souhaite me prendre un RDV mes les honoraires serons à mes frais. ASSURANCE A FUIRE</t>
  </si>
  <si>
    <t>23/10/2020</t>
  </si>
  <si>
    <t>celine-98799</t>
  </si>
  <si>
    <t>Un assurance qui vous propose d'assurer beaucoup de choses en surface et lorsque vous regardez de plus prêt vous vous rendez compte que votre contrat est rempli de petites étoiles qui stipulent que vous n'avez en fait droit à rien... il y a plus de clauses qu'ils ne garantissent pas que de garanties réelles. Résultat, quand il vous arrive un problème, vous êtes sûr de ne pas vous faire indemniser car ils peuvent jouer sur les mots et toujours avoir raison. Et "Cerise" sur le gâteau, ils laissent mourir vos demandes de relance et ne répondent jamais en faisant la sourde oreille...Spéciale dédicace au service des sinistres Val de Loire qui sans vous je n'aurai jamais vu que je me faisais entuber et grâce à qui je vais pouvoir résilier mon contrat...FUYEZ!</t>
  </si>
  <si>
    <t>15/10/2020</t>
  </si>
  <si>
    <t>emma41-98508</t>
  </si>
  <si>
    <t>Très agréablement surprise par cet assureur. Plusieurs contrats souscrits, prix très corrects.
C'est seulement quand un sinistre survient qu'on peut vraiment savoir si notre assurance est fiable, et là, après seulement 1 mois de contrat, j'ai eu un dégât des eaux qui a été très bien et très rapidement pris en charge par GROUPAMA. Equipe très réactive et disponible.
A voir dans le temps si pas d'augmentation de cotisation excessive (ce qui était le cas chez mon précédent assureur chez qui je n'ai eu aucun sinistre pendant plus de 15 ans..) mais pour le moment j'en suis très satisfaite et envisage de souscrire d'autres contrats chez eux.</t>
  </si>
  <si>
    <t>08/10/2020</t>
  </si>
  <si>
    <t>benoitzinck-97359</t>
  </si>
  <si>
    <t xml:space="preserve">CATASTROPHIQUE!!!
Client chez Amaguiz je suis donc passé chez GROUPAMA, je me suis fait cambrioler le 10 mars 2020, puis plainte déposée le 9 juin suite covid (d'accord, il y a eu le rachat par GROUPAMA, le Covid.....) nous somme le 14 septembre et je ne suis toujours pas remboursé et personne n'est capable de m'informer sur le délai de traitement du dossier. 
Je trouve inadmissible le délai de remboursement !
D'autre par j'avais demandé le remboursement à neuf de mes équipements Hifi et vidéo (de marque Bang&amp;Olufsen), on m'a bien mis le remboursement valeur à neuf, mais seulement en cas de panne électrique... je rappelle que j'attends de mon assurance un CONSEIL ce qui n'a pas du tout été le cas.
Si vous achetez une Porsche neuve, vous l'assurée tout risque non???? Il me semble que c'est de la logique.
Je proscris totalement cette assurance, et compte en changer dès le remboursement effectué !
</t>
  </si>
  <si>
    <t>14/09/2020</t>
  </si>
  <si>
    <t>m-j-w-96118</t>
  </si>
  <si>
    <t xml:space="preserve">Cette assurance et à fuir le plus loin possible que ça soit dans le domaine d assurance habitation ou assurance juridique ils trouvent toujours une excuse pour pas prendre en charge le comble de tout un sinistre qu'ils refusent et de suite une lettre de résiliation ne respecte pas les contrats ,il faut se prendre un avocat pour les poursuivre pour non respecte de leurs conditions général j ai fait des courriers sans succès déjà j ai pris cette assurance avec des options sans franchise . Contrat Privatis 4231073 et comprend un service juridique dans leur conditions général .Mais en option j ai pris le service juridique spécifique - Rc vie privé - Défense Pénale et recours suite à un accident -PJ-travail/fiscal/Succession  
maintenant que j ai un différent fiscal il refuse de le prendre sinistre 2020627440 en me disant j'ai souscrit une assurance juridique comporte un seuil de 1 198€ supérieur à ma valeur de 837€ hors dans mes conditions général il rien  notez de ce quel décrit l'avocat que je vais consulter épluchera en détail ou il trouve se que le service juridique ma écrit un pur mensonge pour ne pas devoir prendre le litige </t>
  </si>
  <si>
    <t>23/08/2020</t>
  </si>
  <si>
    <t>opinion91-88781</t>
  </si>
  <si>
    <t>Client depuis plus de 20 ans, j'envoie un courrier recommandé avec accusé de réception, et pourtant ils refusent d'assurer leur obligation de résultat. Je résilie. Ces gens gagneront de l'argent auprès d'autres personnes maintenant. Cela dit, ça fait froid dans le dos car je me rends compte qu'ils n'ont jamais assuré les prestations d'assurance que je payais pourtant, mais pour rien. Quant à leurs placements, j'ai gagné moins 10 euros en 20 ans, soi-disant...</t>
  </si>
  <si>
    <t>19/08/2020</t>
  </si>
  <si>
    <t>eliam1-51334</t>
  </si>
  <si>
    <t xml:space="preserve">Suite à une résiliation, j'attends depuis  3 mois que le remboursement d'une partie de ma cotisation me soit viré.
À chaque relance, une réponse automatique indiquant que le remboursement est parti jour à croire qu'il se moque de leur client. </t>
  </si>
  <si>
    <t>03/08/2020</t>
  </si>
  <si>
    <t>covidus44-92847</t>
  </si>
  <si>
    <t>Après 2 sinistres non responsables (dommages électriques suite orages) en 4 ans de contrat, réception d'un courrier de résiliation, bien évidemment sans appel préalable de mon conseiller local.</t>
  </si>
  <si>
    <t>30/06/2020</t>
  </si>
  <si>
    <t>leonin66-88959</t>
  </si>
  <si>
    <t>Prix prohibitifs face à offre concurrentes comparables + 30% face à des assureur mutualistes par exemple</t>
  </si>
  <si>
    <t>17/04/2020</t>
  </si>
  <si>
    <t>01/04/2020</t>
  </si>
  <si>
    <t>nico-87185</t>
  </si>
  <si>
    <t>"On ne vous assurera pas car vous avez trop d'objets de valeur, et de toute façon nos concurrents aussi..." 
Donc sachant que je suis déja assuré, et pour exactement la même chose que ce que je vous demande, comment expliquez vous que votre concurrent m'assure ?!
"je ne sais pas..."
Dans ce cas, n'affirmez pas qu'aucun de vos concurrents ne m'assurera pas, sachant que je le suis déja et que j'ai 4 devis supplémentaires prêts à être signés.
Je me souviens avoir eu affaire à leurs service pour une souscription d'assurance auto il y plusieurs années et c'était le même principe, couverture au rabais et cotisations loins d'être compétitives face à des acteurs solides et incontournables du marché (Allianz, Axa, MAAF etc...)</t>
  </si>
  <si>
    <t>15/02/2020</t>
  </si>
  <si>
    <t>01/02/2020</t>
  </si>
  <si>
    <t>eldacite-86568</t>
  </si>
  <si>
    <t>Tout se passe bien jusqu'au jour où on veut les quitter</t>
  </si>
  <si>
    <t>31/01/2020</t>
  </si>
  <si>
    <t>ginette-81064</t>
  </si>
  <si>
    <t>Ne compter pas sur groupama pour être réactif j ai eu un sinistre il y a 1mois et il n'ont toujours rien fait il me ballade au téléphone et s en foute</t>
  </si>
  <si>
    <t>olympe89-77969</t>
  </si>
  <si>
    <t>Résiliation en mars 2018 suite à un déménagement, 8 mois plus tard, lettres d'huissiers me demandant se régler pour des dates où je n'étais déjà plus chez eux. 7 mois plus tard toujours aucunes réponses à mes dizaines de mails et de coups de fils où les conseillers se renvoient la balle... pour au final dire que je ne donne pas suite pour vous forcer à payer 8 mois d'assurance pour un logement où je ne vis plus avec preuve de résiliation de mon contrat en mars 2018 et non en octobre 2018 comme ils essayent de le faire croire ! 
A FUIRE !!!!</t>
  </si>
  <si>
    <t>27/07/2019</t>
  </si>
  <si>
    <t>xav-77045</t>
  </si>
  <si>
    <t>assueur traitant ses clients comme des chiens, service juridique qui s en fout et qui traite vos dossiers n importe comment, aucun accompagnement malgré plusieurs contrat actifs, je conseille à tout client de se barer</t>
  </si>
  <si>
    <t>24/06/2019</t>
  </si>
  <si>
    <t>jam-76233</t>
  </si>
  <si>
    <t xml:space="preserve">C'est un assureur de vieux , le site mobile en ligne est précaire, lorsque l'on doit payer sa cotisation annuelle c'est par chèque parceque au téléphone ils ne savent pas en ligne comme je le disais le site est bidon. Si on Envoi un message en ligne plus d'une semaine pour avoir une réponse par téléphone ! Je dois reconduire mon assurance pas la peine je me barre. Trop compliqué à l'ancienne n'évolue pas </t>
  </si>
  <si>
    <t>25/05/2019</t>
  </si>
  <si>
    <t>loriane-75324</t>
  </si>
  <si>
    <t>En 2013 j'ai fait faire, par un artisan assuré chez Groupama, un parquet dans une chambre de toute petite maison en dordogne, j'habite Montpellier, or en 2019 CE PARQUET S'EST EFFONDRE et la pièce est impraticable. Je ne peux plus me rendre dans cette petite maison et je suis coupée de ma famille. Mes enfants et petits enfants ne peuvent plus se retrouver pour les vacances et les réunions familiales, je ne peux plus louer. 
Je veux signaler que malgré ce sinistre évident suite à ces travaux défectueux et plancher absent parceque complétement pourri, malgré les avis des experts macif et groupama, groupama refuse la prise en charge de la garantie décennale, cette assureur refuse de m'indemniser et me laisse avec une maison inhabitable.
Le préjudice dure depuis un an !!! Le dommage est indéniable !
Malgré le contrat et les primes versées, l'assureur N'ASSURE RIEN ! 
Ce comportement est inadmissible et très préjudiciable aux assurés que nous sommes.
Tous les documents attestent de ces faits et l'assureur reste sourd indifférent aux difficultés qu'il impose et par cette attitude contraint les personnes à aller en justice, justice débordée par la multiplication de ce genre de comportement de refus d'assumer ses engagements contractuels.
Je déconseille fortement d'avoir affaire à Groupama.
LM</t>
  </si>
  <si>
    <t>24/04/2019</t>
  </si>
  <si>
    <t>01/04/2019</t>
  </si>
  <si>
    <t>pecheute-71740</t>
  </si>
  <si>
    <t>Nous avons eu un sinistre avec ENEDIS surtension, le 16/08/2018 et depuis nous attendons que le service sinistre GROUPAMA nous indemnise. Nous avons accepté la dernière proposition d'ENEDIS pour en finir avec ce problème. Aucune nouvelle, nous envoyons régulièrement des mails pour demander quand nous recevrons notre indemnisation, rien. Nous pensions que GROUPAMA nous indemniserait vu que le montant qu'ENEDIS nous accorde est connu, mais GROUPAMA ne veut pas avancer les fonds. Par contre, prélever sur notre compte tous les mois, ils le peuvent.</t>
  </si>
  <si>
    <t>28/02/2019</t>
  </si>
  <si>
    <t>kiki-69260</t>
  </si>
  <si>
    <t>Ai l'impression de faire un don en payant la cotisation. Réponses honteuses et mensongères, ne correspondant pas au contrat. Ils trouvent tjrs une échappatoire. Ne sont pas corrects. Cherche autre assureur plus respectueux de leurs clients, cela doit exister</t>
  </si>
  <si>
    <t>05/01/2019</t>
  </si>
  <si>
    <t>ramses-68755</t>
  </si>
  <si>
    <t>Très mauvais remboursement suite à cambriolage en contradiction  avec les conditions générales. qui stipulent qu'ils sont garantis en valeur de remplacement c'est à dire au cours du jour du sinistre alors qu'ils l'ont fait prix occasion salle des ventes soit 75% de leur valeur estimée en 1990 près d'un  bijoutier de Dinan</t>
  </si>
  <si>
    <t>20/11/2018</t>
  </si>
  <si>
    <t>tony-64521</t>
  </si>
  <si>
    <t xml:space="preserve">N'applique pas le devoir de conseil. Contrat souscrit en 1987 par mon père . Aucune réactualisation. Au décès de mon père grosses difficultés pour résilier le contrat. Ils réclament même la preuve qu'une nouvelle assurance a été souscrite. Bref se tenir à l'écart. Nous avons eu aussi des difficultés pour recevoir le montant de l'assurance vie que mon père avait souscrite. Assurance vie au demeurant peu performante. Je déconseille formellement. </t>
  </si>
  <si>
    <t>06/06/2018</t>
  </si>
  <si>
    <t>jeannot-64466</t>
  </si>
  <si>
    <t>Classe sans suite votre sinistre d’accident de la route en tant que victime, malgré la clause dans leur contrat.</t>
  </si>
  <si>
    <t>05/06/2018</t>
  </si>
  <si>
    <t>group-61945</t>
  </si>
  <si>
    <t>Fuyez cet assureur !</t>
  </si>
  <si>
    <t>02/03/2018</t>
  </si>
  <si>
    <t>greg29-54994</t>
  </si>
  <si>
    <t xml:space="preserve">Suite à cambriolage , un menuisier est recommandé par Groupama. Côtes mal prises sur une porte d entrée ( 2 cms de jour en bas de porte ...) fenêtres ne fermant pas ( au rdc côté rue ...)  etat du chantier déplorable , volets posés en dépit du bon sens . Artisan envoyé par Groupama refuse de revenir / service sinistre muet . Bilan: nouvelle effraction par la fenêtre qui ne fermait pas . Bravo </t>
  </si>
  <si>
    <t>raisouza-61397</t>
  </si>
  <si>
    <t>Suite à un dégât des eaux qui date de plus de 5 mois et qui a endommagé le parquet de la salle de bain, je n'ai toujours pas reçu l'indemnisation pour pouvoir changer le parquet et la douche cassée. Ils demandent de faire changer la douche avant de mettre le parquet alors que ce n'est pas possible puis changent d'avis. Quand je les appelle, on n' pas honte de me dire que mon dossier n'avance pas parce que on m'a oublié ou je dois leur dire de regarder les rapports d'expert qu'ils ont commandé mais qu'ils ne lisent pas si je ne les appelle pas. Ils trouvent que les prix sont trop élevés et font venir des experts pour vérifier les prix annoncés alors que je suis client chez eux depuis 20 ans et que la somme (4000 €) est loin de ce que j'ai payé chaque année sans avoir jamais de dégâts et que pinailler pour cela me semble étrange car en plus ce sont leurs professionnels agréés qui font les devis.</t>
  </si>
  <si>
    <t>13/02/2018</t>
  </si>
  <si>
    <t>celine-59843</t>
  </si>
  <si>
    <t>Dramatique. Manque de compétence et de suivi des dossiers sinistres.  Tout est par téléphone (j'ai passé des heures à essayer de régler ce sinistre à l'amiable) ils refusent toujours de s'engager par écrit. La politique de la maison semble être on ne répond pas on client et on le fait attendre... 8 mois après je suis toujours avec ma fenêtre qui a été cassée avec risque de chute sur rue. Vous avez dit sérieux ?</t>
  </si>
  <si>
    <t>20/12/2017</t>
  </si>
  <si>
    <t>linscription-55260</t>
  </si>
  <si>
    <t>De loin la meilleure compagnie d'assurance que j'ai pu voir. Certe un peu plus chère, mais ils s'occupent de tout en cas de pépin. Il faut dire aussi que toutes nos assurances sont chez eux (parents, soeur, auto, habitation). Côté moto, en revanche, laissez tomber !!!</t>
  </si>
  <si>
    <t>10/06/2017</t>
  </si>
  <si>
    <t>moulinette-53952</t>
  </si>
  <si>
    <t xml:space="preserve">ayant eu un sinistre,je me suis déplacée à l'agence Groupama de mon secteur,  le conseiller, après m'avoir donné un numéro de téléphone qui me dirigeait vers la personne s'occupant des sinistres, m'a  alors de
mandé d'aller porter plainte à la gendarmerie,ce qui fut fait, dans la foulée.
J'ai ensuite aussitôt téléphoné et il m'a été répondu que mon sinistre n'était pas couvert par mon assurance ! 
J'aurais préféré que le conseiller de mon secteur prenne la peine de vérifier mon contrat pour me dire que je ne serai pas indemnisée je n'aurai pas perdu mon temps !!! </t>
  </si>
  <si>
    <t>08/04/2017</t>
  </si>
  <si>
    <t>beniat19-52131</t>
  </si>
  <si>
    <t xml:space="preserve">Ma sœur et moi-même avons vendu le 30/12/2016 une maison assurée auprès de Groupama jusqu'au 31/12/2016.
Le 31/12 j'ai envoyé un mail à l'agence Groupama de TREIGNAC (19260) pour indiquer cette situation en joignant l'attestation de vente établie par le notaire ; je demandais que le prélèvement de 256.01 € à intervenir au 16/01/2017 ne soit pas appliqué.
Le 31/12/2017 j'appelle l'agence et un répondeur m'indique qu'elle est fermée jusqu'au 03/01/2017
Le 03/01 je reçois l'accusé de réception de mon mail du 31/12.
Le 04/01/2017 j'appelle l'agence de TREIGNAC et je tombe sur le service client de Groupama ; La personne qui me répond m'indique que le prélèvement au 16/01/2017 est parti dans le circuit, qu'il aurait fallu appeler le 03/01 et que je dois faire opposition auprès de ma banque pour le prélèvement.
Pour faire opposition c'est payant; il a donc fallu approvisionner en urgence le compte sinon il était insuffisamment approvisionné avec toutes les conséquences que cela aurait eues.
Le 04/01 la responsable de l'agence de TREIGNAC m'indique par mail qu'elle prend en charge ma demande et qu'elle transmet le dossier à son service.
Le 19 Janvier j'ai reçu un mail de Groupama pour une enquête de satisfaction : j'ai indiqué mon mécontentement sur le site mais je pense que personne ne l'a lu ; donc à quoi ces enquêtes servent-elles ?
Le 3 Février à 9 h 58 l'agence ne répond pas et l'appel est transféré automatiquement sur le  service client. La correspondante m'indique qu'il y a eu des erreurs dans la transmission des pièces; le dossier est complet depuis le 10/01/2017 et le remboursement devrait intervenir vers le 15 Février !!!!!!!
A ce jour, 07/02/2017, je n'ai eu aucune nouvelle de Groupama sauf que le prélèvement du 16/01 a bien eu lieu.
Vous comprendrez donc mon mécontentement : à quoi servent les agences ? 
Elles sont bonnes pour une souscription mais pas pour une résiliation !!!!
La réactivité de Groupama laisse à mon avis vraiment à désirer; est la même chose pour les sinistres ? 
Je vais donc résilier tous les contrats de ma famille, je vais demander à ma sœur d'en faire de même.
</t>
  </si>
  <si>
    <t>07/02/2017</t>
  </si>
  <si>
    <t>leadeparis201-51849</t>
  </si>
  <si>
    <t>1er siniste en 20 ans chez Groupama, cambriolage avec effraction très traumatisant psychologiquement  et je suis dépouillé de tous les objets de valeur accumulés depuis ma naissance. Résultat: Groupama m'envoie un expert qui me traite comme un présumé coupable à l'assurance et use de toutes les tentatives d'intimidation possibles et imaginables. Ils font trainer le remboursement de la serrure à 400 euros dont ils avaient validé par écrit le devis il y a 6 mois (j'avais pris soin de demander leur accord avant de toucher quoique ce soit). Bref si vous avez envie d'etre traité comme un coupable quand vous êtes victime et d'etre remboursé 2 euros quand vous perdez toute votre vie, il faut aller chez Groupama! A FUIRE ABSOLUMENT!!!!</t>
  </si>
  <si>
    <t>eve-de-beauharnais--136185</t>
  </si>
  <si>
    <t>L’accueil est froid et non convivial. L’attente est longue. Le métier est mal expliqué et on doit se déplacer pour faire une CB. Sur fauteuil roulant à l’époque j’ai trouvé cela inadmissible (pas de chéquiers)</t>
  </si>
  <si>
    <t>AXA</t>
  </si>
  <si>
    <t>06/10/2021</t>
  </si>
  <si>
    <t>jeanx-134067</t>
  </si>
  <si>
    <t>Je me suis présénté à l agence,je me souviens toujours de l acceuil agréable  qui m a été réservé pour signé mon contrat.
Avec Axa j ai confiance;ça serai à refaire je choisirai Axa comme mon Assureur principal</t>
  </si>
  <si>
    <t>23/09/2021</t>
  </si>
  <si>
    <t>ludovic-134054</t>
  </si>
  <si>
    <t xml:space="preserve">apres environ 30 années d'assurance multi et diverses contrats, et tres peu de sinistres en 30 ans ,axa n'arrive pas a resoudre un litige avec un tiers identifié (2 ans que ça dure ) .
reponse de la conseiellere en agence par téléphone :si vous etes pas satisfait changer de compagnie, et ne réponds plus aux mails car il y a un service sinistre.
reponse du service sinistre: la partie adverse (axa) ne repond pas je relance encore et encore.
2 ans c'est long,....décevant......litige de -de 4000 euros </t>
  </si>
  <si>
    <t>22/09/2021</t>
  </si>
  <si>
    <t>anais-129605</t>
  </si>
  <si>
    <t>Suite à un problème de serrure dans mon appartement je ne pouvais plus rentrer dedans j'appelle mon assurance qui m'envoie un serrurier agréé ( donc sensé être pris en charge) le serrurier intervient et me demande 3 chèque pour un total de 1100€ en me disant d'envoyer la facture à mon assurance pour être remboursé, et voilà que au bout de 1 an mon assurance me dit que je ne pourrais pas être remboursé car le délai est dépassé cependant aucun conseiller ne m'a informé de ce délai.</t>
  </si>
  <si>
    <t>26/08/2021</t>
  </si>
  <si>
    <t>maryse-129168</t>
  </si>
  <si>
    <t xml:space="preserve">AXA est une   trés mauvaise assurance!!!
j ai plusieurs assurance chez eux depuis des années, et j ai eu un problème de sinistre et ca fait bientot 1 an que ca dure
ils ne repondent a aucun mails ni appels .
j attend la date d anniversaire pour partir de chez eux 
ils sont médiocre en tout !!!
</t>
  </si>
  <si>
    <t>23/08/2021</t>
  </si>
  <si>
    <t>fabrice-117736</t>
  </si>
  <si>
    <t xml:space="preserve">Bonjour,
La cotisation sur mon contrat habitation est exponentielle depuis que je suis chez axa mais ces deux dernières années elle est inimaginable:
Augmentation de 200 euros sur mon contrat en 2020, augmentation de 50 euros en 2021 + augmentation de la franchise. 
Raison invoquée en 2020: une catnat et pas d'autres contrats chez eux. 
Drôle de politique et drôle de mentalité, comme si j'étais responsable de la cat nat!
En plus gestion du dossier très longue et compliquée, prise en charge partielle ...
</t>
  </si>
  <si>
    <t>21/06/2021</t>
  </si>
  <si>
    <t>max-117483</t>
  </si>
  <si>
    <t xml:space="preserve">A fuir !
Tout est bon et ils ont toujours de bonnes raisons pour ne pas  vous aider  et de vous soutenir. quand il vous avez  un problème.et idem leur protection.juridique cherchant un bémol.
J 'ai quitté cette assurance au bout de 25 années sans regret du fait de leur comportement 
</t>
  </si>
  <si>
    <t>18/06/2021</t>
  </si>
  <si>
    <t>marie-116989</t>
  </si>
  <si>
    <t xml:space="preserve">Bonjour,
Suite à un sinistre dont j'ai été victime (un tiers a endommagé mon portail automatique), une déclaration a été faite à la compagnie adverse. J'ai également fait une déclaration au service sinistre de chez AXA (assurance habitation).
La compagnie adverse a missionné un expert et un rapport a été rendu, dont aucun problème de l'assurance du tiers.
J'ai fait effectuer la réparation et régler l'entreprise pour les frais de remise en état.
Le problème à ce jour vient du service sinistre de AXA. En effet suite à plusieurs relances de ma part pour le règlement  du dossier (mails et téléphones) j'ai constaté que la personne en charge de cette affaire est incompétente et butée puisque elle a fait la grossière erreur de mal analyser le constat (pour elle c'était moi la responsable) et malgré plusieurs explications elle n'a pas voulu reconnaitre ses erreurs.
De ce fait aujourd'hui il y a réclamation et donc une nouvelle expertise de la Cie AXA qui a déjà le rapport de la compagnie adverse .
Ce qui va retarder le dossier d'un mois de plus (sinistre datant du 02/03/2021).Et des frais  de facturation du cabinet d'expertise !!!
A savoir que le service sinistre AXA est géré sur une plate forme téléphonique et non chez votre agent d'assurance !!!!!
</t>
  </si>
  <si>
    <t>14/06/2021</t>
  </si>
  <si>
    <t>pedro--111489</t>
  </si>
  <si>
    <t>Beaucoup trop cher par rapport à toutes les autres compagnies et c'est pour cela que j'envisage de changer plutôt que continuer à payer cher pour rien de mieux et faire sourire mes amis lorsqu'on parle de nos assurances respectives</t>
  </si>
  <si>
    <t>23/04/2021</t>
  </si>
  <si>
    <t>emma-111174</t>
  </si>
  <si>
    <t>Agence disponible et accueillante mais:
Assurance assez chère.
Indemnisations pas à la hauteur des sinistres.
Méthodes d'indemnisations opaques et plus que discutables.</t>
  </si>
  <si>
    <t>21/04/2021</t>
  </si>
  <si>
    <t>h-111009</t>
  </si>
  <si>
    <t xml:space="preserve">Bonjour,
Cet avis ne concerne pas l'agence Garches en lui-même, car mon interlocutrice a été très patiente et à l'air efficace.
Je tiens à indiquer qu'au lieu de recevoir un chèque de remboursement au prorata (du centre de gestion de paiement?) suite à une fermeture de contrat ... J'ai reçu 2 lettres dont une mise en demeure et un sms de paiement de la somme totale du contrat que j'ai résilié...
Cette affaire traîne depuis plus de 2 mois, où j'ai passe beaucoup de temps à justifier avec preuve à l'appui...
Conclusion: Est-ce ça vaut vraiment le coup de prendre une assurance chez Axa quand on a l'impression que derrière rien ne suit... Malgré le professionnalisme de l'agence. ?
Cordialement
C H </t>
  </si>
  <si>
    <t>20/04/2021</t>
  </si>
  <si>
    <t>laurent-110821</t>
  </si>
  <si>
    <t xml:space="preserve">Assurance de très mauvaise qualité. J'ai eu un sinistre et Axa a été incapable de m'apporter le moindre support. Aucun contact ils ne répondent jamais. c'est scandaleux. </t>
  </si>
  <si>
    <t>18/04/2021</t>
  </si>
  <si>
    <t>xavier--110376</t>
  </si>
  <si>
    <t xml:space="preserve">Assurance très chère ! Les garanties ne sont pas respectées ! Assurée avec valeur du neuf sur des produits hors gammes, vous vous retrouvez avec de la vétusté hors norme et remboursement à désirer car, en effet, on annule dès remboursements, fabuleux ! De grandes déceptions après de longues années de fidélités !!! Assurance pour des sociétés, des voitures et habitation qui cause problème avec EUX!!!! TRISTE réalité à CE JOUR !!! Je ne désespère pas sur une réaction de AXA France </t>
  </si>
  <si>
    <t>14/04/2021</t>
  </si>
  <si>
    <t>mamy45-60907</t>
  </si>
  <si>
    <t xml:space="preserve">Suite à l'incendie de notre pavillon, AXA nous a fait signer une quittance subrogative pour la somme versée en principale (à notre banque pour l'hypothèque sur notre pavillon) puis en différé (qui comprenait 12 mois de loyers afin de nous reloger) et une somme retenue par AXA pour soi disant un changement de taux de TVA qui ne concernait pas le pavillon qui devait être reconstruit. Sans oublier tout le contenu du pavillon, meubles, vêtements etc...... Procédure engagée contre AXA : perdue motif : la quittance subrogative que l'assureur nous a fait signer n'est pas valable !!!!!! 
</t>
  </si>
  <si>
    <t>26/12/2020</t>
  </si>
  <si>
    <t>max-101330</t>
  </si>
  <si>
    <t xml:space="preserve"> Ayant quitter mon logement j’ai voulu résilié et mon contrat mais je n’avais pas d’état des lieux (ni à l’entrée ni à la sortie)et je ne m’entendais pas avec mon propriétaire j’avais donc couper tout contact et ayant expliquer tout cela à axa ils n’ont pas voulu m’écouter et ne veulent pas résilier mon contrat. Alors je paye chaque mois 12€ d’assurance dans un logement que je n’habite plus. Je ne sais pas quand ça va s’arrêter mais j’espère bientôt ...</t>
  </si>
  <si>
    <t>11/12/2020</t>
  </si>
  <si>
    <t>oom-100920</t>
  </si>
  <si>
    <t xml:space="preserve">LAMENTABLE, FUYEZ SURTOUT! assurée depuis 1995...
AXA blablabla
Sinistre feu dans la cuisine le 8 OCTOBRE 2020.
De nombreuses relances avec toujours la même réponse,  on vous téléphone dans 48h et on vos envoie un expert. J ai acheté une.nouvelle plaque pour cuisiner  400e toujours pas remboursée.  Triste réalité   un huissier puis avocat vont suivre.  Un.ami a subit un feu dans son bureau,  mes nettoyeurs étaient là  3 jours après.... </t>
  </si>
  <si>
    <t>mamouna-100525</t>
  </si>
  <si>
    <t xml:space="preserve">Tous les courriers adressés à AXA, sauf un sans explication, sont restés sans réponse. 
Aujourd'hui, cette somme que nous doit AXA nous manque énormément. Nous avons fait des crédits révolvings pour nous en sortir. Nous sommes désemparés. Nous avons payé des cotisations pour être assurés et au final : la partie en différé non remboursée ! Merci à cet assureur pour ne pas respecter ses clients. </t>
  </si>
  <si>
    <t>24/11/2020</t>
  </si>
  <si>
    <t>minh-99897</t>
  </si>
  <si>
    <t>Axa est une grande société mais malheureusement le service client abuse ce statut. Le service client est très lente et incompétente pour mettre en place d'un nouveau contrat. Chaque fois la date du début de contrat est repoussé. J'espère qu'Axa pourrait revoir la qualité de son service. Dommage pour cet assureur. Son image est négatif à cause de son service client</t>
  </si>
  <si>
    <t>09/11/2020</t>
  </si>
  <si>
    <t>anne-99242</t>
  </si>
  <si>
    <t xml:space="preserve">Je ne recommande pas du tout à Axa. Après un an de résiliation ils m’envoient un courrier me disant que je n’avais pas résilié et que du coup je devrais payer. Une chance que j’ai retrouvé la preuve de résiliation. Ils l’avaient fait également à une autre personne que je connais. </t>
  </si>
  <si>
    <t>26/10/2020</t>
  </si>
  <si>
    <t>agb-97928</t>
  </si>
  <si>
    <t>Excellent niveau de garanties et de couvertures en assurance habitation. Par contre, en cas de sinistre, le montant de la cotisation double en 2 ans ! Vraiment pas top surtout quand on est client depuis plus de 30 ans.</t>
  </si>
  <si>
    <t>28/09/2020</t>
  </si>
  <si>
    <t>phenixette-97896</t>
  </si>
  <si>
    <t xml:space="preserve">ils sont présent pour encaisser vos mensualité mais en cas de remboursement ne comptez pas sur eux. vous ne serez pas remboursés. pour excuse le rapport de l'expert qui sera toujours négatif. </t>
  </si>
  <si>
    <t>26/09/2020</t>
  </si>
  <si>
    <t>ch-96612</t>
  </si>
  <si>
    <t>Bonjour,
Après avoir été client pendant plusieurs années (10 ans je crois) Via DIOT (un courtier) chez AXA, il m'a été refusé une négotiation de prime pour cette année (je précise que la prime augmentait chaque année de façon importante sans que je n'ai jamais eu besoin de faire appel à mon assurance==&gt; pas de litiges ni d'accidents).....et heureusement car j'ai découvert AcommeAssure qui m'a fait une proposition vraiment beaucoup plus attractive qu'AXA pour le même niveau de garanties.
Je trouve dommage que la fidélité ne paie plus mais c'est globalement la même chose partout (téléphonie mobile, internet, etc.)
Je ne peut donc plus conseiller AXA car tant en termes de tarifs que de récompenses de la fidélité, ils ne sont pas au rendez-vous.
Bonne recherches à tous !
CH</t>
  </si>
  <si>
    <t>28/08/2020</t>
  </si>
  <si>
    <t>tarti-88637</t>
  </si>
  <si>
    <t>catastrophe naturelle :remboursement à 1/5 des dégâts graves subis même avec la preuve sous le nez, gestion interminable, aucune aide ni conseil,  mensonges, inhumain</t>
  </si>
  <si>
    <t>02/04/2020</t>
  </si>
  <si>
    <t>jpf-88256</t>
  </si>
  <si>
    <t>Ma mère n'a jamais pu obtenir une attestation de responsabilité civile dans le cadre de son assurance multi risques habitation alors que légalement l'assureur est tenu de le fournir. Cette attestation étant indispensable à son admission en EHPAD, elle a dû souscrire une assurance responsabilité civile auprès d'un autre organisme. De plus, sur son compte client AXA, seul le nom du mandataire AXA en charge du dossier est indiqué sans aucune précision d'adresse postale, ce qui ne simplifie pas les démarches.</t>
  </si>
  <si>
    <t>12/03/2020</t>
  </si>
  <si>
    <t>leyla-mourad-87461</t>
  </si>
  <si>
    <t>ils m'ont assuré que l'assurance a été résiliée et puis je me rends compte qu'elle a été renouvelée. on m'a poursuit pour 103 euros sans même que je n'ai besoin de leurs services. Quand j'ai appelé pour réclamer, aucune réponse. ni par mail ni par téléphone.</t>
  </si>
  <si>
    <t>21/02/2020</t>
  </si>
  <si>
    <t>docapas-86641</t>
  </si>
  <si>
    <t>très mauvais suivi du dossier ; ne défend pas l'assuré ; se réfugie derrière un avis erroné de l'expert qui, lui, est intouchable ..</t>
  </si>
  <si>
    <t>03/02/2020</t>
  </si>
  <si>
    <t>gregl38-18479</t>
  </si>
  <si>
    <t>Suite à une coupure d'électricité de 6 jours j'ai du jeter tout le contenu de mon frigo et congélateur.
Je prends donc contact avec l'agence AXA de VIENNE (38 ISERE) qui m'apprend que je suis bien couvert pour ce dommage mais contre une franchise de 167 euros. 
Alors suite à cette très bonne surprise j'ai pris la décision de résilier tous mes contrats chez AXA, 2 voitures une maison et bientôt à échéance une assurance de la vie.
Résultat maintenant à la GMF je suis mieux assuré et j'ai fait une économie de 270 euros et aucune franchise pour mon frigo
Un grand merci à ENEDIS ET (AXA qui n'assure rien d'autre que ses bénéfices)</t>
  </si>
  <si>
    <t>co64-86073</t>
  </si>
  <si>
    <t xml:space="preserve">jai eu un dégâts des eaux du à une société d'entretien de voirie il y a un an et demi et depuis toujours pas de remboursements de travaux malgré les nombreux passages d'experts en tout genre je suis cliente depuis au moins 20 ans </t>
  </si>
  <si>
    <t>19/01/2020</t>
  </si>
  <si>
    <t>phil-85891</t>
  </si>
  <si>
    <t>Si vous n'avez besoin de rien choisissez AXA
victime d'un dégat des eaux en aout 2019 pour mon appartement sous compromis de vente, cinq mois apres le canard est toujours vivant.
Conseillers à l'étranger et différent à chaque appel, impossible de joindre la personne en charge de mon dossier après 4 relances par téléphone, remboursement partiel sur le compte de ma soeur décédée en décembre 2016 alors que le contrat est à mon nom, expertises sans retour, que du bonheur.
ma vente est très compromise et les sinistre n'est pas réglé.</t>
  </si>
  <si>
    <t>14/01/2020</t>
  </si>
  <si>
    <t>cloclo-85517</t>
  </si>
  <si>
    <t>Je suis assurée MATMUT. J'ai malheureusement affaire à Axa car suite à un dégât des eaux le plombier mis en cause est assuré chez Axa.  Axa ne s'est pas deplace lors de l'expertise et a ensuite nommé un expert extérieur à Axa My Sinistre pour gérer le sinistre. Résultat honteux. Aucune prise en charge par Axa. devrait diminuer son sponsoring et augmenter le remboursement de ses clients.</t>
  </si>
  <si>
    <t>05/01/2020</t>
  </si>
  <si>
    <t>fleur-85446</t>
  </si>
  <si>
    <t>vec une gentillesse et un devouement epatants. autant au siège qu'à l'agence dans le gard à St hyppolite du Fort. ils se sont tres bien occupé du sinistre de maman.
ils ont pensé à me prevenir qu'une fois sa maison vendue elle n'aurait plus d'assurance responsabilité civile et m'ont proposé de baisser les garanties la maison n'étant plus occupée.</t>
  </si>
  <si>
    <t>03/01/2020</t>
  </si>
  <si>
    <t>mic71-85288</t>
  </si>
  <si>
    <t>J'ai déclaré un sinistre qui finalement n'était pas garanti. Je n'ai donc pas été remboursé mais un plus j'ai eu une augmentation de 30% de mon échéance soit + 130 euros</t>
  </si>
  <si>
    <t>27/12/2019</t>
  </si>
  <si>
    <t>alare-81729</t>
  </si>
  <si>
    <t>Aucun sinistre en quarante ans chez AXA.
Des hausses de 10 % par an. Cette année : +12,5% après +9,88% l'an dernier. Lorsque j'ai annoncé que je partais un geste a été fait pour limiter la hausse, mais j'ai déjà pris mes dispositions pour résilier ce contrat.
Véridique et je peux le prouver. Monsieur l'assureur, je veux résilier mon contrat parce qu'un de vos confrère m'a dit que le tarif était "anormal".
Après ce que je considère comme un bidouillage, on est passé de 1000 euros à .....276,72 euros. A la question "pourquoi un tel écart?" attention à la réponse... "on assurait un risque qui n'existait pas"
Sur 10 ans cela fait 7000 euros  rien que pour ce contrat.
Sauve qui peut fuyons !!!
J'ajoute que JE N'AI JAMAIS EU DE SINISTRE RESPONSABLE  en 40 ans et que sur plus de 20 contrats chez AXA, il n'en restera bientôt plus aucun.
Et si vous saviez comme je suis bien ailleurs...</t>
  </si>
  <si>
    <t>07/12/2019</t>
  </si>
  <si>
    <t>laure-81440</t>
  </si>
  <si>
    <t>Bonjour, L'agence Axa Alésia Paris 14 est fermée et personne chez Axa France ne peut rien me dire ! On veut me rediriger vers un numéro qui ne répond pas mais on ne veut pas me donner le numéro. C'est top secret ! Axa ne peut pas non plus prendre la responsabilité de me rappeler. Il faut que je rappelle, on a connu mieux comme service client !</t>
  </si>
  <si>
    <t>oscar-79198</t>
  </si>
  <si>
    <t>0 point positif. Très cher pour une couverture plus que minimale. A fuir absolument si vous comptez sur une bonne protection civile notamment</t>
  </si>
  <si>
    <t>14/09/2019</t>
  </si>
  <si>
    <t>nono1961-79172</t>
  </si>
  <si>
    <t xml:space="preserve">on est chez AXA depuis plusieurs années on est très satisfait on était partie de chez eux et on a regrette mais voila on est revenu </t>
  </si>
  <si>
    <t>13/09/2019</t>
  </si>
  <si>
    <t>tatiana-77846</t>
  </si>
  <si>
    <t>Hier jai étais à axa pour faire un devis d'assurance auto Quand la secrétaire me demande si je suis actuellement chez eux je lui répond que non Cependant elle me dis que jai toujours mon assurance habitation en cours Ce logement avais pris du retard sur la résiliation car il y avais un sinistre de Bris de glace à réparer Cependant ils ce sont tromper de mesure Ce qui a retarder d'un mois la résiliation Malgré mes envoies de lettre recommander et de nombreux courrier Il n'accepte toujours pas la résiliation Même si je prouve avec mon état des lieux de sortit. Un mail m'as étais envoyer il y a tout juste deux mois Me disant qu'il avais bien reçu l'état des lieux mais pas la lettre de résiliation Et en plus il ne me rembourse que 28euro sur 88euro De plus quand jhabitais a cette appartement je me suis fais cambrioler J'ai perdu plus de 4000euro Quand j'appelle pour déclarer ce cambriolage Axa m'annonce que ce que j'avais entre les mains n'étais qu'un vulgaire devis Et que je continuer de payer depuis pas mal de temps mon anciens logement Alors que j'avais appeller axa pour déclarer un changement d'adresse et rester avec eux. Comment vous l'expliquer monsieur l'assureur ? Moi qui étais satisfaite (à l'époque) de leur services il n'as jamais étais convenue d'un devis mais d'une souscription J'ai eu la bonne idée de demander de retrouver l'enregistrement de l'appel  bien évidement il ne l'on pas pour vous sauver Jai toujours étais assuré chez axa depuis que j'ai eu mon scooter à 15 ans J'en ai 25 aujourd'hui Et depuis toujours j'assure mon habitation chez eux  Après m'avoir fais perdre plus de 5000euro autant vous dire qu'on ne se reverras plus jamais et une approche avec les clients qui laisse à désirer J'ai cependant voulu vous laisser une chance hier en voulant souscrire une assurance auto pour ma premier voiture J'ai eu le droit à un litige avec la secrétaire daxa de TARNOS Elle m'engueuler par ce que je n'avais pas fais les choses correctement alors que la directrice de Biarritz m'avais confirmer que si j'envoyer mon état des lieux de sortit il étais normal de me rembourser la totalité depuis que je l'ai quitter Et bien je n'es pas eu le même accueil de la part de cette secrétaire Elle m'as fais perdre 60euro en 10 min et elle ce crois en bonne situation de me remettre à ma place alors que je suis venue souscrire une assurance</t>
  </si>
  <si>
    <t>23/07/2019</t>
  </si>
  <si>
    <t>ambre-77842</t>
  </si>
  <si>
    <t xml:space="preserve">Par expériences (sinistres) : prestations de qualité en assurance automobile et garantie des accidents de la vie privée ; mais je ne recommande pas pour l'habitation : en cas de sinistre, avec un tiers, il vaut mieux saisir votre protection juridique et suivre ses recommandations ; </t>
  </si>
  <si>
    <t>22/07/2019</t>
  </si>
  <si>
    <t>mumu38-77350</t>
  </si>
  <si>
    <t xml:space="preserve">Le service sinistre inconpetants !!! Et c est très dommage car j appréciait bien axa et la j envisage vraiment de partir car je m inquiète si je doit subir un nouveau sinistre </t>
  </si>
  <si>
    <t>04/07/2019</t>
  </si>
  <si>
    <t>dryat-77324</t>
  </si>
  <si>
    <t>Suite à un dégât des eaux à minima, une simple peinture de cuisine c'est le 22 à Asnières; plateforme injoignable, dossier perdu, jamais le même interlocuteur qui ne comprend à peu près rien! dossier au point mort depuis 5 mois alors que j'ai 5 contrats chez AXA</t>
  </si>
  <si>
    <t>planetair-77236</t>
  </si>
  <si>
    <t>Une Horreur, 3 ans sur le même sinistre (il s'agit de faire changer 15 m2 de moquette suite a un dégât des eaux. Ne répond pas, fait l'autruche, et me timbale d'un service a l'autre</t>
  </si>
  <si>
    <t>delvalle22-77140</t>
  </si>
  <si>
    <t>Bonjour, Concernant l'assurance habitation AXA je partage complètement les propos de Leaa et Anne car je suis victime exactement du même comportement du service clients! Hazard?. En parcourant les avis clients je découvre l'étendue des dégâts. Unissons nous, ne laissons pas tomber</t>
  </si>
  <si>
    <t>26/06/2019</t>
  </si>
  <si>
    <t>anne-76049</t>
  </si>
  <si>
    <t>DEGATS DES EAUX EN JUIN 2018.FUITE PROVENANT DU VOISIN .8000 EUROS DE FRAIS ENGAGES SUR 17000 AU TOTAL.AUCUNE INDEMNISATION POUR LE MOMENT. UNE HONTE CETTE ASSURANCE?</t>
  </si>
  <si>
    <t>05/06/2019</t>
  </si>
  <si>
    <t>michnou-75174</t>
  </si>
  <si>
    <t xml:space="preserve">Cliente depuis plus de 30 ans, j'ai subi un DDE provenant du logement voisin. Après expertise contradictoire à laquelle ce voisin s'est abstenu de participer, j'ai (laborieusement) été partiellement indemnisée. Mais depuis AXA refuse de faire un recours contre le voisin ou son assureur pour combler mon découvert. </t>
  </si>
  <si>
    <t>22/04/2019</t>
  </si>
  <si>
    <t>lydie-75112</t>
  </si>
  <si>
    <t xml:space="preserve">Sinistrée par incendie le 10 Janvier 2018 à Choisy le Roi, AXA m'a imposé une indemnisation seulement à hauteur de 2/3 de la valeur du marché pour la perte d'usage de mon appartement. Et en contrepartie, AXA m'a imposé à m'engager à renoncer à toute réclamation ou action futures à leur encontre.
Quel scandale !  Fuyez cette assurance qui est irresponsable!
</t>
  </si>
  <si>
    <t>16/04/2019</t>
  </si>
  <si>
    <t>peji-64905</t>
  </si>
  <si>
    <t>suite a sécheresse décret 2017, ma piscine est fissurée sérieusement. L 'expert d'axa (ELEX)EN DEUX LIGNES dit que la sécheresse n'est pas la cause. Cet expert avait déjà sévit il ya deux ans et avait dit la même chose sans avoir vu la piscine et bien sur axa renvoie le même. Client depuis 40 ans d'axa je ne pense pas en faire 1 de plus. Axa se fout royalement de ses clients. Je vais demander une contre expertise et éventuellement une expertise judiciaire</t>
  </si>
  <si>
    <t>10/04/2019</t>
  </si>
  <si>
    <t>hml-74616</t>
  </si>
  <si>
    <t xml:space="preserve">Sinistre déclaré 11 10 18. Expertise mensongère  de 3 lignes le 3 1 19.  Je ne suis pas responsable. AXA LE PUY EN VELAY cloture le dossier et le transmet à la direction régionale. Plus de nouvelles
Aucun courrier. Directeur transparent. 6 contrats chez eux
</t>
  </si>
  <si>
    <t>30/03/2019</t>
  </si>
  <si>
    <t>laurence18-72402</t>
  </si>
  <si>
    <t>Aucun moyen de communication directe (mail) en cas de sinistre, des heures passées au téléphone à rappeler la personne qui s'occupait de mon dossier et n'était pas disponible, sans possibilité de lui envoyer un message directement, bref il est grand temps de passer en 2019 !!</t>
  </si>
  <si>
    <t>22/03/2019</t>
  </si>
  <si>
    <t>slimsa-72179</t>
  </si>
  <si>
    <t>Suite à un dégâts des eaux dont he ne suis pas responsable mon studio est inhabitable. Aucune nouvel de l'expert, l'agent qui s'occupe de mon dossier ne me rappel pas malgré les relances, aucune visibilité sur la suite. Je ne suis pas relogée après  les 7j d'assistance. Je vis comme une sdf à  squatter à  droite et à  gauche. Négligence total d'axa.</t>
  </si>
  <si>
    <t>14/03/2019</t>
  </si>
  <si>
    <t>haydonlaurak-71742</t>
  </si>
  <si>
    <t>J'ai recu un devis de 617 euros pour un petite maison de village. C'est trois fois ce que mes amis paient. En plus, l'assurance a tant d'exclusions qu'elle  ne vaut pas grand'chose. Le service client de mon agence AXA est abominable - ils m'ont fait attendre 5 mois pour une expertise sur ma maison sinistrée, et ils ont été impoli au téléphone quand j'appellais aux nouvelles. A éviter à tout prix.</t>
  </si>
  <si>
    <t>p45-69774</t>
  </si>
  <si>
    <t>Les prix sont corrects. Bonne assurance pour l'habitation. Contrat de base normal.</t>
  </si>
  <si>
    <t>31/12/2018</t>
  </si>
  <si>
    <t>lalala24-69719</t>
  </si>
  <si>
    <t>Catastrophique, nul, inefficace !
la gestion administrative, la relation client, les prix croissants chaque année...
Aucune reconnaissance des clients fidèles (20 ans).
Juste pathétique et décevant.</t>
  </si>
  <si>
    <t>27/12/2018</t>
  </si>
  <si>
    <t>kikoye31-69085</t>
  </si>
  <si>
    <t>Très mécontent d Axa qui ne prendra rien en charge des dépenses de réparation issues d un dégât des eaux pourtant très classique. Le contrat possède en réalité multitudes de clauses particulières qui font que le risque n est finalement plus couvert. Une situation qui n'est pas acceptable.</t>
  </si>
  <si>
    <t>03/12/2018</t>
  </si>
  <si>
    <t>nicolas-68425</t>
  </si>
  <si>
    <t>Après une résiliation dans le cadre de la loi Hamon effectuée par ma nouvelle assurance, ils me réclame encore la cotisation de l'année 2017... Ca devient du harcèlement là. Menace de huissier ect... Assureur a éviter !!!</t>
  </si>
  <si>
    <t>mma-68142</t>
  </si>
  <si>
    <t xml:space="preserve">Marchand de sommeil - client avec six contrats chez axa. Hier seulement deux contrats en raison alinéas de la vie. Considéré comme clients volatile et donc augmentation des cotisations annuelles  (habitation + véhicule) Pour bénéficier d'une tarification propose ouverture d'un compte bancaire avec carte bleue donc frais supplémentaires </t>
  </si>
  <si>
    <t>28/10/2018</t>
  </si>
  <si>
    <t>alsace75-67944</t>
  </si>
  <si>
    <t>assurée depuis 10 ans chez AXA le jour ou j'ai un sinistre personne ne vous réponds ni ne vous contacte, merci de ne plus me faire passer des courriers "votre conseiller AXA à votre écoute ...", et quand par miracle le téléphone du numéro d'urgence répond on vous demande de rappeler on est débordé</t>
  </si>
  <si>
    <t>22/10/2018</t>
  </si>
  <si>
    <t>anabe-67353</t>
  </si>
  <si>
    <t xml:space="preserve">Mon père a été renversé par une voiture en octobre 2016. AXA n'a jamais suivi le dossier avec soin. Une expertise était prévue en 2018 mon père est mort le 11/01/2018. Personne n'a recontacté ma mère. Aucune indemnisation face à une fracture du bassin, clavicule + Alzeimer qui a empiré et causé son placement. Il a ainsi passé la dernière année de sa vie dans une prison pour malade payée plein pot par ma mère. C'est honteux. </t>
  </si>
  <si>
    <t>04/10/2018</t>
  </si>
  <si>
    <t>marco-66943</t>
  </si>
  <si>
    <t xml:space="preserve">Sentiment d'être une vache à lait. Chaque année ressemble à la précédente, augmentation de la prime.  Pas de recherche d'optimisation pour faire en sorte que la prime diminue.  Pas de prise de contact par le courtier permettant un échange ou une explication. Seules les démarches commerciales sont performantes. </t>
  </si>
  <si>
    <t>19/09/2018</t>
  </si>
  <si>
    <t>adelou-66710</t>
  </si>
  <si>
    <t>Ne veulent pas rembourser les sinistres. Ne répondent pas au téléphone ,la plate-forme est en Afrique. Aucun retour suite à ma réclamation envoyée en AR. Sauvez vous!</t>
  </si>
  <si>
    <t>08/09/2018</t>
  </si>
  <si>
    <t>kl-65887</t>
  </si>
  <si>
    <t>Le conseiller Axa a oublié de résilier mon assurance habitation à la vente de mon appartement alors que j'avais envoyé deux lettres recommandées avec Accusé de réception. J'ai fait plusieurs réclamation mais Axa n'a jamais répondu à aucune de mes lettres. A la place j'ai reçu une mise en demeure pour des sommes que je ne devais pas. Au téléphone chaque personne m'a renvoyé sur un autre service. Finalement j'ai été contraint de payer des sommes importantes que je ne devais pas ainsi que des frais de poursuites pour des sommes que je ne devais pas.</t>
  </si>
  <si>
    <t>myk-65236</t>
  </si>
  <si>
    <t xml:space="preserve">Cliente AXA dégâts des eaux survenue 
J ai eu depuis le début des interlocuteurs comptent professionnel et soucieux de la satisfaction de leurs clients ! 
Moi qui ne suis pas tres informer des recourt et démarche j ai eu des gens humain et compreensif comme rarement j en ai eu ! Merci 
</t>
  </si>
  <si>
    <t>04/07/2018</t>
  </si>
  <si>
    <t>tisseo-64311</t>
  </si>
  <si>
    <t>Après un sinistre habitation après un feu le début de la prise en charge inpecable plus de deux après ce sinistre toujours traumatisé par cette événement je me retrouve à me faire crier déçu par monsieur l'expert et je supporte vraiment très mal ce contact froid en sachant que je suis handicapé ils sont la pour nous aidez à nous reconstruire ou sont ils la pour nous rendre la vie plus difficile et jouez avec la santé des clients.je sors de pas longtemps d'une dépression je vais pas tardez à y revenir si sa continu comme sa.</t>
  </si>
  <si>
    <t>26/06/2018</t>
  </si>
  <si>
    <t>mdiviak-65067</t>
  </si>
  <si>
    <t>Profite d'étudiants Erasmus présents 6 mois en france pour réclamer ensuite de l'argent pour des lieux qui ne sont plus habités et faire des relances via sté de recouvrement EFFICO, puis huissier !</t>
  </si>
  <si>
    <t>smorn-61784</t>
  </si>
  <si>
    <t>Agence AXA Sautron à éviter. Plateforme saint priest non fiable engagements non tenus.
La Reine de l'Incompétence. Silence total à l'occasion d'un sinistre grave. Honteux pour AXA. Nostalgique de l'UAP où le Slogan " Numéro 1 oblige " était assumé. Une inspection de la mandante est indispensable. Scandaleux !</t>
  </si>
  <si>
    <t>14/06/2018</t>
  </si>
  <si>
    <t>zerbanenabil-63951</t>
  </si>
  <si>
    <t>Le service technique AXA est nul, il a du mal à prendre une décision. Je déconseille les gens à prendre le pack dépannage électroménager d'AXA. Mon lave-vaiselle est HS depuis plus d'un mois et le service technique s'acharne sur mon dossier. Nabil ZERBANE de Lyon</t>
  </si>
  <si>
    <t>13/05/2018</t>
  </si>
  <si>
    <t>tahitibob-61302</t>
  </si>
  <si>
    <t xml:space="preserve">Bravo à mon agent AXA, Assurances de Rueil, qui vient de prendre en charge un sinistre de dégât des eaux pour lequel l'expert du syndic de l'immeuble ne voulait pas assumer la responsabilité. AXA, sur l'avis de son expert a accepté de prendre en charge le sinistre à 100% et d'effectuer ensuite de leur côté le recours contre MMA, l'assureur du Syndic, qui lui ne voulait payer que 20% du sinistre.
Un Assureur qui assure, ça mérite d'être signalé. </t>
  </si>
  <si>
    <t>09/02/2018</t>
  </si>
  <si>
    <t xml:space="preserve">suite a l'incendie de notre pavillon, nous avons signé UNE QUITTANCE SUBROGATIVE - AXA refuse de nous indemniser motif : cette quittance n'est pas une transaction !!!!!  Nous n'avions jamais eu - aucune sinistre -en plus de 35 ans. </t>
  </si>
  <si>
    <t>28/01/2018</t>
  </si>
  <si>
    <t>max-59306</t>
  </si>
  <si>
    <t>Je suis client axa depuis 2 ans, j'ai trois contrats (santé, habitation et voiture) hier 30 novembre 2017, mon garage était rempli de fumée, j'ai donc téléphoné qui se sont déplacés très rapidement, la gendarmerie et l'EDF étaient sur place, mon systéme de chauffage fonctionne parfaitement bien, et je fais ramoner ma cheminée chaque année. Les pompiers m'ont demandé de laisser toutes les fenêtres et portes ouvertes de passer la nuit comme cela (nous sommes en hiver et je demeure dans l'est) d'avertir mon assurance chose que j'ai faite, l'agent d'assurance à blablater pendant 10 minutes. Ce matin le ramoneur est venu à contrôler l'installation, un spécialiste en chauffage est venu cette après-midi à passer une caméra dans le système de chaufferie, tout était parfait, il parait que cela peut être dû au temps, cette petite plaisanterie m'a coûté 500 euros, que mon charmant assureur ne veut pas prendre en compte, (il m'a fait la réflexion que lui aussi avait le même chauffage que moi, qu'il n'avait pas de problème, ALORS AXA, je ne l'ai pas épousé, je suis à faire les démarches pour changer de compagnie d'assurance, avec la loi CHATEL, on peut les quitter quand on veut. A quoi ça sert d'avoir une assurance,</t>
  </si>
  <si>
    <t>claire-59178</t>
  </si>
  <si>
    <t xml:space="preserve">Jamais de sinistre déclarer depuis 2012 et encore non responsable 
Octobre 2017on me rentre dans le mur de ma maison
Expert déplorable salarié qui se moque des clients et quand je dis se moquent la personne refait manvoie d’un ton ironique responsable d agence  insolent 
responsable sinistre qui donne des faux conseils bref je déconseille axa on est très loin dela pub a la télévision 
Axa c est paye et tais toi et si tu as un sinistre barre toi  </t>
  </si>
  <si>
    <t>28/11/2017</t>
  </si>
  <si>
    <t>francois-58876</t>
  </si>
  <si>
    <t>AXA est à fuir absolument! Des augmentations de primes inimaginables d'années en années. De plus on découvre en épluchant les petites phrases, des surprises du genre "couverture pour la foudre" sauf pour les appareils électriques....et ce, pour un montant réclamé de la modique somme de 1485,euro 20. Bref, je résilie mon contrat et me dirige vers la concurrence, qui , quand je lui annoncé le montant de ma prime cette année, m'a demandé si je n'habitais pas un château.....AXA calcule le montant de ses primes à la tête du client. Alors si vous étes client AXA, vérifiez bien que le montant soit justifié...ne faites pas comme moi qui n'est réagi que cette année et donc et été traité comme pigeon que quelque part, je suis.....</t>
  </si>
  <si>
    <t>16/11/2017</t>
  </si>
  <si>
    <t>draeni-58258</t>
  </si>
  <si>
    <t>assistance inexistante (deux courriers, aucune réponse)!!!, aucun conseil, zéro pointé. je me demande même s'il ne va pas falloir aller plus loin ...</t>
  </si>
  <si>
    <t>21/10/2017</t>
  </si>
  <si>
    <t>moi-57716</t>
  </si>
  <si>
    <t>n'assure rien. Attendons depuis près de 5 ans que l'assurance assure, soit nous verse les indemnités liée à la décennale de l'artisan qui a mal construit notre maison, et arrête de faire traîner au maximum les choses.</t>
  </si>
  <si>
    <t>30/09/2017</t>
  </si>
  <si>
    <t>jgavis-57201</t>
  </si>
  <si>
    <t>Une augmentation de +34% de mon assurance habitation en 3 ans alors que je n'ai jamais eu de sinistres, c'est ENORME !!!
On m'a précisé que l'augmentation serait gelée en 2017 mais ce n'est pas un geste commercial !! On a enlevé des garanties dans mon contrat (exemple : dommages électriques) et sans que j'en ai été informé au préalable, c'est en lisant les conditions que je m'en suis aperçu : donc même tarif qu'en 2016 mais avec des garanties en moins !
J'attends avec impatience le montant de mon assurance véhicule (comment est-il impossible de me donner en septembre 2017 le montants de ma cotisation auto du 01/11/2017 ??? )
Je ne suis pas du tout satisfait des services AXA, hormis pour le changement d'un parebrise.
Pour le reste tout se dégrade d'année en année : intérêts services par le compte AXA : 1% quand j'ai souscrit, 3 ans après 0.25 % !!, cotisations qui augmentent, aucun contact, réponse par mail succinctes et incomplètes : 2 questions, 1 réponse !....)</t>
  </si>
  <si>
    <t>dieu-57092</t>
  </si>
  <si>
    <t>Axa a eviter</t>
  </si>
  <si>
    <t>04/09/2017</t>
  </si>
  <si>
    <t>yg-56869</t>
  </si>
  <si>
    <t>Bonjour, nouvelle cotisation: plus 158€ sans explication soit 40% d'augmentation! Agent en vacances et remplaçante ne peut rien faire!Aucune explication : rien de visible sur le dossier informatique. Elle devait me rappeler en milieu de semaine, j'attends toujours!
Par ailleurs, cotisation éditée début août, envoyée en tarif éco le 11 août et reçu le 16 août! 20 jours pour résilier à compter de la date sur cachet de la Poste, bien emputé de 5 jours (" c'est la faute de la Poste"m'a répondu la remplaçante de mon agent!): et en cette période de vacances pas évident d'obtenir rapidement des devis!
Enfin, suite à une tempête, le trampoline de mon voisin a détruit deux panneaux de ma clôture : gestion catastrophique par le service clients qui a d'abord mis le cas en sinistre en me réclamant la franchise événement climatique alors qu'il s'agit d'un recours, réclame des devis x fois alors qu'il est bien dans le dossier, ne me contacte pas pour me donner le OK pour les travaux, et la cerise sur le gâteau: étant victime, je n'ai pas réglé la facture mais après 3mois d'attente , l'artisan a débarqué un week-end chez moi  pour me réclamer le montant de la facture: 154€! Pour ne pas me mettre mal avec cet artisan que je connais depuis longtemps, j'ai payé par chèque et ensuite transmis à mon agent la facture acquitté à mon agent qui:a bien transmis au siège pour remboursement: à samedi dernier , depuis son envoi, rien dans mon dossier! Cela fait un mois que j'attends!!! Heureusement que le montant n'est pas énorme!
Suite à la hausse, j'ai fait faire des devis auprès d'autres assurances et j'ai découvert que le sinistre de janvier dont je suis victime est compté comme un sinistre sans distinction ( si responsable ou victime) et fait monter le montant du devis chez certains assureurs !
Axa veut visiblement perdre ses clients: car si je quitte axa pour l'habitation, j'enlèverai aussi le contrat de la voiture et par effet boule de neige, mes parents ( clients depuis des décennies)risquent d'enlever leurs 3 contrats...</t>
  </si>
  <si>
    <t>25/08/2017</t>
  </si>
  <si>
    <t>cotignac-56644</t>
  </si>
  <si>
    <t>Axa ne respecte pas les clauses de résiliation  , doit tellement  être en déficit  préleve même après résiliation du contrat , ne connaît pas la loi chatel apparemment.  J engage les poursuites  .</t>
  </si>
  <si>
    <t>12/08/2017</t>
  </si>
  <si>
    <t>alain-42041</t>
  </si>
  <si>
    <t>je suis assuré chez axa depuis 3 ans (logement + protection juridique).A ce jour je n'ai eu aucun sinistre,ni même la moindre requête à formuler.Je ne sais pas grand chose de cet assureur,à part le fait qu'il est un géant international de l'assurance,qu'il est donc TRES riche.J'ai constaté une forte augmentation du coût de ma cotisation (assurance habitation),passé de 134 à 169 euros.Pas la moindre explication n'a été apportée de la part dudit assureur à ce fait pourtant non négligeable.</t>
  </si>
  <si>
    <t>30/05/2017</t>
  </si>
  <si>
    <t>trashman-54176</t>
  </si>
  <si>
    <t>Agence AXA Nogent sur Marne pour une assurance multirisques copropriété : Tarifs extrêmement élevé qui augmente tous les ans malgré un taux de sinistre en baisse.</t>
  </si>
  <si>
    <t>20/04/2017</t>
  </si>
  <si>
    <t>f-houpy-53021</t>
  </si>
  <si>
    <t>AXA, Assurance idéale quand on a rien à demander!!
Après un sinistre reconnu catastrophe naturelle en juin 2016, aujourd'hui et après multiples appels et courriers, aucun remboursement !! tous le sous sol de la maison sous 20cm d'eau, les dégâts ne se font qu'empirer puisque l'expert n'est passé qu'en fin d'année et, suite à son passage (toujours pas le rapport), AXA nous répond la plus stupide des réponses "manque d'entretien et non conformités" On aura tout vu avec AXA !! fuyez car la seul solution visiblement est de prendre un avocat et leur faire respecter l'article L. 125-2 du code des assurances entre autres.. en tout cas j'en suis là!</t>
  </si>
  <si>
    <t>06/03/2017</t>
  </si>
  <si>
    <t>01/03/2017</t>
  </si>
  <si>
    <t>heidi-51287</t>
  </si>
  <si>
    <t xml:space="preserve">Après une innnondation de mon domicile j'ai eu le remboursement escompté et meme plus que ce que j'espérais.pensez à demander des devis et ne pas surestimes la valeur de vos biens car cela ne sert strictement qu'à augmenter votre cotisâtion </t>
  </si>
  <si>
    <t>13/01/2017</t>
  </si>
  <si>
    <t>martin-50922</t>
  </si>
  <si>
    <t xml:space="preserve">Après un sinistre "catastrophe naturelle"et les conséquences du non suivi de celui-ci par mon agent Axa, j'ai demandé le changement d'agence le 19 Novembre 2016 et aujourd'hui le 4 janvier 2017 rien n'a bougé.... c'est à penser que les agents sont les maîtres de la direction et apparemment ils font ce qu'ils veulent..! </t>
  </si>
  <si>
    <t>04/01/2017</t>
  </si>
  <si>
    <t>severian-50695</t>
  </si>
  <si>
    <t>Une nouvelle fois mécontent des assureurs!!!!
Je reçois ma nouvelle cotisation avec une augmentation tenez-vous bien de 30%!!! (alors que je n'ai pas d'accident responsable, et que je suis client depuis 5 ans avec 3 voitures et 1 habitation...) Explication, AXA france augmente ses tarifs. Ce comportement me semble honteux.</t>
  </si>
  <si>
    <t>27/12/2016</t>
  </si>
  <si>
    <t>fantomette-20357</t>
  </si>
  <si>
    <t xml:space="preserve">Mauvais renseignement, pas de suivi sinistre, impossible de les joindre...suivi médical ( retour post opératoire et avis SANS VISITE CHEZ LE MÉDECIN CONSEIL !!!!!! ) </t>
  </si>
  <si>
    <t>MAAF</t>
  </si>
  <si>
    <t>11/10/2021</t>
  </si>
  <si>
    <t>--129256</t>
  </si>
  <si>
    <t>Une grosse branche est tombée sur mon toit suite à une tempête. On ne pouvait plus accéder à l'entrée principale et suite à l'accord de la maaf nous l'avons faite enlève pour voir l'état du toit.
Le couvreur a effectué un devis pour remplacement des tuiles cassées et voir l'état des voliges mais la maaf à transmis notre dossier à un expert qui doit donner son avis par téléphone et en septembre!!! Pas le droit de faire intervenir le couvreur.
Comment peut on expertiser par téléphone?. Et s'il pleut, il y a risque d'infiltration . Non. Il faut que l'on fasse bacher le toit à nos frais. On marche sur la tête. J'étais content de la maaf mais là, je ne la recommande pas. Ce matin je devrai rabâcher aux experts des éléments que j'avais fourni à la maaf par internet et j'ai passé le matin sur un site qui ne fonctionnait pas avant de demander de l'aide à l'agence maaf. Merci aux conseillères qui font tout pour vous aider</t>
  </si>
  <si>
    <t>24/08/2021</t>
  </si>
  <si>
    <t>juju-125290</t>
  </si>
  <si>
    <t>Bonjour,
J'ai déclaré un sinistre dégat des eaux sur mon logement principal depuis 15 jours. Aucune réponse à date, malgré mes relances via mon espace ou par mail. La ligne téléphonique n'est même pas joignable ; une fois avoir indiqué le sujet, l'appel est coupé.
Avec un départ en congés prévu dans quelques jours, je suis sans solution, ni visibilité. 
C'est un scandale !</t>
  </si>
  <si>
    <t>28/07/2021</t>
  </si>
  <si>
    <t>david-122087</t>
  </si>
  <si>
    <t>2 sinistres en 4 ans. Petit dégât des eau et litige locataire = résiliation du contrat d'assurance. Complètement à l'opposé de leur marketing la Maaf prend l'argent des assurés et établit un ratio perte/bénéfice. Si il s'avère qu'il ait un risque de ne pas être en bénéfice avec un client ils resilient le contrat. C'est odieu, honteux, immorale. Seul le fric compte pour ces assureurs dont tout le budget part apparemment dans les pubs tv avec un discours hyper rassurant complètement à l'opposé de leur réel politique financière. A éviter à tout prix et à relayer l'information sur tous les réseaux sociaux. N'hésitez pas à screener mon post et à partager au plus grand nombre afin que les gens ne se laisse pas piéger par cet assureur sans scrupule. 
David</t>
  </si>
  <si>
    <t>mimidoux-81992</t>
  </si>
  <si>
    <t xml:space="preserve">Suite à un devis effectué mercredi soir, je reçois un appel, non sollicité, d’un « commercial » de la MAAF  jeudi matin un peu avant 10 heure. 
Celui-ci, d’une durée de 49 secondes, se termine par: je voudrais que quelqu’un de mon agence du Perreux me rappelle. 
Sans nouvelles depuis et ce devis devant être concrétisé rapidement, la MAAF est rappelée aujourd’hui samedi 19 juin en fin de matinée. 
L’interlocutrice, certainement maladroite, au fait de cette absence de rappel, nous informe du commentaire mensonger laissé par ce commercial indélicat je cite « raccroché au nez » . Après 50 années de clientèle c’est pour le moins désagréable. 
Est il besoin de l’avis de l’académie pour savoir si rappelé par quelqu’un et raccroché au nez sont synonymes ….
Le service qualité de la MAAF peut il m’informer, après enquête, ces conversations étant enregistrées de la réalité des choses et de la pratique de ces commentaires douteux en plus que dans ce cas d’être totalement faux.  
RGPD Données personnelles l’exemple récent d’IKEA doit faire réfléchir.  </t>
  </si>
  <si>
    <t>19/06/2021</t>
  </si>
  <si>
    <t>laguigne57-115955</t>
  </si>
  <si>
    <t>J'ai été cliente MAAF pendant plus de 20 ans. Les quelques fois où j'ai eu besoin de faire jouer mon assurance habitation tout à été rapide et sans aucun tracas. 
Je recommande l'agence de Thionville (57) qui est particulièrement efficace.</t>
  </si>
  <si>
    <t>04/06/2021</t>
  </si>
  <si>
    <t>myriam26-114539</t>
  </si>
  <si>
    <t>Assurance avec laquelle les echanges sont faciles par telephone ,internet et agence c(est le coté positif . apres une série noire de  declaration de sinistres , maaf me fou dehors parce que trop de declarations alors que je suis assurée pour ces dégats; cherchez l erreur.il faut s'assurer ,payer les cotisations mais ne pas avoir de sinistres si on veut etre un assuré Maaf.suis ecoeurée.ceci a titre perso
cote pro j ai un autre contrat avec8 vehicules et 5 salarie, je fais des recherches pour quitter la Maaf et trouver un autre assureur</t>
  </si>
  <si>
    <t>22/05/2021</t>
  </si>
  <si>
    <t>marie-a-112807</t>
  </si>
  <si>
    <t>Un assureur qui assure deux fois le même bien est t'il un bon assureur ? je n'ai pas l'habitude de mettre des avis aussi négatifs, mais cela fait 1 an que je me bats depuis le décès de mon beau père avec l'assurance de son ancien logement. Déjà assurée déjà par la propriétaire dans une autre compagnie d'assurance et malgré l'envoi des documents en attestant à la Maaf, rien ne se passe. Des mails sans réponses, des agents au téléphone à qui je dois sans cesse réexpliquer la situation et une directrice d'agence qui attend deux mois pour valider l'envoi d'un document que je n'aurais même pas dû envoyer et encore des papiers demandés sans aucune raison. Ils ne connaissent pas la Loi Hamon, ni la cessation de contrat suite à un décès. Sommes nous assurés à vie et sur plusieurs générations à la Maaf ??? Bref tant que vous ne demandez rien tout va bien et si un décès arrive ne cherchez pas à résilier. Bien dommage pour une assurance de renom.</t>
  </si>
  <si>
    <t>jack-112389</t>
  </si>
  <si>
    <t>Sociétaire depuis 45ans, nous avons eu deux sinistres dégâts des eaux avec tout le  carrelage du rdc refait. Nous avons été dans un gîte pendant les 5 semaines de travaux, cela a été pris en charge par la MAAF. 
Nous avons eu un cambriolage  tout a été pris en charge très rapidement. 
A chaque fois que nous avons un échange téléphonique  pour une modification ou un nouveau contrat cela c'est fait par échange de mails sans Pb.
Nous sommes très contents de notre assureur.</t>
  </si>
  <si>
    <t>02/05/2021</t>
  </si>
  <si>
    <t>look--108441</t>
  </si>
  <si>
    <t>Mon père était client depuis trente ans.Après son décès, ma  mère a été cambriolée et dans l année elle a eu un bris de glace.Malgré les trente-six années passées,avec un commerce,une voiture,et la maison,elle s est faite exclure de la Maff.Alors quand je vois les spots publicitaires ventant cette assurance,je suis révolté.Vraiment,a éviter</t>
  </si>
  <si>
    <t>29/03/2021</t>
  </si>
  <si>
    <t>fransset-104573</t>
  </si>
  <si>
    <t>premier sinistre,une catastrophe.depuis septembre,mon dossier de dégât des eaux n avance pas malgré  une dizaine d appels ,une désinvolture manifeste des employés et aucune réponse à ce jour  ,ou ,de plus,je suis en attente téléphonique depuis...10mn.une seule expérience.....qui va me faire quitter cette assurance.</t>
  </si>
  <si>
    <t>04/03/2021</t>
  </si>
  <si>
    <t>c-75-103714</t>
  </si>
  <si>
    <t>La MAAF de Paris 17e, qui me fait mon contrat d'habitation (et en douce un garantie accident de la vie famille), sachant que de 1/ je vis seule, et de 2/je ne l'ai jamais demandé, je voulais juste le contrat assurance habitation afin de signer mon bail de location dans la même journée. Honteux, de plus lorsque je résilie un an ensuite (via loi Hamon), la j'apprend bien plus tard par e-mail que je leur dois une somme pour la GAV (garantie accident de la vie), jamais demandé, puis leur société SOGEDI m'envoi un e-mail, fuyez et aller vous assurez ailleurs c'est moins cher, et avec les mêmes services, sans politique de souscrire minimum 2 contrats !!!!!</t>
  </si>
  <si>
    <t>05/02/2021</t>
  </si>
  <si>
    <t>missparamount-103691</t>
  </si>
  <si>
    <t>C’est quand même honteux de faire payer des frais en cas de mensualisation de l’assurance et après ils s’étonnent quand on veux résilier une assurance chez eux...</t>
  </si>
  <si>
    <t>jcspi31-103111</t>
  </si>
  <si>
    <t>Je suis cité dans un arrêté de catastrophe naturelle pour des dégâts à mon habitation et ma piscine suite à la sècheresse comme 46 autres maisons dans ma commune. Suite à l'expertise de la MAAF, mon dossier est rejeté. 
Je vois le jour et le soleil par une fissure de la façade, le trottoir s'est affaissé de 4 centimètres, les canalisations de la piscine sont écrasées et coupées (ce que l'expert à refusé de regarder), une marche de l'escalier est fendue, les placoplatres intérieurs d'isolation se déboitent mais l'expert estime que la sècheresse n'y est pour rien, alors que toutes les maisons sinistrées du quartier sont reconnues comme victimes de la sècheresse. Par contre pour la seule fissure en escalier constatée, l'expert décide qu'elle date de 2020  et devra faire l'objet d'une nouvelle demande d'arrêté l'année prochaine. Autrement dit, la MAAF m'impose de laisser encore un an l'eau de pluie pénétrer à l'intérieur de ma maison. Sinon on me propose de recommencer le processus qui m'amènera, au mieux, à entreprendre des travaux dans deux ans. L'expert est tellement fiable que dans son rapport, il appelle rez-de-chaussée ce qui se situe au premier étage et note un sous-sol alors que ma maison n'a pas de sous-sol. En outre, un cloisonnement pour rangement d'objets divers empilés dans mon garage est déclaré "pièce habitable". Est-ce de la part de la MAAF de l'incompétence ou une volonté de ne pas respecter les clauses d'un contrat mais il est évident que, outre le contentieux à engager, je décide de résilier les 7 contrats souscrits actuellement auprès de l'agence de Toulouse. Je signale en outre que j'ai attendu longtemps que l'agence m'informe du rapport d'expert ( en date du 27/11/2020), mais que cette information m'a été communiquée seulement après que les cotisations de l'année aient été prélevées (2047.49€ le 11/01/2021). Précaution ou administration déficiente ? La MAAF devrait même m'être reconnaissante puisque pour éviter un accident dans ma piscine où ne subsistait qu'un cloaque de 10 cm au fond, j'ai fait réparer l'ensemble à mes frais. Je considère que la MAAF s'occupe en priorité de ses propres intérêts et, à l'occasion de ses adhérents.</t>
  </si>
  <si>
    <t>22/01/2021</t>
  </si>
  <si>
    <t>birgitt-97778</t>
  </si>
  <si>
    <t>Bonjour, J'ai eu un dégât des eaux qui a duré plus de 14 mois pour enfin bien se terminer. Je remercie très fortement un expert qui a enfin pris les choses en main comme on dit et a solutionne le problème très rapidement. En mai 2019 déclaration du sinistre à la MAAF, j'ai eu affaire à un autre expert qui était prés de la retraite et n'a pas eu la même énergie que le dernier. Cela a trainé jusqu'à l'arrivée du nouveau en juin 2020 et même avec la crise sanitaire, il a réussi à trouver une entreprise sérieuse pour les travaux car celle que la Maaf préconisait ( la société CMBB ) n'est vraiment pas à recommander. J'ai été remboursée à 100%, rien de ma poche.
Je suis chez la Maaf depuis plus de 8 ans et je suis très contente de cette assurance, mais il faut tomber sur les bonnes personnes et de très bons experts (comme partout ailleurs).
Grand merci encore à ce dernier expert qui malheureusement je ne peux nommer.
Mon dossier était : B 4183707</t>
  </si>
  <si>
    <t>soso--46854</t>
  </si>
  <si>
    <t>Si vous n'avez pas de sinistre tout va bien il vous suffit de payer vos cotisations à la Maaf mais si les sinistres pointent leur nez la Maaf ne vous soutiendra pas, ni financièrement ni psychologiquement car les différents interlocuteurs sont en moyenne très désagréables.
6 mois pour régler un dégât des eaux sur une maison en vente (jamais plus de 6 mois sinon ils sont en tort) J'ai loupé 2 ventes et pour la 3eme j'ai dû baisser le prix. J'ai saisi le conciliateur de la Maaf mais au bout de trois mois toujours aucun contact de sa part.
Je vais résilier tous mes contrats à la date anniversaire à moins qu'ils me résilient (après avoir lu mon commentaire)comme ils le font souvent d'après les avis des autres internautes.
Cliente depuis très longtemps je suis de plus en plus déçu surtout ces 3 dernières années. Je ne recommande plus la Maaf</t>
  </si>
  <si>
    <t>18/09/2020</t>
  </si>
  <si>
    <t>marc-97441</t>
  </si>
  <si>
    <t>Assure depuis de nombreuses années à la MAAF en assurance habitation, auto/moto et décès, j ai voulu résilier cette dernière. On m’explique qu’il faut faire ceci par lettre recommandée sans autre précision, je cherche un courrier type sur internet et l envois. Résiliation refusée au motif que la loi Hamon n est pas valable, pour ce type d’assurance. Je refais un courrier type loi Châtel, comme convenu au tel, re refus car cette loi n est pas valable non plus, mais tout les interlocuteurs se sont bien gardé de me le dire avant. Du coup, j ai tout résilier.... Et l assureur veut aller au contentieux pour l assurance décès.Vraiment eu à faire qu’a des personnes de mauvaises foi parfois même impolie (pas toute heureusement) . Dommage car il y a quelques années, en agence il y avait des conseillères correctes. Pour moi, finis à jamais la MAAF.</t>
  </si>
  <si>
    <t>15/09/2020</t>
  </si>
  <si>
    <t>david-b-95895</t>
  </si>
  <si>
    <t>Un assureur qui ne va pas hésiter à vous jeter dès que vous coutez. Assuré depuis 20 ans et vraiment peu de sinistres. Même pas averti par l’agence. Juste reçu un recommandé pour nous signifier qu’ils nous résiliez. Super la relation client!! Nous avions 7 contrats chez eux! Au revoir</t>
  </si>
  <si>
    <t>04/08/2020</t>
  </si>
  <si>
    <t>mat68-88802</t>
  </si>
  <si>
    <t>Client depuis 23 ans résilié pour 2 sinistres en 4 ans, sans en être informé car ils ont envoyé le courrier à une mauvaise adresse, les incapables... à fuir</t>
  </si>
  <si>
    <t>09/04/2020</t>
  </si>
  <si>
    <t>decu-88636</t>
  </si>
  <si>
    <t>Assureur de la famille sur 4 générations. En ce qui me concerne, plus de quarante années de cotisations auprès de cette assureur avec sur ces 40 années, 3 sinistres déclarés dont un seul n'a été pris en charge, la MAAF invoquant n'importe quel prétexte pour s'exonérer de ses responsabilité, et une résiliation suite à ces 3 sinistres déclarés. HONTEUX et SCANDALEUX.</t>
  </si>
  <si>
    <t>maaf53-87511</t>
  </si>
  <si>
    <t>Garanties nulles avec franchise exorbitante et tarif exagéré</t>
  </si>
  <si>
    <t>23/02/2020</t>
  </si>
  <si>
    <t>olivier75-85905</t>
  </si>
  <si>
    <t>Ai eu 2 ou 3 dégâts des eaux à mon domicile et tout s'est toujours bien passé.
Ma maman a eu sa porte défoncée par le pompiers et ils acceptent également de changer la porte.
Souvent les délais sont dus aux artisans qui sont surchargés, mais l'assurance à l'air en tous cas de gérer rapidement.
C'est mon avis en tous cas.</t>
  </si>
  <si>
    <t>gege-81610</t>
  </si>
  <si>
    <t>Cet un assureur qui n'hésite pas à augmenter les tarifs après sinistre (9%).
L'augmentation est nettement supérieure à la moyenne des augmentations.
Je pense que c'est la première étape, car au bout de sinistres la MAAF vous remercie comme on peut le lire ici à de très nombreuses reprises.</t>
  </si>
  <si>
    <t>04/12/2019</t>
  </si>
  <si>
    <t>chrys-81422</t>
  </si>
  <si>
    <t xml:space="preserve">J'ai eu un dégât des eaux au mois de mai. Fin novembre, je suis toujours dans l'attente... Des dizaines d'appel à la MAAF, des promesses de rappels et de suivi de dossier non tenues. Les interlocuteurs de la plateforme MAAF sont tous gentils mais sont impuissants et sont surtout bien coachés pour faire face à toute demande qu'ils ne peuvent pas honorer. Il est impossible de parler à un responsable malgré plusieurs demandes, ni le directeur d'agence, ni un responsable du service sinistre ne m'a recontacté malgré des prises de RDV téléphonique ! Il n'y a aucun suivi du sinistre sur l'espace client, juste la date de déclaration du sinistre.
Par contre, quand vous faites un devis sur votre espace client pour un crédit de voiture, un employé vous appelle 2 jours plus tard.... </t>
  </si>
  <si>
    <t>mat12-81113</t>
  </si>
  <si>
    <t>Nous sommes assurés depuis des années chez eux pour plusieurs contrats, habitation véhicules etc. nous n'avions eu aucun sinistres. En 2015 nous avons fait fonctionner la garantie assistance juridique et avons eu un dégât électrique type foudre en 2017. pour ces 2 sinistres la MAAF viens de nous notifier son intention de résilier ce contrat. Du coup en raison de ce sérieux nous résilions tous nos contrats chez eux. Nous avons trouvé mieux et moins cher ailleurs.</t>
  </si>
  <si>
    <t>19/11/2019</t>
  </si>
  <si>
    <t>david-80684</t>
  </si>
  <si>
    <t>Suite à une infiltration dont je n'étais pas reponsable et de multiples échanges et RDV et négociation l'on m'explique que seul une partie de mon plafond et un mur seront "repeints". Peu importe que le motif du papier soit différents sur les murs non infiltrés. Peu importe les différences de teintes... je dois e^tre assurés depuis une vingtaine d'années, sans aucun sinistre responsable avec plusieurs options à mon contrats mais rien n'y fait. pas cher mais vous êtes servis mal</t>
  </si>
  <si>
    <t>baba77-80681</t>
  </si>
  <si>
    <t>Bonjour, 
Voila maintenant 8 semaines qu'il y a eu un incendie chez moi (appartement inhabitable bien sur),
l'expert est venue seulement 2 semaines apres et depuis le rapport d'expertise est en attente de validation? Que ce soit au cabinet d'expertise(TEXA) ou a la MAAF , personne ne peut vous dire ou cela en est. Donc mes 3 enfants, ma femme et moi dormons dans une chambre de 10 mètres carres depuis huit semaines car le dossier n'avance pas.</t>
  </si>
  <si>
    <t>lainan-78501</t>
  </si>
  <si>
    <t xml:space="preserve">internautes réfléchissez bien avant de vous assurer à la MAAF   excepté si vous n 'avez jamais de sinistre, voici mon cas ayant eu 2 sinistres dégâts des eaux en 2015 et 2017 chacun d'eux inférieurs à 3000 euros je vois mon contrat résilié pour motif trop de sinistres alors que suis assuré depuis de très nombreuses années: moralité MAAF vous assure si vous n'avez pas de sinistre à bon entendeur
</t>
  </si>
  <si>
    <t>17/08/2019</t>
  </si>
  <si>
    <t>malassure-78040</t>
  </si>
  <si>
    <t>Catastrophique quant à la résiliation de l'ancien contrat d'assurance Iard. Assurance habitation payée en double.</t>
  </si>
  <si>
    <t>30/07/2019</t>
  </si>
  <si>
    <t>ludovic77-78032</t>
  </si>
  <si>
    <t xml:space="preserve">les prix sont légérement plus élevé que d'autres.  si vous avez 2 déclarations de dégats alors ils vous radient de chez eux....même aprés plus de 10 ans chez eux sans problème. bref si vous leurs rapportez pas assez d'argent , vous ne les intéréssez pas. </t>
  </si>
  <si>
    <t>pastachoux-77710</t>
  </si>
  <si>
    <t>Bonjour avec les sites internet il y a de tout les prix on ne sait plus quelle est la meilleure assurance</t>
  </si>
  <si>
    <t>17/07/2019</t>
  </si>
  <si>
    <t>coco27-77021</t>
  </si>
  <si>
    <t>40 ans de souscription, tous contrats confondus, voitures, accidents de la vie, habitation, pour se voir annoncer par téléphone, que le siège a décidé de mettre fin à notre contrat d'habitation, car nous avons eu sur les 4 dernières années, 4 dégats des eaux, 40 ans de cotisations, contre 4200 euros de frais pour la MAAF(en total). On croit rêver, c'est odieux, on ne sert qu'à être des vaches à lait. 
Autrement dit prenez une assurance (obligatoire), mais ne vous en servez surtout pas.
Ou est la considération par rapport au client dans tout ça. 
Limite, si on a pas remit en plus ma parole en question, et peut être aussi dois je dire merçi que l'on me garde en tant que sociétaire pour mes autres assurances.
ABERRANT, et surtout ne demander pas à qui se plaindre au siège c'est une décision irrévocable.
En gros ferme ta bouche, et débrouille toi.
Un conseil si vous avez besoin d'une assurance sérieuse et responsable FUYEZ et allez voir ailleurs.</t>
  </si>
  <si>
    <t>22/06/2019</t>
  </si>
  <si>
    <t>michel88-75488</t>
  </si>
  <si>
    <t>Mon épouse a eu un accident en novembre 2018, elle s'est fait renverser par une voiture alors qu'elle circulait à vélo. Sa responsabilité n'est nullement engagée. Casque et portable cassés, ainsi que le vélo. Cela fait bientôt 6 mois, et aucune indemnisation si ce ne sont que 200 euros royalement avancés par l'assurance adverse, la Macif. Quid de l'indemnisation totale ?  on les relance Monsieur !!  euh  et jusqu'à quand ?  euh jusqu'à ce qu'ils paient....   Tout est dit. Je vais déposer moi-même une injonction de payer directement auprès du tribunal je pense que ça va aller plus vite.
Je me demande encore à quoi sert la Maaf si on doit out faire soi-même.
J'étais assuré précedemment chez Allianz et à la MAIF, et jamais on n'a aussi mal géré nos dossiers. C'est la MAAF que je préfère ? sur Mars, peut-être, ou Pluton, allez savoir...</t>
  </si>
  <si>
    <t>29/04/2019</t>
  </si>
  <si>
    <t>nbbesac-74887</t>
  </si>
  <si>
    <t>Contrat habitation souscrit en septembre 2007. Depuis cette date, je n'ai rien changé au contrat, aucun sinistre, aucun incident de paiement mais ma cotisation annuelle a augmenté de 68,99%. J'ai envoyé un recommandé à mon agence pour demander des explications et un geste commercial. Réponse par téléphone : augmentation normale. J'ai demandé confirmation par écrit : pas de confirmation par écrit (ni courrier ni mail). Je suis en train de démarcher d'autres compagnies pour quitter MAAF.</t>
  </si>
  <si>
    <t>09/04/2019</t>
  </si>
  <si>
    <t>sophie-69588</t>
  </si>
  <si>
    <t xml:space="preserve">Très en colère.... Plus de 2mois après avoir du quitter la maison a cause de fissures... Toujours aucune nouvelle. L'expert est passé il y a un mois et il n'a toujours pas fait le rapport... On me dit que les délais seront très long!!! Est ce que quelqu'un se soucie du fait que 15j je n'ai plus d'hébergement et que j'ai un bébé de 3mois et un autre de 2ans?! </t>
  </si>
  <si>
    <t>20/12/2018</t>
  </si>
  <si>
    <t>jpb1-69437</t>
  </si>
  <si>
    <t xml:space="preserve">Clients depuis plus de quinze ans chez Maaf en assurance automobile (2 véhicules) et multirisques habitation, nous n'avons jamais eu le moindre sinistre en habitation ni aucun sinistre automobile depuis 5 ans. Très récemment, mon épouse a endommagé ses lunettes de vue. Ce genre de dommages n'est pas couvert par la Maaf, même avec l'option "Tous Risques" à laquelle nous n'avions pas souscrit. Après avoir demandé par mail les dernières CGV Multirisques Habitation pour vérifier, la MAAF nous a téléphoné pour nous proposer, à titre commercial, de prendre en charge exceptionnellement le reste à charge des frais de remise en état des lunettes. Agréable surprise MAIS la MAAF a, de sa propre initiative, sans aucune demande ni accord préalable de notre part, un dossier sinistre. Incroyable mais vrai. Nous avons à de nombreuses reprises demandé la suppression de ce dossier sinistre, mais, à ce jour, en vain. La MAAF prétend qu'un dossier sinistre ne peut être supprimé. Nous allons donc passer à l'étape juridique et judiciaire suivante et leur adresser une mise en demeure officielle. Accepter de telles pratiques ouvrirait la porte à toutes les "dérives" : depuis quand un assureur peut - il créer un dossier sinistre sans aucune demande des assurés ? </t>
  </si>
  <si>
    <t>15/12/2018</t>
  </si>
  <si>
    <t>esteban1937-69177</t>
  </si>
  <si>
    <t>Disponibilité et sérieux des conseillers de clientèle. Traitement du dossier très rapide et remboursement du sinistre rapide</t>
  </si>
  <si>
    <t>05/12/2018</t>
  </si>
  <si>
    <t>masokette-69053</t>
  </si>
  <si>
    <t>Très chère par rapport à la matmut pour le même niveau de prestation. Le service client n'a pas entendu le fait que j'indiquais que cela augmentait chaque année de 30 euros environ et que cela n'était pas normal</t>
  </si>
  <si>
    <t>petitpere-71-68884</t>
  </si>
  <si>
    <t xml:space="preserve">Après le décès de ma maman, j'ai du résiler l'assurance.
Après réception de l'avis de décès, de mon certificat de naissance et d'une lettre demandant la suspension du contrat, je reçoit un avis d'échéance pour 2019.... Le conseiller indique qu'il est obligatoire de passer par un notaire. 
Démarche absolument abusive. Lorsque l'on est en deuil d'un être cher, j'attends de mon assureur qu'il soit compréhensif et non qu'il tente de grapiller une nouvelle adhésion car les délais de suspension sont échus. </t>
  </si>
  <si>
    <t>24/11/2018</t>
  </si>
  <si>
    <t>pat-68294</t>
  </si>
  <si>
    <t>Trois sinistres non responsables en 3 ans.  Lettre recommandée reçue pour nous dire qu'on était des mauvais élèves ! Hallucinant ! Sur les trois sinistres : une tempête qui nous a déraciné trois arbres, un coup d'orage qui nous a cramé un ordinateur et les troisième une responsabilité civile non responsable également ! Moralité nous sommes Thor, Éole tout à la fois puisque nous sommes jugés responsable ! J'ai connu d'autres assurances avec qui nous n'avons jamais eu de souci. Là c'est une première ! Il faut payer les cotisations et c'est tout mais surtout ne pas avoir besoin d'eux car ils se mettront e' colère et vous vireront sans commune mesure ! A fuir, à fuir ! Nouveau slogan : C'EST LA MAAF QUE JE DÉTESTE ! FUYEZ !</t>
  </si>
  <si>
    <t>02/11/2018</t>
  </si>
  <si>
    <t>mika92400-68106</t>
  </si>
  <si>
    <t>Tout se passe bien jusqu'au moment ou vous avez besoin d'eux. Aucune politique de fidélisation du client. Mutuelle qui ne privilégie uniquement que le rendement. MOI C'EST LA MAAF QUE JE NE PREFERE PAS !!!</t>
  </si>
  <si>
    <t>26/10/2018</t>
  </si>
  <si>
    <t>tg-67109</t>
  </si>
  <si>
    <t xml:space="preserve">Agence Digne Les Bains  à une agent très compétente dans son boulot (Murielle )les tarifs sont dans la moyenne des autres assurances.Les remboursements sont fait en temps et en heure dans les montants annoncées. </t>
  </si>
  <si>
    <t>26/09/2018</t>
  </si>
  <si>
    <t>sandyy-66673</t>
  </si>
  <si>
    <t xml:space="preserve">Résilier car 2 sinistres en 3 ans trop de sinistres pour eux.
On m a dit que la moyenne était de 1 sinistre tous les 8 ans !!!! Je ne suis pas dans la moyenne. Cette assurance est très bien si vous n en avez pas besoin. </t>
  </si>
  <si>
    <t>06/09/2018</t>
  </si>
  <si>
    <t>audrey-66350</t>
  </si>
  <si>
    <t>J'ai tenté de souscrire une assurance pour 2 habitations... Refusé alors que je n'ai jamais eu de sinistre! Raison? J'ai emménagé le 18 et et ai demandé l'assurance le 22 car oubli de la faire plus tôt donc dans ce cas là on a plus le droit de souscrire!! La réponse du conseiller : demander une assurance à votre banque, ils sont moins regardant!</t>
  </si>
  <si>
    <t>23/08/2018</t>
  </si>
  <si>
    <t>gaby-66131</t>
  </si>
  <si>
    <t xml:space="preserve"> RC depuis 10 ans Transfert du contrat du 92 au 06 Demande de la garantie assistance suite au décès de ma mère lorsque nous étions au Canada chez nos enfants Refus Raison Non résidents Justificatif domicile Refuse l' avis d'imposition</t>
  </si>
  <si>
    <t>11/08/2018</t>
  </si>
  <si>
    <t>tigerpm-65252</t>
  </si>
  <si>
    <t>Je viens de recevoir un courrier de la Maaf qu'il résilie mon contrat Habitation car trop de sinistres!!! Cela fait plus de 20 Ans que je suis assuré Voiture Moto Santé Etc... Aucun Sinistre en 20 Ans MOTO VOITURE... Une question un client qui laisse plus de 3000 Euros c'est quoi pour Vous!!! AUCUN RESPECT DU CLIENT......</t>
  </si>
  <si>
    <t>31/07/2018</t>
  </si>
  <si>
    <t>clientpigeon-65568</t>
  </si>
  <si>
    <t xml:space="preserve">Assuré depuis 25 ans chez eux, ils viennent de m’annoncer qu’ il Mettait fin à mon contrat car 3 sinistres  les deux dernières années, deux grêles et une foudre et rien les années d’avant 
Conclusion tant qu'on Paie et qu’il n’y a rien, ils sont content.
La foudre et la grêle c’est compliqué de lutter contre...
Bref une assurance a éviter rapidement, tant que vous payez c’est L’essentiel 
</t>
  </si>
  <si>
    <t>17/07/2018</t>
  </si>
  <si>
    <t>nordz95-62209</t>
  </si>
  <si>
    <t xml:space="preserve">à éviter ça doit etre une filliale de macif c'est le pire des assureurs français au niveau rembousement </t>
  </si>
  <si>
    <t>30/06/2018</t>
  </si>
  <si>
    <t>syl-64832</t>
  </si>
  <si>
    <t>Après 25 ans de fidélité nous avons eu le plaisir de recevoir un courrier nous informant que nous sommes virés de l'assurance habitation après deux malheureux petits sinistres qui n'ont presque rien coûtés à la Maaf sans même un appel. Ils peuvent en faire de belles pub !!!</t>
  </si>
  <si>
    <t>17/06/2018</t>
  </si>
  <si>
    <t>ren-64086</t>
  </si>
  <si>
    <t xml:space="preserve">expert passé le 10/05/2018 toujours en attente du règlement personne pour me dire a quel stade est mon dossier </t>
  </si>
  <si>
    <t>bina-62869</t>
  </si>
  <si>
    <t xml:space="preserve">Je vous déconseille cet assureur. Cela fait 1 an que je me bâts avec eux pour une indemnisation et ils ne font rien malgré l’envoi du dossier devant le médiateur. Surtout ne prenez pas l’assistance juridique car vous ne serez jamais pris en charge. Malgré l’envoi de toutes les pièces dans les temps. </t>
  </si>
  <si>
    <t>02/04/2018</t>
  </si>
  <si>
    <t>chyan-60680</t>
  </si>
  <si>
    <t>Trés mauvaise assurance Habitation n'a pas pris en charge un sinistre suite à des travaux publiques.Effacement de lignes (électrique,téléphonne).Muret cloture,poteau de portail endommagé par engin de chantier mais comme pas eu de témoin...pas vu pas pris... des photos le même jour avant aprés n'ont pas de valeur...à quoi sert une assurance?</t>
  </si>
  <si>
    <t>20/01/2018</t>
  </si>
  <si>
    <t>richardkimble06-60322</t>
  </si>
  <si>
    <t>Leur seule ambition declarée " LOBOTIMISATION des cerveaux clients par une PUB Intempestive grace aux multiples augmentations de tarifs"</t>
  </si>
  <si>
    <t>09/01/2018</t>
  </si>
  <si>
    <t>paul-60318</t>
  </si>
  <si>
    <t>Impossible de joindre services sinistres. Perte de documents factures liées à un sinistre habitation. Bien côté prix mais zéro côté gestion des sinistres A EVITER !!!</t>
  </si>
  <si>
    <t>rc916-60045</t>
  </si>
  <si>
    <t>Prix moyens selon les comparateurs
à croire qu'ils s'entendent tous entre agences Qualité indéniable depuis que j'y suis et garanties jamais testées d'où mes notes moyennes
Mais satisfaction en nette baisse depuis qu'on me change de conseillers en permanence
sans me prévenir au début de ce changement
Puis un discours parfois lointain ou infantilisant
refus de mon nouveau crédit moto chez eux
Et le comble, on me fait croire à une assurance obligatoire concernant mon habitation
je vais m'en occuper en 2018</t>
  </si>
  <si>
    <t>30/12/2017</t>
  </si>
  <si>
    <t>olympe-59533</t>
  </si>
  <si>
    <t xml:space="preserve"> 
ATTENTION! TROMPERIE pour contrat d'habitation en ligne! Galère remboursement mutuelle ! TRI SÉLECTIF CLIENT
1. TROMPERIE (DOL)  DANS  LA SOUSCRIPTION DES CONTRATS EN LIGNE
Ma fille handicapée (ne peut pas faire plus de 300 m à pied) a souscrit en ligne un contrat assurance habitation pour un montant de 161 euros. 
Elle reçoit un contrat d'un montant de 258 euros ajoutant des prestations supplémentaires non demandées et non adaptées à sa situation
- Grosses difficultés pour les joindre ensuite :  non réponse aux mails, standards, site, plate-forme occupés...
- En allant à l' agence de PUTEAUX, on nous a répondu textuellement et devant témoins : "vous nous faites perdre notre temps"... Prenez rendez vous en ligne! ... Il suffisait pourtant de noter un rdv sur son agenda mais "cela ne se passe pas comme ça"!
- On  finit  par avoir un RDV en ligne une semaine aprés (2éme déplacement donc), voilà comment a été traité la question :
	- soit vous acceptez le nouveau contrat à nos conditions et avec les prestations nouvelles (que nous ne voulons pas) à 258 euros
	- soit vous refusez le contrat signé à 161 euros mais  vous devez quand même nous payer 258 euros car vous avez bénéficié de "trois mois gratuits"(1ére nouvelle! c'est l'astuce ! cette gratuité  n'a jamais été spécifiée nulle part!
RIB donné, engagement pour un an : le client est coincé.. et ne peut qu'accepter les conditions du contrat imposée par la MAAF
En gros,  tu choisis entre la peste et le choléra :
	- soit le contrat souscrit  à 161 euros mais en payant 258 euros (à cause des soit-disants 3 mois gratuits)
	- soit tu acceptes "notre" contrat avec des prestations supplémentaires au prix de 258 euros inadaptées!
2. GALERE DENONCIATION CONTRAT MUTUELLE ET REMBOURSEMENT 
 Ma fille a dénoncé son contrat mutuelle MAAF il y a trois mois suite à son embauche en tant que salariée. Elle était au taux entrepreneur et il  était impératif de dénoncer le contrat MAAF afin de domicilier la CPAM sur la mutuelle son entreprise. Quelle galère!
A ce jour, devant le manque d'entrain de la MAAF pour résilier ce contrat, elle paye deux fois la mutuelle
Préjudice : 240 euros à ce jour 
3. DÉFAUT D'INFORMATION OU COMMENT "FERRER UN CLIENT"
Mon mari a changé de voiture et souhaitait prolonger son ancien contrat.  Plutôt que de proroger le contrat existant, elle a fait un nouveau contrat. Résultat : elle ferre le client pour un an : il ne peut plus changer d'assureur pendant 1 an!
4.   TRI SELECTIF DES CLIENTS
La MAAF fait du tri sélectif sur tous ses contrats. Mon mari était client MAAF depuis l'acquisition de son bien immobiier, il y a 35 ans. Ayant subi trois dégâts des eaux minimes au cours des 2 dernières années (parties communes et parties privatives), la MAAF nous a informé qu'elle résiliait ce contrat au 31/12  mais conservait les 6 autres contrats nettement plus rentables et sans sinistre!
Qui plus est, cette assureur mutualiste a refusé de fournir des données obligatoires (le taux sinistre à prime). Ce taux est trés instructif, il montre le pourcentage des sinistres payés par rapport à la prime versée. Pour mon cas, environ 13000 euros de prime sur la durée du contrat et à peine 2000 euros de sinistres cumulés.
De qui se moque-t'on?
Voilà comment on perd 5000 euros de primes annuelles et cette mise en concurrence nous a fait gagner prés de 25% à couverture identique!
L'ensemble de ces anectodes montrent que le slogan publicitaire de la MAAF "c'est possible" doit être modifié rapidement car avec eux "rien n'est réellement possible" ni la concertation, ni la base de la courtoisie qui se devrait d'être naturelle pour un prestataire de service!
</t>
  </si>
  <si>
    <t>10/12/2017</t>
  </si>
  <si>
    <t>steevensge-58775</t>
  </si>
  <si>
    <t xml:space="preserve">je vais essayer de rester correct mais je suis très du manque de respect de la part de la MAAF par rapport ses clients c'est une honte </t>
  </si>
  <si>
    <t>12/11/2017</t>
  </si>
  <si>
    <t>serge75-58630</t>
  </si>
  <si>
    <t>Assuré depuis 8 ans (pro) j'ai déclaré deux sinistres : un dégât des eaux en 2014 et une vitre en 2017. Je suis résilié à l'échéance de la fin 2017. Aucune communication, ils refusent même d'établir un historique qui serait bien utile dans la recherche désormais difficile d'un nouvel assureur.</t>
  </si>
  <si>
    <t>06/11/2017</t>
  </si>
  <si>
    <t>jose-57757</t>
  </si>
  <si>
    <t xml:space="preserve">Bonjour,
Client MAAF depuis.... il faut que je regarde mais au moins 15 ou 20 ans.. Jusqu'en 2012 en région parisienne et maintenant à l'agence d'Ales.
Pas de sinistre, rien depuis des années. 
Suite à des agrandissements de mon habitation j'ai voulu réactualiser mon contrat, j'aurai pas dû... 
La Maaf ne voulant m'assurer les extérieurs: piscine, mur de clôture etc que pour 10 000€ max, la piscine seule m'a couté  : 37 500€. La personne m'ayant reçu sur Alès (courtoise et pro) n'ayant pas la main m'a renvoyé sur la responsable d'agence vendredi dernier. Je n'ai pas été déçu du voyage... Ne voulant pas être discourtois je ne dirai rien de plus mais je n'en pense pas moins.
Mais résultat, j'ai reçu ce jour une lettre recommandée avec AR m'indiquant la résiliation de mon contrat habitation au 25/10 pour aggravation de risque. Nous sommes le 2/10....
J'avais 5 contrats et 3 assurances vie, ce soir il ne reste plus que les assurances vie le temps que je trouve la meilleure façon de passer ailleurs..
Je dois tout de même dire merci, ceci est arrivé sans sinistre, que se serait-il passé en cas de sinistre?
</t>
  </si>
  <si>
    <t>02/10/2017</t>
  </si>
  <si>
    <t>loulou-57085</t>
  </si>
  <si>
    <t xml:space="preserve">À fuir. N ayez surtout pas un sinistre ! 
Quand au numéro spécial sinistre il est en soit disant dérangement à n importe quel heure, n importe quel jour de l'année.
La personne spécialisée dans ce domaine et qui s'occupe de mon dossier ne donne aucune nouvelle, n'est pas joignable. (À croire que c'est du virtuel, un pseudo).
Je dois me battre avec le service souscription pour avoir un contact.
4 mois que ça dure et ce n'est pas régularisé encore.
</t>
  </si>
  <si>
    <t>az-56581</t>
  </si>
  <si>
    <t>ILS VEULENT QUE LES CLIENTS EN OR! 
REFUS DE DONNER MÊME LE DEVIS PAR TEL, POUR LA MAISON RECEMMENT ACHETÉ,LAQUELLE, SUIVIE LA LOIT, JE NE SUIS MÊME PAS EN OBLIGATIONS D'ASSURER, car PAS DE COPRO: "assurance habitation n'est pas obligatoire pour les propriétaires, sauf si le logement est situé dans une copropriété, SOUS PRETEXTE DE ...N'EST PAS ETRE DEJA ASSURÉ ...LE JOUR D ACHAT AU TGI, OU TU DEVIENS PROPRIO QUE 10 JR APRES AVOIR GAGNÉ LES ENCHERES et ou il n'as pas même de Notaire de vente! J'AVAIS PARLÉ AVEC sa RESPONSABLE, MAIS ELLE M'AVAIT ENVOYÉ, COMME /J'AVAIS LUI DIS/ "UNE MONTEUSE", ALLER  FAIRE ESTIMATION ET L'ASSURANCE, AVEC TOUTS MES DOC PERSO ET DE LA MAISON, DANS UNE BOUTIQUE PHYSIQUE!! DONC PAS D'EXPLICATIONS VIABLES, MAIS DE TOUT FAÇON JE RECOLTE JUSTE DES INFO PR FAIRE UNE ASSURANCE, DONC CONTINUEZ À PERDRE VOS CLIENTS POTENTIELS! VISIBLEMENT LA FORCE DE VOTRE PUB ETRE AVEC VOUS! PR COMBIEN DE TEMPS?</t>
  </si>
  <si>
    <t>09/08/2017</t>
  </si>
  <si>
    <t>fl-nl-hdf-56579</t>
  </si>
  <si>
    <t>Suite à un cambriolage sur mon lieu de vacance, et malgré une formule nommée "intégrale", la MAAF ne prend pas en charge mes biens volés (4000 euros) parce que je n'ai pas l'option "mobilité" (option entre autre qui ne m'a jamais été proposée)</t>
  </si>
  <si>
    <t>alain-marc63-56416</t>
  </si>
  <si>
    <t xml:space="preserve">Client fidèle depuis 12 ans n’ayant jamais eu aucun sinistre sur mes contrats autos, mais par contre quelques sinistres dus aux tempêtes Orages violents, dans mon habitation ces dernières années,  j’ai eu la désagréable surprise d’avoir la résiliation de mon contrat habitation pour la fin de l’année 2017 Incroyable en plus ce ces problèmes que je ne peux contrôler, il n’y a par ex aucune faute de ma part, sauf peut-être la malchance la poisse, vous êtes virez imaginez un malade a la sécurité sociale pacse que, il est souvent malade on le vire !! 
J’ai jamais eu un impayés durant toutes ces années un retard de paiement .. Oui on peut virer un mauvais conducteur pour ses sinistres du a sa mauvaise conduite, à son alcoolisme, voir pour des problèmes de trésorerie …
En fait toutes ses assurances sont là que pour gagner du fric sur votre dos, alors avant de signer chez cet assureur, faîtes bien attention à la région ou vous habiter, surtout dans la partie de la France moitié sud car les orages, les tempêtes, la neige, y sont plus fréquents idem si vous êtes en ville ou campagne et aussi la mentalité de cette société tout cela est a prendre en compte il est certain qu’à Paris il peut y avoir moins de sinistres et encore ….
Mais le pire, comble de l’ironie, il supprime mon assurance habitation mais eux même, sont surpris de mon mécontentement, ma fureur, mes résiliations, de mes contrats autos ou appart universitaire de mes enfants   … Société de consommation, sans humanité, ou seule la cupidité le fric le % des sinistres est pris en compte,  Es ce une valeur et non, justement le but d’une assurance est  d’aider son prochain …
Alors avant de signer un contrat renseignez-vous bien …
Un autre problème aussi, malgré un local dans votre ville, vous ne pouvez jamais joindre au tel votre interlocuteur régional, mais vous tombez toujours sur une plateforme avec des inconnus 
De plus les tarifs ne sont pas vraiment si bon marchés que cela et pour des remboursement, il y a toujours une franchise de 20 % et une décote de la valeur du bien ceci pour l’habitation un exemple pour un congélateur de plus de 5 ans d’une valeur de 400 € vous ne touchez en fait que  63 € document que je peux fournir et attester et je ne parle pas des déplacements du parcours pour rassembler les documents car aucun réparateur ne veux se déplacer pour si peu chez vous en province et vous transporter un congélateur si volumineux surtout seul et handicapé 
</t>
  </si>
  <si>
    <t>mla-56312</t>
  </si>
  <si>
    <t>Prix facial trop cher vs concurrence- je viens de faire comparatif complet a iso périmètre</t>
  </si>
  <si>
    <t>27/07/2017</t>
  </si>
  <si>
    <t>mika27-56290</t>
  </si>
  <si>
    <t>10 ans chez Maff, 2ass auto, 2ass vie, 2Gav + hab, jamais de sinistre auto mais 2 habitation, 1 dégât des eaux et un sinistre non resp (un camion enfonce mon portail) Et la ils résilient mon contrat.</t>
  </si>
  <si>
    <t>26/07/2017</t>
  </si>
  <si>
    <t>lucas-55711</t>
  </si>
  <si>
    <t>Assurance consternante. Cela fait quatre mois qu'un dégât des eaux traine en raison de leur léthargie. Impossible de joindre leur service "Gestion de sinistres"  qui est toujours 
"momentanément indisponible". Mieux vaudrait indiquer 
quand il est "momentanément disponible". Et quand vous 
finissez par joindre quelqu'un par miracle, vous tombez 
toujours sur un interlocuteur différent qui reprend le dossier
 à zéro. Cerise sur le gâteau : C'est la société d'expertise TEXA qui brille par son incompétence qui va s'occuper de votre dossier et non la MAAF avec laquelle vous avez pourtant signé. Naturellement, si un problème survient, TEXA et la MAAF se renvoient la balle et vous comptez les points. Situation désespérante ...</t>
  </si>
  <si>
    <t>29/06/2017</t>
  </si>
  <si>
    <t>fizwizbiz-54807</t>
  </si>
  <si>
    <t>L'assureur qui est capable de vous résilier sans vous prévenir parce qu'il a mal noté l'adresse et sans chercher à vous appeler. Qui vous fait venir en agence pour vous dire que vous êtes désormais blacklisté pour 2 ans chez tous les assureurs.</t>
  </si>
  <si>
    <t>19/05/2017</t>
  </si>
  <si>
    <t>audrey-45168</t>
  </si>
  <si>
    <t xml:space="preserve">impossible de les joindre, je rends le logement, je m'attendais à être remboursée du trop perçu, en fait je leurs dois en plus !!! et bien sûr , ils envoient une lettre et basta, impossible de les joindre . Facile </t>
  </si>
  <si>
    <t>10/05/2017</t>
  </si>
  <si>
    <t>victor-52617</t>
  </si>
  <si>
    <t>Pour la maaf mes critères sont uniquement sur un sinistre léger concernant l'habitation.Dieu merci quant à présent je n'ai pas eu de sinistre véhicule.</t>
  </si>
  <si>
    <t>21/02/2017</t>
  </si>
  <si>
    <t>anne-sophie-52183</t>
  </si>
  <si>
    <t>J'ai souscrit un contrat d'assurance chez la MAAF pour assurer des biens personnelles dans un local loué à un particulier. Faisant confiance à cette assurance soit disant être des "professionnelles" et ayant plusieurs contrat chez eux je leur faisait confiance. Or, fin d'année 2016 je suis victime d'un vol dans ce hangar et à ma surprise je n'était pas assuré pour le vol!!!! sachant je ne suis pas assureur mais le plus gros risque qui peut vous arriver quand vous louer un local c'est le vol non?? 
Très mécontent de cette assurance, car dès qu'il y a un problème il n'y a plus personne!</t>
  </si>
  <si>
    <t>08/02/2017</t>
  </si>
  <si>
    <t>dudo-50894</t>
  </si>
  <si>
    <t>quand vous voulez déclarer un sinistre, il faut une tonne de justificatif comme si on faisait une arnaque en 8 ans de maaf je n'ai fait qu'une seule déclaration de sinistre et je n'ai rien obtenu suite à coup de foudre j'ai eu 3 appareils électriques de grillés cout 360€, franchise de 120€ remboursement 0€</t>
  </si>
  <si>
    <t>03/01/2017</t>
  </si>
  <si>
    <t>liliane-50814</t>
  </si>
  <si>
    <t>La maaf efficace et pas chère? Seulement dans les pubs !</t>
  </si>
  <si>
    <t>31/12/2016</t>
  </si>
  <si>
    <t>mm-en-colere-50575</t>
  </si>
  <si>
    <t>A éviter. Assurance vol des livres, des vaisselles (oui vaisselles!), mais rien de valeur. Ridicule. J'ai découvert trop tard, après un cambriolage ou nous avons perdu un bague de fiançailles, nos alliances etc. Je vais changer à GAN - moins cher, et assurance vol des objets de valeur compris.</t>
  </si>
  <si>
    <t>22/12/2016</t>
  </si>
  <si>
    <t>hairjet-49739</t>
  </si>
  <si>
    <t>la mutualisation des débours fait monter inexorablement les tarifs.Toutes les personnes que j'interroge autour de moi n'ont jamais ouvert de dossier sinistre auprés de leur assurance.Logiquement on peut se demander où passe l'argent. 
La solution attendue est l'instauration d'un bonus .Ce qui serait normal car je n'ai jamais sollicité les assurances depuis plus de 10 ans</t>
  </si>
  <si>
    <t>30/11/2016</t>
  </si>
  <si>
    <t>01/11/2016</t>
  </si>
  <si>
    <t>yenamarre-49497</t>
  </si>
  <si>
    <t>Très mauvais service client national qui conseille à ses clients de faire de fausses déclarations et ne connaît pas les dispositions de la loi Macron! Je vais tenter la concurrence</t>
  </si>
  <si>
    <t>23/11/2016</t>
  </si>
  <si>
    <t>richardp-49339</t>
  </si>
  <si>
    <t>résiliation arbitraire de mes 2 contrats habitation alors qu'il n'y a eu qu'un seul sinistre (dont je n'ai dailleurs aucune responsabilité). La réclamation que j'ai faite est restée sans réponse alors que leur site internet affirme que les réclamations ont une réponse sous 10 jours. Mon agence dit que ces décisions de résiliation sont prises par le Siège et que l'agence n'a aucune possibilité d'intervention ni de réponse: "... c'est peut être parceque l'adresse de votre immeuble a une sin istralité importante... ".</t>
  </si>
  <si>
    <t>18/11/2016</t>
  </si>
  <si>
    <t>valerie-berry-139144</t>
  </si>
  <si>
    <t>SOGESSUR fait partie du "package" assurance que la banque SOCIETE GENERALE conseille à ses clients lorsqu'ils achète leur habitation. Contrairement à des compagnies de type mutuelles, en cas de sinistre (dans notre cas un dégât des eaux), SOGESSUR prend acte de votre sinistre mais n'agit pas : il faut relancer pour avoir un expert, appeler sans cesse pour suivre son dossier, ... qui d'ailleurs n'évolue pas. Voilà plus de 9 mois que nous nous démenons pour être indemnisé mais SOGESSUR ne bouge pas, n'intervient pas au motif que notre sinistre provient la copropriété ... La belle affaire, une assurance est là pour "assurer", pas pour jouer la morte. En attendant, notre parquet est fichu et ni Sogessur, ni la SOCIETE GENERALE, ne s'occupe de ses clients.  Nous allons saisir le médiateur de l'assurance et résilier ensuite notre contrat auprès de SOGESSUR. Cette assurance n'en est pas une, MIEUX VAUT LE SAVOIR ET RESILIER AVANT D'AVOIR UN SINISTRE GROS OU PETIT, vous ne serez pas rembourser.</t>
  </si>
  <si>
    <t>Sogessur</t>
  </si>
  <si>
    <t>07/11/2021</t>
  </si>
  <si>
    <t>as-133171</t>
  </si>
  <si>
    <t xml:space="preserve">Allo, Allo .... ils ne prennent pas les clients au téléphone ... et nous envoie via un lien sur la solution web ... qui ne fonctionne pas .... REPONDEZ AU TELEPHONE, ASSUREZ VOUS QUE VOTRE SITE WEB SOIT ACCESSIBLE ... INADMISSIBLE !!!!!!!!!!!!!! SINISTRE EN COURS DEPUIS DECEMBRE 2020 TOUJOURS PAS REGLE, RELANCE, RELANCE, RELANCE ... INCOMPETENT RIEN NE BOUGE !!!!!!!!!!!!!!!!! SERVICE CATASTROPHIQUE SI VOUS AVEZ LE CHOIX D'UN AUTRE ASSUREUR FUYEZ SOGESSUR </t>
  </si>
  <si>
    <t>17/09/2021</t>
  </si>
  <si>
    <t>nad-125120</t>
  </si>
  <si>
    <t xml:space="preserve">Panne électrique un dimanche , pas de prise en charge d'un électricien d'urgence , seulement d'un plombier ou d'un serrurier. Dommage pour nous... Je resilie donc mon contrat chez Sogessur. Courrier avec accusé de réception demandant une résiliation à réception. Mais le prélèvement continue. Appel téléphonique: on me dit, sans sourciller, que je n'avais pas stipulé dans mon courrier la référence à la loi Hamon ! Les bras m'en sont tombés. 
Bref, à fuir ! </t>
  </si>
  <si>
    <t>27/07/2021</t>
  </si>
  <si>
    <t>artiste-123773</t>
  </si>
  <si>
    <t xml:space="preserve">on pense que l'assurance habitation souscrite auprès de sa banque est une bonne idée hélas en cas de sinistre on découvre que ce n'est pas du tout le cas le nom Sogessur se veut assez rassurant mais 2 mois après un sinistre tempête avec des gros dégâts de toiture sur une dépendance l'expert mandaté va chiffrer à zéro les dégâts en vous expliquant qu'il existe des couvertures en métal et des gouttières en zinc pour refaire la toiture c'est assez économique et solide mais qu'il faudrait que le vent ait soufflé à plus de 100 km/heure et qu'il ne peut pas vérifier car l'antenne est à 35 km et du coup il rend un rapport avec zéro indemnité </t>
  </si>
  <si>
    <t>19/07/2021</t>
  </si>
  <si>
    <t>31lucine-105080</t>
  </si>
  <si>
    <t xml:space="preserve">Un incendie en novembre 2020 a eu lieu dans un immeuble dans lequel mon studio a subi des dégats. Entre les assureurs, de l'immeuble, pour les parties communes, celles de ma locataire, mon assurance en tant que propriétaire non occupant, Sogessur ne bouge pas et attend qu'un assureur évalue l'ensemble, et rédige un "rapport pour compte commun". Début janvier j'envoie un email de réclamation, personne n'a daigné me répondre. Finalement c'est à mon assurance d'évaluer l'ensemble des dégats. Sogessur m'informe le 19 février qu'elle a mandaté SArretec pour cette évaluation. Depuis j'apppelle SArretec sans succès, toujours pas de contact, pas d'information. Les liens vers le site de Sarretec ne fonctionnent pas...
Hier soir je finis par avoir Sarretec, qui me répond qu'on me contactera "prochainement", qu'ils n'ont pas de délai pour répondre. ESt-ce qu'on peut avoir plus nulle comme réponse ? </t>
  </si>
  <si>
    <t>02/03/2021</t>
  </si>
  <si>
    <t>remi-103657</t>
  </si>
  <si>
    <t>sinistre déclaré le 13 novembre indemnisation le 3 décembre, en attente du remboursement de la franchise depuis 2 mois et 10 jours malgré mes 8 appels</t>
  </si>
  <si>
    <t>ml-103091</t>
  </si>
  <si>
    <t>Déplorable. Sogessur est devenue une assurance qui sait encaisser, qui ose augmenter de 20% en un an la cotisation 2021 (!)... mais qui ne rembourse pas quand il y a un sinistre. Dégât des eaux le 9 mai 2020. Toujours aucune indemnisation près de 8 mois + tard! Alors que les experts sont passés, en  ont chiffré le montant. Attente depuis des mois, aucune réponse aux mails, quasi impossible de les avoir au téléphone. Quand enfin on a quelqu'un, après des dizaines d'appels, on vous certifie que ce sera fait sous 5 jours. Et évidemment toujours rien 2 mois + tard. Mépris total du client et de leurs engagements. Honteux. A fuir!</t>
  </si>
  <si>
    <t>rob-101496</t>
  </si>
  <si>
    <t xml:space="preserve">Infiltration sur un appart en dernier étage ! Réglé en 15j.
Dégâts inférieurs à 500€ donc réglé en direct sans expert !
Pas la moins cher des assurances mais sérieuse !
</t>
  </si>
  <si>
    <t>el79-100591</t>
  </si>
  <si>
    <t xml:space="preserve">Un mot NUL
Injoignable incompétent 
Préfère perdre un assuré plutôt que de résoudre le dommage ...
Jamais le même interlocuteur quand on arrive à les joindre 
Aucune réactivité ni antécédent il fait tout re expliquer à chaque fois ... FUYEZ
</t>
  </si>
  <si>
    <t>25/11/2020</t>
  </si>
  <si>
    <t>amtheas-99324</t>
  </si>
  <si>
    <t>petite expérience personnelle, sinistre daté du 13 mai 2020, de multiples relances pour finalement apprendre, par la partie adverse engagée en responsabilité, que la mise en cause de SOGESSUR date du 22 octobre 2020.. dont près de 5 mois et demi après le sinsitre... vraiment pas sérieux du tout. sans doute la société Générale serait elle avisée de proposer des produits bancaires plutôt que des assurances pour lesquelles elles n'ont visiblement pas la compétence et le sens du respect du client. très déçu donc , et je déconseille cette compagnie !</t>
  </si>
  <si>
    <t>28/10/2020</t>
  </si>
  <si>
    <t>mickri-98357</t>
  </si>
  <si>
    <t>Très décevant ! Service client nul ! S'ils voulaient déjà décrocher quand on les appelle (au lieu de raccrocher juste après avoir débiter leur laïus) !</t>
  </si>
  <si>
    <t>05/10/2020</t>
  </si>
  <si>
    <t>assure182746-89365</t>
  </si>
  <si>
    <t xml:space="preserve">J'ai été obligé de m'assurer chez eux suite à un crédit immobilier.
J'essaye de déclarer un sinistre mais c'est impossible via leur site internet (aucune adresse mail ni formulaire de contact en ligne) et ils sont injoignables par téléphone.
Je vais tenter par courrier mais ma situation était urgente (dégât des eaux) et impossible de savoir si je pourrais être indemnisé et donc si je peux valider les travaux nécessaire.
</t>
  </si>
  <si>
    <t>benoitb-88224</t>
  </si>
  <si>
    <t>Pour encaisser leurs mensualités, pas de problème!
Pour dédommager leurs clients, il y a plus grand monde... Et aucun email pour échanger un peu plus vite qu'en 3 semaines les documents justificatifs!</t>
  </si>
  <si>
    <t>11/03/2020</t>
  </si>
  <si>
    <t>tompouce-86780</t>
  </si>
  <si>
    <t>la cheminée est tombée suite à la tempète du 22 décembre,devis accepté par texa expertises,sans visite d'un expert.Aujourd'hui,le maçon finit le travail,et,là, surprise,je dois payer,l'assurance ne prend plus en charge les travaux.Réponse,vétusté de la cheminée,je crois que c'est un mot magique de la société.A FUIR</t>
  </si>
  <si>
    <t>05/02/2020</t>
  </si>
  <si>
    <t>monopinion-85475</t>
  </si>
  <si>
    <t>Suite à un accident et malgré tous les éléments apportés au service juridique Aviva, mandaté par SOGESUR, on ne nous a pas défendu convenablement,  alors qu'à l'évidence nous n'étions absolument pas responsable. résultat nous avons payé 750 Euros  de notre poche et heureusement que les blessures n ont pas nécessité d'hospitalisation ...</t>
  </si>
  <si>
    <t>vsl-82220</t>
  </si>
  <si>
    <t>Ns avons fait une déclaration à titre conservatoire. Pr l'expert, très méprisant, c'était à ns de trouver une solution aux dégâts. Aucune expertise n'a été réalisée.</t>
  </si>
  <si>
    <t>23/12/2019</t>
  </si>
  <si>
    <t>marie-79903</t>
  </si>
  <si>
    <t xml:space="preserve">Qu'attend t'on d'une assurance ? Quelle soit présente en cas de sinistre (surtout non responsable)!!!
Que dit sogessur ?? 
Débrouillez vous tout seul !
Aucun sinistre depuis plus de 20 ans... 
Assurance toujours payée
Et la seule fois où elle a un rôle à jouer et prouver qu'elle sert à quelque chose, il n'y a plus personne !! 
Fuyez cette assurance ! </t>
  </si>
  <si>
    <t>10/10/2019</t>
  </si>
  <si>
    <t>mimda-20639</t>
  </si>
  <si>
    <t>Bonjour, je suis très très déçu de sogessur mais surtout du traitement des dossiers. J'ai  plusieurs contrats chez eux et c'est la première fois que je suis confronté à une telle situation, aucun  humanisme.
J'ai été victime d'un cambriolage au mois de juillet ( encore très choqué car nous étions à la maison avec les enfants), la police se rend très rapidement notre domicile, dresse un rapport puis ils contactent leur collègues de la scientifique pour relever les empreintes. Je contacte sogessur, on me propose un système de télésurveillance ( que j'ai pris) et on me dit qu'un expert me contactera sous 5 jours. Chose faite il me demande pour m'indemniser de justifier les pièces dérobés par photos, factures ou relève de compte. Je lui envoie par mail. Et là......tout commence!!! Pas de nouvelle de l'expert je tente de l'appeler, lui laisse des messages mais aucun retour. J'appelle sogessur une conseillère ( très gentille) me dit qu'elle lui laisse un message pour lui dire de me rappeler, dossier prioritaire. Après une semaine toujours pas de nouvelle de l'expert. Je rappelle sogessur meme discours. Je tente à mon tour de le rappeler à plusieurs reprise il me réponds enfin qu'il est en expertise et qu'il me rappel en fin de journée. Vers 18 h pas de nouvelle je le rappelle plusieurs fois et fini par laisser un message. Surprise,il me rappelle à 19h50! Et je me fais gronder par ce monsieur, il me dit que je n'ai pas à appeler autant de fois que si il ne décroche pas c'est qu'il est en expertise  !!!! Et la il m'apprends que mon dossier est bloqué, pourquoi ne pas m'en informer avant alors ? Il me demande un relevé de compte pour prouver un achat alors qu'il a la facture et que dans le cas contraire il clôturera mon dossier. Je lui envoie le relevé et depuis aucune nouvelle. Je n' ose même pas le rappeler par peur d'être de nouveau mal reçu. Comment peut on avoir un telle comportement, il faut sans cesse relancer l'expert et ne pas avoir peur qu'il nous envoie promener. Merci sogessur !</t>
  </si>
  <si>
    <t>06/10/2019</t>
  </si>
  <si>
    <t>cosfcporto-79321</t>
  </si>
  <si>
    <t>Pris en charge pour un sinistre dégâts des eaux, SOGESSUR a accepté m'avancer le remboursement des travaux alors que c'était logiquement à l'assurance de mon propriétaire d'intervenir. Très arrangeant donc, service client plus qu'à l'écoute et très agréable ! Deuxième sinistre une semaine après pour ma serrure de porte qui claque, j'appelle mondial assistance qui pareil à été à l'écoute et à procéder directement à l'avance des fonds auprès de mon serrurier. Je recommande vivement SOGESSUR en formule CONFORT /OPTIMALE .</t>
  </si>
  <si>
    <t>19/09/2019</t>
  </si>
  <si>
    <t>sarobis-75671</t>
  </si>
  <si>
    <t>2 sinistres (intempérie puis catastrophe naturelle) en 2 ans, bon dédommagement pour chacun d'eux et délai court sur le remboursement. Par contre les tarifs ont considerablement augmenté ce qui me pousse à consulter la concurrence.</t>
  </si>
  <si>
    <t>07/05/2019</t>
  </si>
  <si>
    <t>monsieurriche33-74831</t>
  </si>
  <si>
    <t xml:space="preserve">Ne prend pas les accusés de réception à l approche de fin de contrat </t>
  </si>
  <si>
    <t>06/04/2019</t>
  </si>
  <si>
    <t>nbar-71920</t>
  </si>
  <si>
    <t xml:space="preserve">je pensais être bien assurée et au final rien. j'ai eu un dégât des eaux suite aux intempéries. Leur expert TEXA dit que c'est à cause des nappes phréatiques, donc montée des eaux par le sol, et que ce n'est pas pris en charge. Après plusieurs courriers dont une lettre recommandé au DG en personne MR Laurent DUNET, on me répond que les catastrophes naturelles ne sont pas comprises dans le contrat. Comment, c'est pourtant dans noir sur blanc sur internet et dans mon contrat ? Tout le rdc de ma maison est condamné (il était loué). SOGESSUR trouve une excuse pour ne pas indemniser et gagner du temps pour dépasser le délai de recours de 2 ans. FUYEZ cette Assurance. </t>
  </si>
  <si>
    <t>byebye92-71849</t>
  </si>
  <si>
    <t>Un service des plus lamentables que je connaisse. Deux dégâts en mois
1er dégât des eaux par mon voisin du dessus. Un expertise totalement bâclée et un remboursement qui est incomplet. Soit disant la franchise or nous n'étions pas responsables. Finalement 640 Euros remboursés pour la réfection totale d'une pièce enduits peinture plus extérieur fenêtre. 
2ème dégât : tentative d'intrusion - serrure et blindage en endommagés - dossier de réparation envoyé avec dépôt de plainte - aucune nouvelle et impossible de les joindre au téléphone en 3 journées - plus de 20 mise en attente 
Assureur à FUIR !!!!!!!!!!!!!!!!!!!!!!!!!!</t>
  </si>
  <si>
    <t>04/03/2019</t>
  </si>
  <si>
    <t>communitymanager-70670</t>
  </si>
  <si>
    <t>Assuré depuis 2003 via notre banque Société Générale (plus de 25 ans de fidélité), nous avons reçu un courrier de radiation d'ici 2 mois sans aucune autre précision que "fréquence des sinistres". Nous avons déclaré des petits sinistres l'an dernier (petit dégât des eaux...) pour des montants réduits. Nous payons notre cotisation depuis 2003 pour nore résidence principale et un autre logement, deux assurances scolaires et une assurance auto. Sans révision de leur position injustifiée, nous allons résilier tous nos contrats et changer de banque si nécessaire car nous avons perdu la confiance pour cet organisme qui ne cherche pas à défendre ses assurés.</t>
  </si>
  <si>
    <t>28/01/2019</t>
  </si>
  <si>
    <t>christian-70350</t>
  </si>
  <si>
    <t>société d'assurance extrêmement difficile à contacter- de très grosses difficultés dans la gestion d'un dossier s'en suivent-</t>
  </si>
  <si>
    <t>18/01/2019</t>
  </si>
  <si>
    <t>charlieb-70071</t>
  </si>
  <si>
    <t>voilà plus de 10 jours que j'ai déclaré un dégat des eaux à sogessur(le 27 décembre),depuis rien ne bouge.Il est impossible de joindre l'expert texa qui est censé prendre le relais et m'appeler ,quand?mystère!J essaie de joindre à la fois sogessur et texa à raison de 30 min par jour et les 2 sont toujours occupés.De plus il y a un fichier à remplir en ligne dans lequel les informations sont partiellement pris en compte...j'aimerais bien être conseillé mais dans la mesure ou il est impossible de joindre qui que ce soit...j'ai évidemment rédigé des mails y compris à l'adresse: sogessur-dialogue.assu@socgen.com mais en vain...bref, je trouve ce service déplorable surtout au vu du prix!j'espère pouvoir rédigé un commentaire plus favorable par la suite ...</t>
  </si>
  <si>
    <t>10/01/2019</t>
  </si>
  <si>
    <t>aissa-69697</t>
  </si>
  <si>
    <t>J'ai subi un incendie dans une chambre de mon appartement le 12 octobre. Certaines choses sont à ma charge (charge de mon assureur et d'autres à la charge de l'assureur du bailleur) Alors déjà pour avoir SOGESSUR au tel accrochez vous car "tous les correspondants sont en ligne veuillez rappeler ultérieurement". L'expert m'avait assuré lors de son passage le 30octobre que je recevrais une avance d"indemnisation (notamment pour emmener pas mal de vêtements au pressing)après l'avoir rappelé une bonne dizaine de fois et l'assurance aussi j'ai obtenu cette avance le 20 décembre. Soit 2 mois après. Si je ne contacte pas SOGESSUR ni l'expert je n'ai aucune nouvelle de la suite de mon dossier. Apres les avoir appelé pour la 20eme fois (oui cest tjr moi qui les contacte jamais l'inverse) mon expert et l'expert de mon bailleur doivent convenir d'un rdv pour mettre les choses à plat ...nous somme le 27 dec j'hallucine!!! je fais part de mon mécontentement au cabinet de l'expert!!! Mon bailleur a fait intervenir des entreprises assez rapidement (peintures, nettoyage pour commencer les travaux mais me réclame maintenant l'indemnisation qu'il reversera aux entreprises??? 
je ne devrais pas à avoir à gérer ses flux d'argent!!!
Je suis vraiment déçue!! Je ne comprends pas qu'on ne me contacte pas que ce soit toujours à moi d'aller à la pêche aux infos!</t>
  </si>
  <si>
    <t>4155090-68664</t>
  </si>
  <si>
    <t xml:space="preserve">Injoignable 
Ils attendent peut être un accident grave... 15kg de gravats qui tombent de notre plafond ne suffisent pas. </t>
  </si>
  <si>
    <t>16/11/2018</t>
  </si>
  <si>
    <t>bertrandmaxime-68206</t>
  </si>
  <si>
    <t>Horrible service, l'assureur reconduit automatiquement les contrats sans vérification que le client est toujours à la même adresse et n'a aucune compassion. Refuse de rembourser la prestation payé pour assurer une habitation dont le client n'est même pas titulaire.</t>
  </si>
  <si>
    <t>30/10/2018</t>
  </si>
  <si>
    <t>filou1950-63989</t>
  </si>
  <si>
    <t>Cet assureur qui n'a d'assureur que le nom rejette tte responsabilité concernant le remboursement d'une recherche de fuite sur la PNO du coproprietaire   LOL!! et se refuse de prendre en charge cette facture   dont la charge lui incombe , assurance habitation oblige (celle souscrite par le locataire)
A fuir !!</t>
  </si>
  <si>
    <t>02/10/2018</t>
  </si>
  <si>
    <t>clement-66773</t>
  </si>
  <si>
    <t>Que dire... En tout honnêteté si vous cherchez une assurance habitation fuyez Sogessur. Sur 2 dossiers, non prise en considération de la 1ère, remise en doute de votre parole pour laisser traîner une indemnisation partielle au bout de 1 an. Sur le 2ème c'est simple, un dégât des eaux non remboursé car malfaçons de l'ancien propriétaire. Je me retrouve sans douche et avec une note de 3 000 euros à payer... AH SI! ils me prennent 3 pots de peintures LOL heureusement j'ai une petite franchise de 160 euros.... sérieux quoi... je vais contacter une autre assurance et une autre banque pour mon prêt immobilier à taux exorbitant aussi 2.35 euros pour 15 ans.</t>
  </si>
  <si>
    <t>11/09/2018</t>
  </si>
  <si>
    <t>mayonnaise-64177</t>
  </si>
  <si>
    <t xml:space="preserve">Voila, récemment on m'a dérobé mes panneaux photovoltaique qui est la principale source d'énergie de ma maison , n'étant pas relié à EDF. Apres avoir contacté sogessur un expert est venu constaté le vol et émettre un avis dessus, après plusieurs jours d'attente de la réponse pour le remboursement , Surprise , nous ne somme pas assurer , pour la simple et unique raison qu'il n'y a pas eu effraction du portail , que les sacripants l'on probablement sauté. Donc voila la vie est belle , il ne me reste plus qu'a sortir 3000euros que je n'ai bien évidemment pas, pour pouvoir réinstaller les panneaux. Encore merci Sogessur. </t>
  </si>
  <si>
    <t>24/05/2018</t>
  </si>
  <si>
    <t>pureorchid-63580</t>
  </si>
  <si>
    <t xml:space="preserve">Certainement la PIRE de toutes. j'ai fait la grosse erreur d'acheter ce contract habitation via ma banque, la Societe Generale, et je le regrette amerement. TRES forts pour se rendre injoignables, invisibles des qu'il s'agit de sinistre et d'indemnisation. Cela fait 3 semaines que je leur cours apres en vain. Je recherche maintenant un recours en procedure. </t>
  </si>
  <si>
    <t>26/04/2018</t>
  </si>
  <si>
    <t>moris-63279</t>
  </si>
  <si>
    <t>Bonjour j’ai eu un accident de la vie je suis tomber et fracture des 2 plateaux tybia cela fait 8 mois maintenant que je suis à l’arrêt total j’ai une assurance accident de la vie bingo une prime assez satisfaisant vien de lettre versée une dame de ménage à dispo et un taxi payer à hauteur de 400€ pour mes déplacements à l hôpital très content je ne me reconnais pas du tout avec les autres commentaires en plus j’ai eu ma Chaudiere qui m’a lacher y’a 1 ans de sa bingo prise en charge à 85% avec assurance maison au total entre Sogessur et Sogecap j’ai contracter 13 produits assurance tout confondu très content ras !!!</t>
  </si>
  <si>
    <t>15/04/2018</t>
  </si>
  <si>
    <t>vali-62269</t>
  </si>
  <si>
    <t>Hot line incompétente, pas de service client réel</t>
  </si>
  <si>
    <t>13/03/2018</t>
  </si>
  <si>
    <t>philippe60-60787</t>
  </si>
  <si>
    <t>Un arbre est tombé sur ma maison le 3 janvier 2018 suite à la tempête . J'ai donc effectué un déclaration le jour même.il a fallu attendre jusqu'au 21 afin d'avoir un contact avec le plate forme téléphonique de l'expert Saretec qui m'explique que je ne suis pas assuré pour la chute d'un arbre....Sogessur fait un "geste commercial" et accepte  de payer 500euros sur facture (devis 1260 euros)le 24  janvier je ne suis toujours pas indemnisé</t>
  </si>
  <si>
    <t>24/01/2018</t>
  </si>
  <si>
    <t>philipt-60340</t>
  </si>
  <si>
    <t xml:space="preserve">Ayant récemment subi un dégât des eaux, mon assureur, suite à une "intervention" de l'expert Texa, n'a voulu rien savoir, disant que ce n'était pas dans le contrat. Or, je pense qu'en tant qu'assurance habitation, ça doit être une partie fondamentale. Résultat : j'ai résilié ce contrat pour un contrat concurrent, qui est moins cher d'ailleurs. </t>
  </si>
  <si>
    <t>10/01/2018</t>
  </si>
  <si>
    <t>xelal91-59158</t>
  </si>
  <si>
    <t>Victime d'un incendie le 3 novembre, causé par mes voisins, j'ai eu la visite de l'expert mandaté. Je suis un peu perdu et je n'arrive pas a joindre sogessur  (j'en suis à 22 tentatives par téléphone) j'espère que mon insémination sera plus sérieusement étudiée car je ne sais pas où en est mon dossier....</t>
  </si>
  <si>
    <t>27/11/2017</t>
  </si>
  <si>
    <t>sinistre-58344</t>
  </si>
  <si>
    <t>un assureur qui ne respecte pas les garanties.  L'assureur je cite  " Nous sommes conscients du relogement nécessaire suite à l'impossibilité de vivre dans votre logement sinistré".
Réponse concrète à J14  de la déclaration du sinistre : AUCUNE  SOLUTION  MALGRE QUE JE SOIS GARANTIE</t>
  </si>
  <si>
    <t>24/10/2017</t>
  </si>
  <si>
    <t>jiembi-56854</t>
  </si>
  <si>
    <t>Assuré pendant 17 ans, un premier sinistre dégat des eaux s'est produit durant mes vacances cette année et naturellement ceci est exclu des garanties car le compteur n'était pas fermé alors qu'un arrosage automatique nécessitait qu'il reste ouvert</t>
  </si>
  <si>
    <t>duniau-56264</t>
  </si>
  <si>
    <t>Je suis assuré en propriétaire non occupant d'un appartzment que je veux mettre en location après des travaux. Après avoir décrit mon besoin à mon conseiller clientèle, celui ci me propose un contrat sogessur. En perçant un trou dans le sol de cet appartement et perce un gaine électrique de ma voisine du dessous. la Sogessur prend le dossier en charge, puis un mois plus tard se ravise et décide que je ne suis pas assuré car j'ai fait les travaux moi même ! un propriétaire n'est pas couvert s'il bricole dans son appartement d'après sogessur</t>
  </si>
  <si>
    <t>25/07/2017</t>
  </si>
  <si>
    <t>mlm-54980</t>
  </si>
  <si>
    <t xml:space="preserve">ATTENTION  DANGER        Vous vous croyez protégés mais vous êtes en DANGER  avec cette assurance.               Assurée (enfin je le croyais) chez Sogessur en 2014 j'ai subie un sinistre qui a dévasté mon immeuble, l'assurance à mis    2 ans et demi     avant de verser    "une partie "  de l'indemnité.  Je suis obligée de saisir la justice pour faire valoir mes droits </t>
  </si>
  <si>
    <t>29/05/2017</t>
  </si>
  <si>
    <t>fred-53955</t>
  </si>
  <si>
    <t>Très mauvaise assurance : il ne faut pas avoir de sinistre. Dès qu'on a un sinistre, ils passent toute leur énergie pour démontrer que ce n'est pas à Sogessur d'indemniser quoique ce soit. Extrêmement déçu. fuyez.</t>
  </si>
  <si>
    <t>09/04/2017</t>
  </si>
  <si>
    <t>pablo13-53785</t>
  </si>
  <si>
    <t>je trouve tres chere 30 euros par mois pour un tout petit appartement 35 m , enfin de plus en plus chere pour le moindre assuré.</t>
  </si>
  <si>
    <t>02/04/2017</t>
  </si>
  <si>
    <t>cb-pub-52428</t>
  </si>
  <si>
    <t>Suite à la tempête du mois de Mai 2016, j'ai eu des infiltrations d'eau à deux endroits.
On vous dit qu'il faut bâcher et que vous serez remboursé de 250 euro par bâche, en fait on ne vous rembourse rien
On vous dit que le vent n'était pas assez fort, donc on ne vous rembourse pas la réparation des fuites, uniquement les conséquences et encore à un prix bien inférieur au prix payé.
Vous recevez un courrier en vous indiquant que vous avez eu deux sinistres et que par conséquent on vous applique un malus, je n'ai eu qu'un sinistre et je n'en était pas responsable.
On vous dit que pour finir on ne vous met qu'un seul sinistre, mais on vous laisse le malus
On vous envoie un chiffrage des dégâts fait au petit bonheur, bien en dessous de ce que cela ma coûté. Et pourtant je leur avait demandé d'envoyer des entreprises agrées</t>
  </si>
  <si>
    <t>mireille-50514</t>
  </si>
  <si>
    <t>Bonne assurance tres competitive bonne garantie très abordable</t>
  </si>
  <si>
    <t>20/12/2016</t>
  </si>
  <si>
    <t>samia26-137897</t>
  </si>
  <si>
    <t>Ayant été victime d’un cambriolage le 9 septembre 2021, j’ai déclaré mon sinistre à Allianz en temps et en heure. Une personne m’a contacté par téléphone ainsi que par mail m’indiquant que je devais joindre tous les documents nécessaires au traitement de mon dossier, je les ai tous communiquer en temps voulu. En revanche une autre personne me contacte la veille du passage de l’expert pour me demander si j’avais envoyer  tous les documents nécessaires. Je constate qu’il ne traite pas leurs mails sachant que j’en ai envoyé plusieurs. À ma surprise l’expert m’appelle en bas de l’immeuble en me réclamant le Digicode que j’avais également fourni.
 le 20 octobre 2021 plus précisément à 11:00, j'ai reçu la visite de l'expert pour chiffrer l'estimation de mes biens dérobés dans mon chez moi, ce que je trouve anormal, c'est que sa visite a été programmée après un mois et 11 jours. Bizarrement, la reconduite de mon contrat annuel chez Allianz s’est faite 5 jours avant le passage de l’expert ! Sans doute, pour que je ne puisse pas me rétracter.
 Je ne comprends pas car la valeur de mes biens sont de 26 392,22 Euros, hors d'après l'expert je ne serai indemnisé qu'à la hauteur de environ 5000€ proche 6000€. Je trouve ça scandaleux de la part d' Allianz. Moi j'ai été prête à accepter et je me suis fixé dans la limite du raisonnable de ceux qui est mentionné dans mon contrat c'est à dire au moins 15000€ ce qui est le minimum vu toute la perte et qui revient à réparer  les préjudices que j'ai subi si je peux dire ça et encore et dont les séquelles sont encore présentes.
  Je n'ai pas demandé à me faire cambrioler mon chez-moi. Certes je ne possède pas toutes les factures des mes bijoux dont traditionnel et valeurs sentimentale: les photos le  justifient et soyez sûr que ce ne sont pas des faux ou du plaqué or ou autre, je ne comprends pas car les photos sont des justificatifs secondaires et ils interviennent pour compléter ceux qui revient de droit et je bénéficie d'office d'une indemnisation en: valeur à neuf.
  Mon honnêteté fait de moi une personne de bonne foi d'où le GPS que j'ai signalé aux autorités dans la listes de mes biens et que j'ai retrouvé.
  Désolé pour la longueur du message mais si ça peut aider plus d’une personne.</t>
  </si>
  <si>
    <t>Allianz</t>
  </si>
  <si>
    <t>20/10/2021</t>
  </si>
  <si>
    <t>gridou-122218</t>
  </si>
  <si>
    <t xml:space="preserve">Si j'avais pu mettre 0 cela aurait été plus réaliste.l'agence 13008 Allianz la Cadenelle a refusé de me faire payer une assurance habitation  non occupant pour le bien de ma mère décédée et vacant. Elle était cliente chez eux depuis 50 ans ! Malgré mes écrits et appels   j'ai payé par mois 4 fois le prix dû chaque mois.et la secrétaire n'a même pas été capable de le faire une attestation pour le notaire..elle a fait une impression écran qui n'était pas conforme.un cauchemar ! !!! En période de deuil de surcroît ! Juste Abusif </t>
  </si>
  <si>
    <t>03/07/2021</t>
  </si>
  <si>
    <t>yoann-121568</t>
  </si>
  <si>
    <t>Service trop long. Cela fait plus deux mois que jattends d etre paye suite a des travaux de peinture effectue pour le compte d un client. Aucune nouvelle on me trimballe a chaque fois pour ne pas payer. Desastreux.</t>
  </si>
  <si>
    <t>29/06/2021</t>
  </si>
  <si>
    <t>nat--114035</t>
  </si>
  <si>
    <t>Je n’ai eu en 8 ans que 2 sinistre, un vol avec effraction et une tempête qui m’a endommagé une partie de la toiture. Sur les 2 sinistres aucune indemnisation !!!! A FUIR</t>
  </si>
  <si>
    <t>17/05/2021</t>
  </si>
  <si>
    <t>flo-108839</t>
  </si>
  <si>
    <t>A fuir absolument, personnes injoignables, pas d'adresses mail, vous tombez sur une plateforme avec 10 interlocuteurs différents. Il m'envoie un peintre suite à un dégâts de eaux ???
Fuite en Décembre toujours pas réglée à ce jour - j'ai fini par laissé tomber pour faire mes travaux moi même.
Je vais changer d'assurance
Ne recommande absolument pas - les agences locales ne servent à rien - elles sont juste là pour faire des devis - ou de la prospection</t>
  </si>
  <si>
    <t>yellowstonefish-106386</t>
  </si>
  <si>
    <t>Injoignable (mail, téléphone, application), résiliation non prise en compte malgré LRAR, ne connait pas la loi Hamon et continue de prélever malgré courrier de résiliation... Au passage, le dernier prélèvement représente plus que ce que j'aurais dû si je n'avais pas résilié (?...)? Déclaration effectuée à la DGCCRF.
Allianz n'est plus ce qu'il était comme assureur il y a quelques années...</t>
  </si>
  <si>
    <t>12/03/2021</t>
  </si>
  <si>
    <t>mika-103719</t>
  </si>
  <si>
    <t xml:space="preserve">Ne jamais souscrire chez eux...
Nous avons fait une demande de rétractation car ils étaient incapables d'éditer un contrat correctement. Même après avoir modifié le contrat 3 fois il y avait encore des erreurs.. Et le contrat était devenue très cher.
Ils nous ont dit qu'ils étaient "responsables de la continuité d'assurance" et nous ont donc forcé à prendre une autre assurance avant de pouvoir clôturer leur contrat.
Au final ils n'ont toujours pas clôturer leur contrat et continuent de nous prélever. On se retrouve donc à payer 2 assurances..
Cela fait 4 mois que nous avons fait cette demande de rétractation et 3 mois que l'on paye deux assurances habitation.
Ils ne répondent jamais aux mails et au téléphone ils se renvoient la balle entre services..
Je n'ai jamais eu de problèmes avant avec les assurances et allianz est de loins la pire assurance que je connaisse.. Je n'ose pas imaginer les ennuis en cas de sinistre... </t>
  </si>
  <si>
    <t>rochebrune-102399</t>
  </si>
  <si>
    <t>Notre agent Allianz nous a fait revoir notre contrat il y a 4 ans, sa valeur ayant augmenté. 
La maison à été  victime d'un incendie il y a deux ans, qui l'a quasi entièrement  détruite.  Notre expert d'assure , à  la lecture du contrat, nous a appris qu'il n'en existait pas de meilleur sur le marché. 
Résultat  : notre maison à été  reconstruite à  l'identique, et à  100% du coût, ceci en un an et demi, après les expertises d'usage.
Alors pour nous, Allianz, ce sont les meilleurs ! En tout cas, notre agent. N'hésitez  pas à  bien lire ou faire lire votre contrat, et le faire modifier si besoin.</t>
  </si>
  <si>
    <t>09/01/2021</t>
  </si>
  <si>
    <t>hamzajakaka-102046</t>
  </si>
  <si>
    <t>Un seul mot Fuyez ! 
cet assureur est une catastrophe, ils 
font tous pour retarder la résiliation de mon assurance et cela depuisseptembre 2020. Je remettrai plus jamais les pieds chez eux et je dissuaderai tous mon entourage de souscrire chez eux.
J'ai jamais vu une assurance aussi incompétente.
Je vais faire un signalement à la répression des fraudes.</t>
  </si>
  <si>
    <t>31/12/2020</t>
  </si>
  <si>
    <t>brunet-100772</t>
  </si>
  <si>
    <t>avons subit des dégats sur un abri piscine avons fait une déclaration a notre assureur allianz cazouls les beziers. etions abscent lors des faits séjournions en espagne. l expert n est pas venu . la réponse de l assurance a nous de faire des recherches pour identifier la date que les dégats ont été causés prix de notre poche 2500 euros . Avons une maison a cazouls les beziers dégats des eaux . les experts de la parie adverse sur place . ALLIANZ reporte son expertise une semaine après alors que l expert a été avisé par l agence lorsque nous avons reçu le document pas très sérieux</t>
  </si>
  <si>
    <t>30/11/2020</t>
  </si>
  <si>
    <t>apache-19-100207</t>
  </si>
  <si>
    <t>Personnel de l'agence locale à laquelle  j'appartenais trés sympathique et compétent, mais assurance ne sait pas être là lorsque les assurés en ont besoin. Un remboursement d'une centaines d'euros refusé, aurait suffit à  garder la confiance que j'avais en vous</t>
  </si>
  <si>
    <t>17/11/2020</t>
  </si>
  <si>
    <t>armand-et-charline--99043</t>
  </si>
  <si>
    <t xml:space="preserve">Après avoir été inondé le 13 aout nous ne sommes toujours pas indemnisés. Les conseillers ne sont pas du tout professionnesl. Ils laissent les clients sans réponses et lorsque l'on les appelle ils ne savent jamais nous répondre. Bref des vrais Charlot. Je déconseille très fortement l'assurance Allianz. </t>
  </si>
  <si>
    <t>21/10/2020</t>
  </si>
  <si>
    <t>dom-98345</t>
  </si>
  <si>
    <t>Allianz est top perfo pour les prix élevés et la démarche commerciale .
en cas de sinistre vous êtes seul ,tous les arguments et ce d'une façon en total irrespect du client ,vous serrez déboutés.
je quitte à jamais cette assurance ou j'ai payé pendant des dizaines années et  un problème de refus de payer au premier dégât des eaux .
zero lamentable</t>
  </si>
  <si>
    <t>plus-jamais-98277</t>
  </si>
  <si>
    <t>Après près de 20 ans chez AGF puis ALLIANZ je ne recommande pas cette assurance trop chère par rapport au manque de professionnalisme dont l’équipe fait preuve. Extrêmement déçu du manque de réactivité de professionnalisme d’Allianz dont le service s’est dégradé pour finir par être quasi inexistant.
Les agents oscille entre procès d’intentions malvenus, ton péremptoire et inquisiteur, manque de tact et longueur injustifiées pour ensuite décrété des déchéances de droit sur sinistre à cause de démarches qui n’ont pas été correctement expliquées en amont par leurs propres agents et donc mal exécutées.</t>
  </si>
  <si>
    <t>02/10/2020</t>
  </si>
  <si>
    <t>ricamelie-95871</t>
  </si>
  <si>
    <t>A fuir absolument ! J'ai eu une vitre cassée par les pompiers en 2018 pour cause de suspicion de monoxyde de carbone. J'ai appelé le service sinistre plusieurs fois qui m'a martelé pendant des semaines que c'était ma franchise qui devrait marcher (qui était le prix de la fenêtre...). Je me rends à "mon agence Allianz attitrée" pour leur demander plus d'infos, je me suis faite jeter comme une malpropre car je cite "il ne fallait pas souscrire à un contrat sur internet en même temps !!" alors que je suis bien censée être affiliée à cette agence... C'est moi qui ai du chercher dans le code des assurances et faire leur travail en trouvant que c'était à l'assurance de mon propriétaire de payer. Une honte !!</t>
  </si>
  <si>
    <t>momo57-94121</t>
  </si>
  <si>
    <t>une étoile c'est cher payé . la cgos (complémentaire retraite des hospitalier) fait  parti du groupe allianz ,depuis le moi de septembre on ce fait balader , toujours pas de résulta .en plus je veux résilier l'assurance habitation c'est le parcours du combattant .</t>
  </si>
  <si>
    <t>15/07/2020</t>
  </si>
  <si>
    <t>sl-89876</t>
  </si>
  <si>
    <t>Victime d'un sinistre incendie, je suis très déçu par le traitement de mon dossier et excédé par le comportement de Allianz après 9 mois de procédure. Je vous conseille vivement de trouver une assurance plus sérieuse qui vous accompagne réellement en cas de sinistre</t>
  </si>
  <si>
    <t>23/05/2020</t>
  </si>
  <si>
    <t>faress-43775</t>
  </si>
  <si>
    <t xml:space="preserve">A fuir  j ai eu une inondation en 2018 catastrophe naturelle 25cm d eau dans ma maison pendant 2 jour  il envoi une experte tous va bien ta bien tous et neuf résultat des courses elle est revenue 3 fois mon agence et perdu les expertises mdr rien de bon et la depuis 2018 j attend un remboursement de mon rdv qui a pris le eau a fuir </t>
  </si>
  <si>
    <t>20/05/2020</t>
  </si>
  <si>
    <t>lceditions-87347</t>
  </si>
  <si>
    <t>Je suis client Avec Allianz depuis 2003 tant d'un point de vue Pro que Perso. Ils sont toujours prompt à prendre l'argent, mais pour le sortir en cas de pépin, il existe toujours des clauses pour que ce ne soit pas pris en charge. Une honte ! 
Concernant le Pro, ma banque m'a proposée un contrat équivalent mais avec des garanties bien meilleure, j'ai donc résilier le Pro. 
Et je vais faire de même avec l'habitation.</t>
  </si>
  <si>
    <t>19/02/2020</t>
  </si>
  <si>
    <t>muriel12-86154</t>
  </si>
  <si>
    <t>je n ai aucun suivi d mon dossier.. mon courtier est parti a la retraite j ai recyclé un RAR ;; je paye depuis 15 ans sans retard .. on ne me tel pas</t>
  </si>
  <si>
    <t>21/01/2020</t>
  </si>
  <si>
    <t>benji-82114</t>
  </si>
  <si>
    <t>Expérience très mauvaise ! Je me suis fait voler mon vélo electrique dans mon cabanon (dans mon jardin) et Allianz ne me remboursent pas sous prétexte qu'il était fermé par un cadenas et non un verrou ! on ne m'y reprendra pas chez ce groupe</t>
  </si>
  <si>
    <t>19/12/2019</t>
  </si>
  <si>
    <t>lisette-79874</t>
  </si>
  <si>
    <t xml:space="preserve">Bonjour. Moi aussi je trouve cette compagnie onéreuse et qui fait le moins possible pour satisfaire ses clients. Je voudrais choisir une autre compagnie pour assurer l'immeuble dont je suis propriétaire avec deux autres propriétaires qui sont d'accord avec moi pour changer. Quelle cie d'assurance me conseilleriez-vous ? Merci d'avance </t>
  </si>
  <si>
    <t>09/10/2019</t>
  </si>
  <si>
    <t>kira-76223</t>
  </si>
  <si>
    <t>Service clientèle vraiment pas rapide depuis le 12 mai j'ai fait deux fois la démarche pour un sinistre sur leur site et toujours pas reçu de réponse n'y d'appel de leur part j'ai laissé trois mails a mon agence pour une fuite d'eau dans ma cuisine se qui a complètement abîmé mon parquet</t>
  </si>
  <si>
    <t>24/05/2019</t>
  </si>
  <si>
    <t>ed-76149</t>
  </si>
  <si>
    <t>Compagnie catastrophique. Je suis passé par leur Agent situé à la TESTE (Cabinet BRU) et tout a commencé mal : Prélèvement en doublon pendant plus d'un an d'une garantie  et ce malgré un mail à l'origine de ma part très explicatif. Remboursement au bout d'un an sans excuse
Contrat auto refait au bout d'un an car le conducteur principal mentionné n'était pas le bon Au lieu de procéder à un simple avenant, l'Agent à refait un nouveau contrat que nous avons immédiatement refusé car ne nous permettant plus de bénéficier de la loi HAMON Nous n'avons rien signé et l'Agent et la Compagnie tente de nous intimider en invoquant une résiliation pour non paiement, sauf que nous sommes assurés ailleurs depuis plus de 3 mois
Aucun intérêt de travailler avec eux car impossibilité d'avoir un autre interlocuteur qu'une plate forme 
Bref ce type de Compagnie et d'interlocuteur fantoche est désormais à éviter par tous moyen</t>
  </si>
  <si>
    <t>22/05/2019</t>
  </si>
  <si>
    <t>sjakie-74522</t>
  </si>
  <si>
    <t>Apres était assurer chez eux pour quelque année, j'ai eu une sinistre. Tempête. Le total des dégâts 9000 euro. Nouvelle prime pour l’année après, a monter avec 300%, de 2600 euro a 7800 euro, et ils sont que payer 2200 euro pour le sinistre</t>
  </si>
  <si>
    <t>27/03/2019</t>
  </si>
  <si>
    <t>zozo-72232</t>
  </si>
  <si>
    <t>j'ai quitter cette assurance il ya un an pour des raison budgétaire pour aller a la banque postal, je le regrette bien ,car la qualité de service a la poste c'est ZERO a côté de allianz,j'attend la fin de mon contrat pour y retourner</t>
  </si>
  <si>
    <t>17/03/2019</t>
  </si>
  <si>
    <t>remy-43789</t>
  </si>
  <si>
    <t>J'ai fais une simulation sur un comparateur de prix et la proposition a été bien inférieure que celle proposée pour une reconduction de contrat sans sinistre, même avec avenant. Dommage.</t>
  </si>
  <si>
    <t>06/02/2019</t>
  </si>
  <si>
    <t>lolami-70492</t>
  </si>
  <si>
    <t>Après plusieurs années chez eux, j'ai souhaité résilier mon abonnement comme la loi Hamon me le permet.
Néanmoins, après plusieurs refus et plusieurs mois de batailles, ils ont accepté de résilier mon contrat mais m'ont obligé à payer une année supplémentaire et mon fait payer des frais de contentieux.
A fuir au plus vite, les entreprises qui méprisent leurs clients ne devraient plus avoir le droit d'exercer.</t>
  </si>
  <si>
    <t>23/01/2019</t>
  </si>
  <si>
    <t>sonneass-69381</t>
  </si>
  <si>
    <t>Allianz n'a pas informé ses assurés d'une défaillance du coutier</t>
  </si>
  <si>
    <t>13/12/2018</t>
  </si>
  <si>
    <t>nathaliebossard-67614</t>
  </si>
  <si>
    <t>Suite à un sinistre type inondation en date du 04 juillet 2018, à ce jour nous n'avons toujours pas eu de compensation financière ni la moindre réponse à nos mails du service en charge des indemnisations. Nous avons attendu un expert pour constater les dégâts qui n'est jamais venu.... donc nous avons gardé durant des semaines, en été, des meubles pourris par les eaux pour rien. On nous a demandé des factures et des estimations, que nous avons envoyé. Mais à ce jour nous savons pas à quelle hauteur nous serons remboursés ni quand.... Sachez qu'Allianz est un établissement privé qui se permet ne pas répondre aux mails, et, de laisser ses clients dans le silence et l'embarras. Notre agent semble impuissant. Sommes-nous seulement bons à être prélevés des cotisations ??? Je ne recommande pas les assurances Allianz car personne n'est à l'abri d'un accident ou d'un sinistre....</t>
  </si>
  <si>
    <t>12/10/2018</t>
  </si>
  <si>
    <t>duchnoc-67094</t>
  </si>
  <si>
    <t>Comme pas mal d'autre, au début tout baigne, après un premier pépin nous nous apercevons que la plateforme est gérer pas des gros nul incompétent, de surcroit même la communication avec leurs propre Agents est pitoyable, lamentable....A FUIR ou Éviter. Dommage j'avais 8 contrats....</t>
  </si>
  <si>
    <t>25/09/2018</t>
  </si>
  <si>
    <t>pistache28-66494</t>
  </si>
  <si>
    <t xml:space="preserve">Lenteur extrême pour être remboursé. Cela fait 2 mois qu'un orange a fait des dégâts chez nous et après nous avoir mené en bateau pendant l'été, Allianz veut nous faire vérifier par une agence... Ils nous imposent une heure de passage alors que l'on n'est pas chez nous... </t>
  </si>
  <si>
    <t>30/08/2018</t>
  </si>
  <si>
    <t>apsara-66328</t>
  </si>
  <si>
    <t xml:space="preserve">30 % d'augmentation en 1 an, un vrai scandale parce que je suis tombée dans un magasin de bricolage a cause d'un pot de peinture renversé et non signalé, c'était il y a 3 ans et je n'ai toujours rien touché (évidement allianz est aussi l'assureur de la grande enseigne) mais ce sont les victimes qui paient les pots cassés. Les  assureurs ne sont pas des philantropes mais là  après 20 ans de cotisations c'est ecoeurant!!! </t>
  </si>
  <si>
    <t>antxon-66106</t>
  </si>
  <si>
    <t>Dur pour resilier (2 lettres recommandées: une n'a pas été enlevée, deux mails, un coup de fil, une visite à l'agence). Tout cela pour gagner un mois de cotisation. Assurance à éviter !!!!!!!!</t>
  </si>
  <si>
    <t>09/08/2018</t>
  </si>
  <si>
    <t>yacinebke-65575</t>
  </si>
  <si>
    <t xml:space="preserve">Suite à un déménagement j'appelle mon agence pour un changement de situation, et je tombe sur une conseillère agressive et désagréable qui me propose des services au téléphone avec des tarifs qui ne correspondent pas aux tarifs dans le contrat qu'elle m'a envoyés par mail. Suite à cela j'appelle la conseillère pour essayer de comprendre mais elle s'emballe et me propose de résilier le contrat contre ma volonté.
J'ai fait une réclamation le 5 juillet par mail et par téléphone. J'ai relancé le service client plusieurs fois mais en vain. 
J'ai constaté aussi que les conseillers sont désagréables.
Je suis toujours client chez eux pour l'instant mais je compte résilier dans les jours qui viennent.
Je déconseille ! </t>
  </si>
  <si>
    <t>18/07/2018</t>
  </si>
  <si>
    <t>isha67-65372</t>
  </si>
  <si>
    <t>Pour prélevé 2 jours pour rembourser vos assuré ........ je ne sais pas ça fait un mois que j'attend ......</t>
  </si>
  <si>
    <t>09/07/2018</t>
  </si>
  <si>
    <t>huges-melot18150-64747</t>
  </si>
  <si>
    <t xml:space="preserve">Catastrophique
Erreur de montant alors que tout les documents leur on été envoyés sous une semaine. A l’heure où j’écris ce message, je n’ai toujours pas reçu ma carte verte. J’ai dû appeler sans mentir au moins 10 fois... je déconseille tout simplement.
</t>
  </si>
  <si>
    <t>13/06/2018</t>
  </si>
  <si>
    <t>hiii-61067</t>
  </si>
  <si>
    <t xml:space="preserve">Croyez moi ils sont les pires gens que j ai eus dans ma vie. Service clientèle vius envoie balader, pareil pour tous les autres services.
leur agence à arras rue saint Aubert est à fuir,  2 conseillères totalement incompétentes.Elles ont peur de passer le message à leur patron. Que des manifestations avec ces gens.
Que des mensonges.Ils ne me renseignent en rien c est dingue notamment quand il s agit de mon dossier.Je suis tombé malade à cause d eux.
leur cher directeur ne vous répond même pas.Je me mords la langue de les avoir choisi, j ai pas fait le bon choix , ça  C est sûr.Ils me raccroche au nez facilement car je demande des précisions,  Service lamentable et ignoble. Aucun respect du client que du mépris,  ils vous sourit au moment de la signature du contrat, après ils vous écrasent comme des insectes. L état français doit vérifier leur façon de travailler et de manipuler les clients. C est scandaleux.
Service clientèle et contentieux de piètre qualité.Je vous le Jure qu' ils sont tous complices sur le dos du pauvre client.
QUE JUSTICE SOIT FAITE et que les injustes soit jugés </t>
  </si>
  <si>
    <t>ellewan-61798</t>
  </si>
  <si>
    <t>Suite à un échange téléphonique avec le service client allianz. Je suis encore  choqué de l'attitude de l'interlocuteur de l'agence. J'ai ete voilemment agressé verbalement alors que je venais à peine de me présenter. Il ma ensuite raccrocher au nez.
Scandaleux.</t>
  </si>
  <si>
    <t>olalajenaimar-14354</t>
  </si>
  <si>
    <t>Je suis toujours en conflit avec eux suite à un sinistre cambriolage et cela dure depuis un an et demi ! Aucun soutien, aucune intervention, j'ai dû me débrouiller seule pour sécuriser ma maison alors que j'étais à 800 km ! Pas de règlement non plus, même pour les factures validées par l'expert et cerise sur le gâteau, augmentation de la prime à l'échéance suivante, pour des conditions minables... J'ai donc résilié</t>
  </si>
  <si>
    <t>floflo-59678</t>
  </si>
  <si>
    <t xml:space="preserve">Cette assurance ne respecte pas les regles , elle ne m a jamais envoye de demande de cotisation (pourtant obligatoire avant l échéance de mon assurance ) et au bout de 4 mois elle me réclame des cotisations ..... j ai répondu qu il était un peu tard pour se réveiller et que cela était illegal car sans avis de cotisation qui m aurai permis de résilier si necessaire. Je me suis fait traiter de tout les noms.  A FUIR </t>
  </si>
  <si>
    <t>14/12/2017</t>
  </si>
  <si>
    <t>julien91100-50423</t>
  </si>
  <si>
    <t>2 sinistres dommages ouvrages ouverts par l'intermédiaire de mon Syndic, les deux fermés sans indémnisation : le premier (inondation), sous prétexte que j'ai fait réparer la fuite par un professionnel avant le passage de l'expert (j'aurais du rester 3 mois avec la piscine chez moi) alors ils refusent de prendre en charge les dommages. Le second infiltration d'eau dans le toit, pareil pas pris en charge car pour le moment il n'y a pas de risque de chute de bois sur les habitants et que ce n'est que  visuel !!! 
Merci ALLIANZ pour votre mauvaise foie, ne vous inquietez pas je vous ferai de la publicité autour de moi :-) 
Si vous avez des soucis contactez la LDDA qui vous aidera à les faire payer ce qu'ils vous doivent.</t>
  </si>
  <si>
    <t>11/12/2017</t>
  </si>
  <si>
    <t>jaicrulesdires24-17-58825</t>
  </si>
  <si>
    <t>J'avais une caravane de 6 places stationnée dans le parc d'une societé...Elle me servais aux beaux jours ..Cette caravane a ete volée ..Plainte a ete deposée a la gendarmerie du lieu par le responsable du parc ..  Je signale que ladite contenais tout le necessaire ...couchage..cuisine...et tout le mobilier de plein air que vous pouvez imaginer....!!!Installation tv avec mat telescopique etc....etc...Allianz ne m'a consenti qu'une aumone  Le contact que j'avais dans cette affaire  etais negatif et surtout hargneux contestant tout...Suite a ce resultat  J'ai changé de societé d'assurance... illico...J'ai bien fait car la nouvelle societé  ..pour les même garantie  voire plus ....Ma fait economiser 850 euros par an....Le responsable de l agence m'a assuré "qu'il allais me recuperer"....On peux toujours rever n'es ce pas....????</t>
  </si>
  <si>
    <t>14/11/2017</t>
  </si>
  <si>
    <t>helfih-54185</t>
  </si>
  <si>
    <t>Bonjour,
Suite à la tempête de Mars en bretagne et malgré plusieurs relance. l'assurance est incapable de produire un devis et pour un portail une recherche de fuite depuis ce temps comme elle s'est engagée de la faire. Malgré des relances hebdomadaires auprès de l'agent général de lesneven aucune réponse de la part du centre de gestion des sinistres. Il en est de même de mon dossier indemnisation corporel (N° B1560500931) où devant mon refus d'accepter une indemnisation de 800 euros (alors que j'ai une cervicale qui s'est déplacée et qui me fait souffrir), je n'ai aucune nouvelle. l'assureur justifie ce montant en me disant que leur expert a oublié de chiffrer le préjudice !!!! pour un expert!</t>
  </si>
  <si>
    <t>22/05/2017</t>
  </si>
  <si>
    <t>mm-valerie-51447</t>
  </si>
  <si>
    <t>pas du tout compétitif. Il faut dire que d'être sponsor à droite et à gauche ça coûte cher au détriment de nos mensualités</t>
  </si>
  <si>
    <t>18/01/2017</t>
  </si>
  <si>
    <t>tph-49888</t>
  </si>
  <si>
    <t>18/12/2016</t>
  </si>
  <si>
    <t>sandy-54470</t>
  </si>
  <si>
    <t xml:space="preserve">En cas de sinistre 
Apres des mois d'attente sans nouvelles l'expert considère que ce n'est pas indemnisable </t>
  </si>
  <si>
    <t>eric-v-135162</t>
  </si>
  <si>
    <t>RAS/
Rapide tout s'est bien passé. 
Les personnes suivent leur dossier et me tiennent informé des suites. RAS. Réponse rapide et tout est ok. Pas de problème quant à la souscription. Tout est ok</t>
  </si>
  <si>
    <t>Zen'Up</t>
  </si>
  <si>
    <t>credit</t>
  </si>
  <si>
    <t>29/09/2021</t>
  </si>
  <si>
    <t>jonathan-m-134545</t>
  </si>
  <si>
    <t>Je suis satisfait du service conforme à mes attentes Le service est très rapide et permet d'avoir une offre compétitive et rapidement merci zen up pour le service et merci a Benjamin</t>
  </si>
  <si>
    <t>brand-d-133523</t>
  </si>
  <si>
    <t xml:space="preserve">Je suis satisfait du service et je vais enfin faire des économies sur ces assurances. Je ne connaissais pas votre site internet, je vais en parler à mon entourage car je le trouve très bien. </t>
  </si>
  <si>
    <t>20/09/2021</t>
  </si>
  <si>
    <t>malika-b-133125</t>
  </si>
  <si>
    <t>je trouve que le retour du service médical est sévère vue la majoration appliquée. le conseiller qui a traité ma demande est très correct donc satisfaite du délai de traitement de ma demande</t>
  </si>
  <si>
    <t>julie-h-124451</t>
  </si>
  <si>
    <t>Je suis tres satisfaite du service et le recommande vivement. En effet, l’ application est tres facile et rapide. Concernant les prix c est tres acceptable.</t>
  </si>
  <si>
    <t>15/09/2021</t>
  </si>
  <si>
    <t>michael-c-132568</t>
  </si>
  <si>
    <t>trés bon contact conseiller disponible et à l'écoute
je recommande vivement et ils sont les meilleurs au niveau des tarifs
le conseiller avec qui j'ai traité se prénomme Yacine : vraiment très professionnel et à l'écoute</t>
  </si>
  <si>
    <t>13/09/2021</t>
  </si>
  <si>
    <t>yvon-m-132563</t>
  </si>
  <si>
    <t xml:space="preserve">Je suis satisfait du service ainsi que l'accompagnement effectué tout au long du montage du dossier par le conseiller zen'up et ses explications très détaillées.
</t>
  </si>
  <si>
    <t>sabrina-b-132097</t>
  </si>
  <si>
    <t xml:space="preserve">Niveau des prix très satisfaisant,Pour le moment parfait. Séraphin très disponible et à l'écoute. réponse rapide 
Très efficace, très poli très courtois
Merci </t>
  </si>
  <si>
    <t>09/09/2021</t>
  </si>
  <si>
    <t>anis-s-132060</t>
  </si>
  <si>
    <t>Je suis satisfait du service, ils sont à l'écoute et donne des bons conseils sur l'ensemble.
ils sont réactifs et je recommande ZenUP pour les futurs internautes</t>
  </si>
  <si>
    <t>elodie-c-131819</t>
  </si>
  <si>
    <t>Je suis très satisfaite du conseil, de la réactivité et du tarif proposé. Le conseiller a été à l'écoute et nous a accompagné tout au long de la démarche.</t>
  </si>
  <si>
    <t>08/09/2021</t>
  </si>
  <si>
    <t>joseph-m-131655</t>
  </si>
  <si>
    <t>Grande réactivité dans la relation commerciale et grande disponibilité des personnes en charge de nos dossiers au téléphone. De la souplesse et de l'écoute</t>
  </si>
  <si>
    <t>07/09/2021</t>
  </si>
  <si>
    <t>nicolas-f-131079</t>
  </si>
  <si>
    <t>Je suis très satisfait du service et de l'accueil. Les contacts ont toujours été de très bonne qualité et les détails fournis également. Tout est clair.</t>
  </si>
  <si>
    <t>03/09/2021</t>
  </si>
  <si>
    <t>soufiane-m-130496</t>
  </si>
  <si>
    <t>Satisfait du service et de la relation avec le conseiller
Satisfait du service et de la relation avec le conseiller
Satisfait du service et de la relation avec le conseiller</t>
  </si>
  <si>
    <t>31/08/2021</t>
  </si>
  <si>
    <t>francis-d-129532</t>
  </si>
  <si>
    <t xml:space="preserve">site simple, efficace, comptes rendus rapides suite aux demande d'informations, tarifs très compétitif et bon contact par téléphone avec le conseiller </t>
  </si>
  <si>
    <t>abderahim-d-128522</t>
  </si>
  <si>
    <t xml:space="preserve">Je suis satisfait du support apporté au téléphone qui m’a grandement aidé conseillé. Je recommanderais cette assurance à d’autres certainement 
et les prix me conviennent </t>
  </si>
  <si>
    <t>jordane-l-128188</t>
  </si>
  <si>
    <t xml:space="preserve">Très contente des tarifs et des conseilles tres professionnel . Vraiment de bon contact avec les conseilles . Efficace et simple .
Merci pour votre professionnalisme.
</t>
  </si>
  <si>
    <t>16/08/2021</t>
  </si>
  <si>
    <t>laurence-o-127830</t>
  </si>
  <si>
    <t>je suis très satisfaite du service.
l'ensemble de l'équipe est très réactive.
les offres proposées sont très attractives et personnalisées
je recommande</t>
  </si>
  <si>
    <t>13/08/2021</t>
  </si>
  <si>
    <t>france-b-124368</t>
  </si>
  <si>
    <t>Bon prix, réactivité, accueil sympathique. Site internet et espace client intuitif et facile à utiliser. J'ai également apprécié la rapidité des démarches et les conseils pour les réaliser.</t>
  </si>
  <si>
    <t>10/08/2021</t>
  </si>
  <si>
    <t>arnaud-b-127189</t>
  </si>
  <si>
    <t>L'accueil téléphonique est très agréable et efficace.
Le site internet est également très pratique et facile d'usage. L'interface est très intuitive.
Le prix est attractif. Les conditions restent à vérifier dans le détail</t>
  </si>
  <si>
    <t>09/08/2021</t>
  </si>
  <si>
    <t>aline-a-127084</t>
  </si>
  <si>
    <t xml:space="preserve">Prend le temps de répondre aux questions et d'étudier l'ensemble des documents afin d'ajuster au mieux le contrat. Offre très intéressante. Je recommande 
</t>
  </si>
  <si>
    <t>08/08/2021</t>
  </si>
  <si>
    <t>gregory-j-125967</t>
  </si>
  <si>
    <t>Je suis satisfait du service
Les tarifs sont intéressants
Je recommande maintenant que nous pouvons changer d'assurance crédit il ne faut pas hésiter.</t>
  </si>
  <si>
    <t>02/08/2021</t>
  </si>
  <si>
    <t>abderrahmane-e-125388</t>
  </si>
  <si>
    <t xml:space="preserve">Bonne présentation de l'offre de la part de la conseillère, offre très compétitive.
Bon service clients, très bon accueil, explications claires,     ...
</t>
  </si>
  <si>
    <t>29/07/2021</t>
  </si>
  <si>
    <t>clara-g-125209</t>
  </si>
  <si>
    <t>Je suis satisfaite du service el ligne, rappel après un devis, très sympa au téléphone et bon conseil. Le tarif est deux fois moins cher qu'avec ma banque !</t>
  </si>
  <si>
    <t>gilles-s-125077</t>
  </si>
  <si>
    <t xml:space="preserve">Très satisfait, bonne communication, un conseiller au top. Avis favorable sans surcoût pour des soucis de thyroïde. Des super tarifs donc je recommande </t>
  </si>
  <si>
    <t>fabrice-n-123060</t>
  </si>
  <si>
    <t>Pleinement satisfait de la prestation et du service !!
Très rapide et efficace.
Nous avons été guidés tout long de la procédure avec des réponses précises aux questions.</t>
  </si>
  <si>
    <t>10/07/2021</t>
  </si>
  <si>
    <t>el-houcine-e-122875</t>
  </si>
  <si>
    <t>Démarche Simple et pratique
les prix très compétitifs avec des formalités simplifiées.
je suis satisfait du service, A recommander à notre entourage, Bravo!</t>
  </si>
  <si>
    <t>09/07/2021</t>
  </si>
  <si>
    <t>benoit-r-122821</t>
  </si>
  <si>
    <t xml:space="preserve">Le tarif me convenait, simple et rapide pour souscrire.  Devis très clair et très explicite pour notre projet.  Accueil téléphonique agréable et sympathique. </t>
  </si>
  <si>
    <t>08/07/2021</t>
  </si>
  <si>
    <t>gael-b-122111</t>
  </si>
  <si>
    <t xml:space="preserve">Pour le moment satisfait, j espère que la mise en place se fera rapidement . 
Service et souscription rapide et simple 
Personnel accueillant au téléphone 
</t>
  </si>
  <si>
    <t>02/07/2021</t>
  </si>
  <si>
    <t>alexis-c-121868</t>
  </si>
  <si>
    <t>Je suis satisfait du service...
Rien à signaler...
Les équipes sont réactives et les informations sont claires...
Je recommande pleinement ZEN UP.
Alexis</t>
  </si>
  <si>
    <t>30/06/2021</t>
  </si>
  <si>
    <t>anais-p-117474</t>
  </si>
  <si>
    <t>Très contente de la rapidité , j'ai signé un accord de pret hier avec assurance groupe de la banque (très chère). J'ai comparé, suis tombée sur Zenup. Mon banquier accepte de me refaire signer l'accord (dès demain) avec cette fois ci l'assurance generali qui est , 3 fois moins chère que celle qu'il me proposait, pour les memes garanties. 15E économisés sur 20 ans en a peine quelques clics et 24h, c'est vraiment super!! Je suis ravie!</t>
  </si>
  <si>
    <t>alexandre-m-117280</t>
  </si>
  <si>
    <t>Bon rapport qualité prix  sur les prestations 
Quelques difficultés à avoir le standard mais bonne réactivité dans les rappels.
A valider sur le long terme</t>
  </si>
  <si>
    <t>16/06/2021</t>
  </si>
  <si>
    <t>fleur-m-117093</t>
  </si>
  <si>
    <t>super conseiller Mekki, aimable courtois patient prend le temps, rien à dire
zen up plate forme internet pratique et flexible agréable d'utilisation
bref merci</t>
  </si>
  <si>
    <t>15/06/2021</t>
  </si>
  <si>
    <t>sabrine-r-116788</t>
  </si>
  <si>
    <t>Prix très intéressant... 
Conseiller agréable et à l écoute
Espérons que le service le sera en cas de sinistre ..... en espérant de pas avoir besoin !....</t>
  </si>
  <si>
    <t>11/06/2021</t>
  </si>
  <si>
    <t>marion-g-116533</t>
  </si>
  <si>
    <t>Satisfaite des tarifs et de la réactivité de la commerciale zen up. Facilité de l'interface, prise en main rapide. Merci. Rien à dire de plus.........</t>
  </si>
  <si>
    <t>martine-h-116449</t>
  </si>
  <si>
    <t>JE SUIS SATISFAITE DE L OFFRE  PRISE EN CHARGE  CLAIR RAPIDE ET PRECIS
BONNE ELOCUTON  A LA CONVERSATION TELEPHONIQUE 
LE bon POINT   DU TEMPS PAS DE PRECIPITATION DANS LES EXPLICATIONS  AIDE EN DIRECT POUR LA SAISIE  UN PLUS</t>
  </si>
  <si>
    <t>foulemata-d-116346</t>
  </si>
  <si>
    <t xml:space="preserve">un conseiller au top et d'une extrême gentillesse ! 
et de plus hyper efficace et rigoureux d'avoir suivi mon dossier a la perfection ! 
tres cordialement. 
</t>
  </si>
  <si>
    <t>08/06/2021</t>
  </si>
  <si>
    <t>roselyne-n-115165</t>
  </si>
  <si>
    <t>Satisfaite du service et prix très attractif. Je suis gagnante. Dommage qzue je n'ai pas eu connaissance de zen'up avant. Mais là je ferai des économies et ça fera du bien au porte monnaie</t>
  </si>
  <si>
    <t>28/05/2021</t>
  </si>
  <si>
    <t>sabrina-s-114686</t>
  </si>
  <si>
    <t xml:space="preserve">Très bien surtout interlocutrice parfaite super accompagnement
Très à l’écoute.  De très bon prix concurrentiel. Rien à dire je recommande cette Assurance.
Merci </t>
  </si>
  <si>
    <t>24/05/2021</t>
  </si>
  <si>
    <t>christine-b-114624</t>
  </si>
  <si>
    <t xml:space="preserve">simplicité du service, rapidité et prix défiant toute concurrence
extrêmement satisfaite
conseiller au téléphone a été disponible et a bien conseiller
</t>
  </si>
  <si>
    <t>23/05/2021</t>
  </si>
  <si>
    <t>leila-t-114534</t>
  </si>
  <si>
    <t xml:space="preserve">Simple, efficace et rapide, et vraiment concurrentiel. 
Les échanges avec un conseiller dédié  réactif et facilement joignable est un plus. je recommande </t>
  </si>
  <si>
    <t>hok-c-114261</t>
  </si>
  <si>
    <t xml:space="preserve">Je suis satisfait du conseil et de l'offre proposée
de la qualité d'écoute, et de la patience de mon interlocuteur.
Je ne suis pas un client facile et pas très au fait des évolutions normatives et financières.
</t>
  </si>
  <si>
    <t>19/05/2021</t>
  </si>
  <si>
    <t>charlene-j-114256</t>
  </si>
  <si>
    <t>Un service de qualité, réactif, très professionnel et des tarifs exceptionnels. 
Merci ZEN'UP. 
Je les recommande vivement et je passerai par eux pour mes prochains prêts.</t>
  </si>
  <si>
    <t>franck-c-114101</t>
  </si>
  <si>
    <t xml:space="preserve">Je suis satisfait du service je suis satisfait des prix je suis satisfait de l acceuil et de la prise en charge de mon dossier  et je sais plus quoi  marquer </t>
  </si>
  <si>
    <t>18/05/2021</t>
  </si>
  <si>
    <t>ghislain-p-114094</t>
  </si>
  <si>
    <t>Excellent service en ligne et au téléphone. L équipe est très serviable et le prix est parfait. L assurance en 7 jours!  Des horaires rapides et une équipe sympa et motive</t>
  </si>
  <si>
    <t>nicolas-a-113454</t>
  </si>
  <si>
    <t>Je suis satisfait des prix de que l'organisme propose.  Les prix sont vraiment très attractifs. Par conséquent, nous n'avons pas d'autres choix que de souscrire à cette assurance.</t>
  </si>
  <si>
    <t>11/05/2021</t>
  </si>
  <si>
    <t>bruno-d-113278</t>
  </si>
  <si>
    <t>Tout est au top  personne au téléphone très agréable sympathique prix top rien à dire  toujours dispo pour le moindre problème je conseille vivement top top</t>
  </si>
  <si>
    <t>10/05/2021</t>
  </si>
  <si>
    <t>celine-g--112738</t>
  </si>
  <si>
    <t>Le contact téléphonique que j'ai eu tout au long de ma souscription a été décisif : personne aimable, à l'écoute et compétente.
A voir maintenant sur la durée si l'assurance souscrite reste compétitive et tient la route.</t>
  </si>
  <si>
    <t>marian-v-112346</t>
  </si>
  <si>
    <t xml:space="preserve">Je suis très satisfait du  service, du niveau de prix. Conseilles très personnalisé toujours a l'écoute c'est la deuxième assurance chez vous  Marian </t>
  </si>
  <si>
    <t>frederic-r-112613</t>
  </si>
  <si>
    <t>Un service efficace , rapide avec des tarifs attractifs ! Des conseillers réactifs et à l'écoute qui fournissent des conseils pertinents dans la gestion de votre projet.</t>
  </si>
  <si>
    <t>04/05/2021</t>
  </si>
  <si>
    <t>maxime-d-112321</t>
  </si>
  <si>
    <t>Service facile d'utilisation. Simple Rapide Efficace ! Top ! Encore un petit effort sur le tarif et c'est PARFAIT ! J'ai d'autre crédit à amener chez Zen'Up et je le ferais avec bon coeur je Recommande à tous mes amis !</t>
  </si>
  <si>
    <t>ardinis-112175</t>
  </si>
  <si>
    <t>Malheureusement la conseillère très désagréable au téléphone m'indique sèchement qu'ils ne téléphonent jamais sur un numéro étranger (difficile d'avoir un numéro français en étant non-résident français).
Nous choisirons une autre assurance pour notre prêt immobilier en France.</t>
  </si>
  <si>
    <t>30/04/2021</t>
  </si>
  <si>
    <t>francis-r-111450</t>
  </si>
  <si>
    <t xml:space="preserve">Très bien rien à dire. personne agréable prix intéressant. je recommande. les frais ne sont pas chère à côté des autres concurrents ça vaut le coup.... </t>
  </si>
  <si>
    <t>catherine-p-111383</t>
  </si>
  <si>
    <t>Je suis très satisfaite du service. Monsieur Séraphin est très compétent et attentif. J'ai été très bien accompagnée et les tarifs sont très intéressants. Je recommande ZEN'UP.</t>
  </si>
  <si>
    <t>stephane-g-111250</t>
  </si>
  <si>
    <t>Zen'up pratique les meilleurs prix trouvés, mon interlocuteur s'est montré clair et agréable au téléphone et mes démarches furent rapides, pas de tracas à avoir.</t>
  </si>
  <si>
    <t>22/04/2021</t>
  </si>
  <si>
    <t>rokiatou-d-110639</t>
  </si>
  <si>
    <t>Nous sommes très satisfaits des services de la société Zen’UP pour la réactivité exceptionnelle du conseiller qui s’occupe de nous et les tarifs ultra compétitifs. Nous ferons appel à eux à chaque fois que cela sera nécessaire.</t>
  </si>
  <si>
    <t>16/04/2021</t>
  </si>
  <si>
    <t>nadine-c-110353</t>
  </si>
  <si>
    <t>Mon interlocuteur Séraphin est très à l'écoute et patient. A pris tout son temps pour faire la démarche jusqu'au bout pas à pas.
Les tarifs sont intéressants.</t>
  </si>
  <si>
    <t>dominique-p-110076</t>
  </si>
  <si>
    <t xml:space="preserve">
Simple et pratique
rapide, on verras dans le temps, personnel sympathique et disponible
Moins cher que beaucoup d'autres, j'espère ne pas tomber malade ...
</t>
  </si>
  <si>
    <t>12/04/2021</t>
  </si>
  <si>
    <t>marc-b-109499</t>
  </si>
  <si>
    <t xml:space="preserve">Simple, pratique et rapide, voir pour la suite !
J'attends vos informations afin de résilier avec l'assurance actuelle.
Je pourrais, à la fin de la manip, noter plus précisément et donner un avis. </t>
  </si>
  <si>
    <t>07/04/2021</t>
  </si>
  <si>
    <t>julien-t-108988</t>
  </si>
  <si>
    <t>je suis satisfait
je recommande vivement
merci encore pour votre rapidité et de votre appel ainsi que vos explications tres pedagogique
offre de parainage</t>
  </si>
  <si>
    <t>02/04/2021</t>
  </si>
  <si>
    <t>imen-m-108923</t>
  </si>
  <si>
    <t>simple, rapide et tarifs attractifs.
le service est réactif pour répondre aux différentes demande de modification et la validation du dossier immédiate.</t>
  </si>
  <si>
    <t>jeremy-t-108798</t>
  </si>
  <si>
    <t>Je suis satisfait de ZENUP
Pour aller plus loin dans la démarche de satisfaction, pourquoi ne pas proposer un mandat à vos clients et faire les envoies et démarches à leurs places pour un complément de tarif bien évidement</t>
  </si>
  <si>
    <t>remy-l-108613</t>
  </si>
  <si>
    <t>Conseiller réactif et efficace
Conseiller réactif et efficaceConseiller réactif et efficaceConseiller réactif et efficaceConseiller réactif et efficace</t>
  </si>
  <si>
    <t>31/03/2021</t>
  </si>
  <si>
    <t>olivier-p-108021</t>
  </si>
  <si>
    <t>Je suis satisfait du service. Les prix sont les moins chers que j'ai pu obtenir.
Mon interlocutrice a toujours été à l'écoute, d'une grande disponibilité et d'une amabilité sans égal.</t>
  </si>
  <si>
    <t>25/03/2021</t>
  </si>
  <si>
    <t>lef-48706</t>
  </si>
  <si>
    <t>les prix sont très attractifs, bonne gestion de la part des conseillés et bonne réactivités, je suis satisfait de l'ensemble de la démarche, pas d'avis sur la partie incident pour le moment.</t>
  </si>
  <si>
    <t>magali-m-107859</t>
  </si>
  <si>
    <t>Je suis très satisfaite de la rapidité de traitement et de la réactivité de la conseillère qui a traité mon dossier. Elle a su répondre à mes questions ou trouver la réponse afin que je sois renseignée à 100%, et m'a rappelée dès que je lui ai laissé un message.</t>
  </si>
  <si>
    <t>24/03/2021</t>
  </si>
  <si>
    <t>basptiste-c-107582</t>
  </si>
  <si>
    <t>Je suis actuellement client de la caisse d'épargne qui fonctionne avec CNP assurance. J'ai souscrit.
Je ne serais satisfait que si mon dossier est accepté.</t>
  </si>
  <si>
    <t>23/03/2021</t>
  </si>
  <si>
    <t>carole-b-107444</t>
  </si>
  <si>
    <t xml:space="preserve">Je suis Ravie des services et de la réactivité de mon conseiller
                                                     </t>
  </si>
  <si>
    <t>22/03/2021</t>
  </si>
  <si>
    <t>gerald-g-106056</t>
  </si>
  <si>
    <t xml:space="preserve">Cette assurance réponds a mes besoins et attente. Facilité de souscription vu la conjoncture covid 19 .
Tarif compétitif et conseillé facilement joignable. Ne changer rien.
Merci </t>
  </si>
  <si>
    <t>09/03/2021</t>
  </si>
  <si>
    <t>mathias-b-105974</t>
  </si>
  <si>
    <t>très satisfait du service, bon contact téléphonique , prix très intéressant, simplicité de souscription pour un nouveau dossier d'assurance de prêt. merci</t>
  </si>
  <si>
    <t>frederic-s-105882</t>
  </si>
  <si>
    <t xml:space="preserve">TRES BIEN MERCI 
Je recommande ZEN UP a tous mes amis
cordialement                                         
                          </t>
  </si>
  <si>
    <t>08/03/2021</t>
  </si>
  <si>
    <t>mhonvault-105558</t>
  </si>
  <si>
    <t xml:space="preserve">Accueil agréable et serviable, cependant les équipes informatiques qui réalisent le support ne semblent pas être très efficace pour assurer la maintenance de leur plateforme. 
Un problème sur l'authentification, la solution ? Me demander de recréer un nouveau compte en lien avec une nouvelle adresse e-mail. 
Si déjà la partie authentification présente des dysfonctionnements et qu'ils ne sont pas en capacité de régler le problème, j'ai un peu peur pour la sécurité des données ... </t>
  </si>
  <si>
    <t>05/03/2021</t>
  </si>
  <si>
    <t>ahmed-g-105429</t>
  </si>
  <si>
    <t>JE SUIS SATISFAIT DU SERVICE. BONNE ACCEUIL LE  CONSEILLER ET ALA L ECOUTE DES CLIENTS ET CS BIEN NOUS CONSEILLER ET IL ES REACTIF QAND ON LUI DEMANDER UN RENSEIGNEMENT</t>
  </si>
  <si>
    <t>yassin-m-105198</t>
  </si>
  <si>
    <t>Je suis très satisfait, le gain est vraiment très significatif, les conseils sont à l'écoute.
bref rien à redire, je recommande  entièrement ce ZEN UP.</t>
  </si>
  <si>
    <t>sebastien-c-105196</t>
  </si>
  <si>
    <t>je suis satisfait du service, les tarifs sont compétitifs et les réponses aux questions ont été rapides.Très peu d'attente lors des appels que j'ai eu à passer</t>
  </si>
  <si>
    <t>andre-b-104899</t>
  </si>
  <si>
    <t>Démarche 100% numérique. Simple, rapide, super efficace, prix imbattable pour changement d'assurance emprunteur. Bien moins cher que les assurances groupe imposées.</t>
  </si>
  <si>
    <t>27/02/2021</t>
  </si>
  <si>
    <t>william-l-104777</t>
  </si>
  <si>
    <t>Prix très attractifs et compétitifs.
Services ultra rapides et compétents.
C'est la 3ème fois que nous contractualisons avec ZEN'UP
Je recommande vivement !</t>
  </si>
  <si>
    <t>mohamed-g-104489</t>
  </si>
  <si>
    <t>Je suis satisfait du service.Efficacité disponibilité et réactivité sont les maîtres mots effort de votre enseigne je tiens à remercier tout particulièrement Mademoiselle Imane qui a été exemplaire en sa fonction.</t>
  </si>
  <si>
    <t>19/02/2021</t>
  </si>
  <si>
    <t>max-69785</t>
  </si>
  <si>
    <t>Très bien sur les tarifs et les renseignements par téléphone mais manque un accompagnement pour que ce soit l'entreprise qui fasse les démarches de résiliations auprès de l'assureur actuel</t>
  </si>
  <si>
    <t>mickael-d-104169</t>
  </si>
  <si>
    <t>Service très réactif, les échanges sont rapide. Conseiller à l'écoute de vos besoins.LEs prix sont très compétitifs.
Je recommande vivement ZenUP
Merci</t>
  </si>
  <si>
    <t>15/02/2021</t>
  </si>
  <si>
    <t>patrice-p-103979</t>
  </si>
  <si>
    <t xml:space="preserve">Je suis satisfait du parcours de souscription, et du suivi qui a été réalisé par le conseiller qui a suivi l'ensemble de mon dossier. Bravo Zen Up. cordialement </t>
  </si>
  <si>
    <t>10/02/2021</t>
  </si>
  <si>
    <t>gregory-m-103647</t>
  </si>
  <si>
    <t xml:space="preserve">merci de votre aide. Un bémol pour les exclusions d'assurance de GENERALI pour des opérations classiques et benignes. ZEN UP trés bien. Simple et pratique </t>
  </si>
  <si>
    <t>03/02/2021</t>
  </si>
  <si>
    <t>abau-k-103638</t>
  </si>
  <si>
    <t>Je suis satisfait du service et des échanges avec notre interlocuteur très disponible et à l'écoute. Il n'a pas hésité à nous apporter les informations nécessaires le tout en restant clair dans les propos.</t>
  </si>
  <si>
    <t>gontran-m-103078</t>
  </si>
  <si>
    <t xml:space="preserve">Très satisfait.
Le prix était important dans nos critères de choix
mais le travail de votre collaborateur a fait le reste.
Merci à Eric pour son professionnalisme, son écoute et son souci du détail.
Cela nous a permis de lever tous les "pièges" de notre montage de prêts.
</t>
  </si>
  <si>
    <t>adeline-o-102632</t>
  </si>
  <si>
    <t>Je suis satisfaite du prix malgré qu il y a beaucoup de restrictions au niveau de la sante...
Nous verrons à l avenir en esperant ne pas en avoir besoin
Merci encore</t>
  </si>
  <si>
    <t>14/01/2021</t>
  </si>
  <si>
    <t>francois-l-102234</t>
  </si>
  <si>
    <t xml:space="preserve">Je suis satisfaite du service, le conseiller a été très attentif et son aide pour remplir tres precieuse.
De plus je realise une réelle economie sur mon contrat. </t>
  </si>
  <si>
    <t>06/01/2021</t>
  </si>
  <si>
    <t>laurent-b-102228</t>
  </si>
  <si>
    <t>TRES CONTENT DE L ACCUEIL ET DES PRIX
DE LA RAPIDITé de reponse et d execution du contrat
j ai été appelé hier et aujourdhui je suis assuré
merci a mon contact chez vous</t>
  </si>
  <si>
    <t>stephanie-d-101745</t>
  </si>
  <si>
    <t>Quand on appelle un conseiller au téléphone, nous avons une réponse rapide et un retour par mail presque aussitôt. Les prix sont très attractifs et correspondent à notre demande</t>
  </si>
  <si>
    <t>22/12/2020</t>
  </si>
  <si>
    <t>remy-s-101528</t>
  </si>
  <si>
    <t>Je suis satisfait des prix et de la prise en charge rapide par téléphone et mail, j'attends l'acceptation définitive de la banque pour faire des économies importantes</t>
  </si>
  <si>
    <t>eric-s--101147</t>
  </si>
  <si>
    <t xml:space="preserve">un accueil agréable une personne compétente à votre écoute et bon suivi du dossier des réponses à vos interrogations des conseils sur mesure avec une disponibilité jusqu'à 20 heures.
</t>
  </si>
  <si>
    <t>09/12/2020</t>
  </si>
  <si>
    <t>sebastien-m-100967</t>
  </si>
  <si>
    <t>Je suis satisfait du service, le prix et les conditions me conviennent. Le conseiller a su répondre à mes divers questions concernant les conditions du futur contrat d'assurance en prêt immobilier.</t>
  </si>
  <si>
    <t>04/12/2020</t>
  </si>
  <si>
    <t>pierre-j-100652</t>
  </si>
  <si>
    <t>Je suis satisfait du service, le conseiller a été très clair et diligent. J'attends maintenant la confirmation de mon prêt par ma banque, je vous tiens au courant.</t>
  </si>
  <si>
    <t>26/11/2020</t>
  </si>
  <si>
    <t>974steph-80276</t>
  </si>
  <si>
    <t>A créé un contrat mncap malgres le refus de délégation de ma banque. Ce courrier doit être éviter. Son seul objectif est la création et le placement de contrat. Sans intérêt et suivis mediocre</t>
  </si>
  <si>
    <t>21/10/2019</t>
  </si>
  <si>
    <t>alain-c-114016</t>
  </si>
  <si>
    <t>Un service de qualité, toujours à l'écoute, je recommande vivement cette assurance et la conseillerais autour de moi. Je ne manquerai de vanter le professionnalisme de générali</t>
  </si>
  <si>
    <t>Generali</t>
  </si>
  <si>
    <t>marina-86619</t>
  </si>
  <si>
    <t xml:space="preserve">J'ai appelé pour avoir des renseignements sur mon contrat. Je suis tombé sur une personne incompétente qui m'a redirigé vers quelqu'un d'autre, de très hautain qui m'a raccroché au nez.... Service client nul !!!!!!! </t>
  </si>
  <si>
    <t>fred-69689</t>
  </si>
  <si>
    <t>Nul</t>
  </si>
  <si>
    <t>26/12/2018</t>
  </si>
  <si>
    <t>juju1984-52165</t>
  </si>
  <si>
    <t xml:space="preserve">Suite a un remboursement de notre pret immobilier, nous avons voulu resillier notre assurance emprunteur Generali: le délai de traitement est très long. Resultat:Cela fait 4 semaines que nous attendons le remboursement de la mensualité prélevee a tort en janvier et toujours rien. Heureusement que le reste des assurances est chez Groupama. </t>
  </si>
  <si>
    <t>choula-96194</t>
  </si>
  <si>
    <t>Une horreur - à éviter absolument ! 
Dossier refusé tout net après une greffe alors que la santé est parfaite et les analyses impeccables - analyses qu'ils n'ont pas même pris le temps de consulter ! C'est "la honte de la profession", comme me l'ont dit plusieurs assureurs, ainsi que mon avocat, qui n'avait jamais vu ça et a été très choqué.</t>
  </si>
  <si>
    <t>Afi Esca</t>
  </si>
  <si>
    <t>val-89666</t>
  </si>
  <si>
    <t>Une compagnie efficace, rapide, une belle offre d'assurance emprunteur. Un contrat accepté par mon organisme de prêt. de trés bon conseil, un bon suivi.</t>
  </si>
  <si>
    <t>15/05/2020</t>
  </si>
  <si>
    <t>sab-89613</t>
  </si>
  <si>
    <t xml:space="preserve">Conseiller en face à l'écoute et rapide
la souscription électronique est vraiment un plus et permet de faire l'adhésion très rapidement
retour rapide également et conseil sur mesure </t>
  </si>
  <si>
    <t>13/05/2020</t>
  </si>
  <si>
    <t>fxl-86201</t>
  </si>
  <si>
    <t>De la demande d'adhésion à la souscription, nous avons été pris en charge et accompagner avec professionnalisme,écoute et bons conseils. 
La compagnie est là pour nous accompagner dans nos démarches et nous apporte un service de qualité.</t>
  </si>
  <si>
    <t>22/01/2020</t>
  </si>
  <si>
    <t>ppf-86112</t>
  </si>
  <si>
    <t>suivi assuré par un seul correspondant. très professionnel et pro actif, il a beaucoup contribué au bon déroulement de notre achat immobilier. Notre satisfaction est totale! je recommande.</t>
  </si>
  <si>
    <t>20/01/2020</t>
  </si>
  <si>
    <t>valou02-85285</t>
  </si>
  <si>
    <t xml:space="preserve">Refuse de m'assurer pour un crédit suite à une greffe avec compte rendu médical précisant la guérison et des résultats d'analyses au top mais surtout n'ont pas le courage de donner la raison du refus et ne répondent pas aux mails </t>
  </si>
  <si>
    <t>dtestabl-75538</t>
  </si>
  <si>
    <t>Ils continuent à ponctionner après le décès malgré les preuves. Tout ça parce qu'ils refusent de perdre de l'argent !</t>
  </si>
  <si>
    <t>zuz-63739</t>
  </si>
  <si>
    <t>Une catastrophe naturelle quand vous avez besoin d'eux !!! Mettent env. 7 mois pour accepter l'arrêt de travail, une vraie me....</t>
  </si>
  <si>
    <t>03/05/2018</t>
  </si>
  <si>
    <t>fabien-63606</t>
  </si>
  <si>
    <t xml:space="preserve">A éviter de tout urgence... ce sont des ....... avec fracture des deux fémur il me demande les dates de consommation de tabacs et si je suis sevrer tous ça ecrit par mon médecin... au jour d aujourd'hui je passe mes journées a faire des papiers au lieu de me reposer... je pense que ma patiente a des limite ... au telephone au service sinistre nous avons a faire a des rigolos sens âme.... on vous fournissez les papier et ferme vos bouche..je vais saisir une aide juridique ....   </t>
  </si>
  <si>
    <t>surcouf-62611</t>
  </si>
  <si>
    <t>Tout va a peu près bien tant que vous n'avez pas de problème de santé. Contrat non adapté aux prêts modulables : augmentation de durée = questionnaire de santé avec exclusions éventuelles.</t>
  </si>
  <si>
    <t>23/03/2018</t>
  </si>
  <si>
    <t>anne-sophie--138423</t>
  </si>
  <si>
    <t xml:space="preserve">Deuxième assurance auprès d’apriorisme. Mon conseiller a été extrêmement réactif pour traiter mon dossier et répondre à mes questions + tarifs attractifs
</t>
  </si>
  <si>
    <t>APRIL</t>
  </si>
  <si>
    <t>27/10/2021</t>
  </si>
  <si>
    <t>peggy--126343</t>
  </si>
  <si>
    <t xml:space="preserve">Bonjour à tous, 
Je suis très très en colère contre cette assurance qui nous vante de la rapidité, de la rigueur et surtout de la bonne exécution des dossiers !! 
Alors que nous souscrivont deux assurances prêts bien differentes, les numéros de dossiers sont mélangés! Prélèvements en aout 2021 alors que prévus en mars 2022! Trente minutes d attente au téléphone pour s'entendre dire : un gestionnaire vous rappelle &gt; résultats : aucun rappel!! On ne gagne que qqs Euros par rapport au temps perdu et l'incompétence de cette assurance. JE NE RECOMMANDE ABSOLUMENT PAS ! </t>
  </si>
  <si>
    <t>04/08/2021</t>
  </si>
  <si>
    <t>nan-95500</t>
  </si>
  <si>
    <t xml:space="preserve">Nous venons d apprendre qu April notre assurance emprunteur nous résilie pour fausse déclaration. Nous sommes abasourdis. Cette résiliation fait suite à une demande de prise en charge suite à un problème de santé. Le problème de santé n à aucune antériorité. Nous avons fourni tous les documents demandé en payant des consultations médicales pour de la paperasse.... Mais c est la règle et nous ne la remettons pas en cause. Nous sommes résilie pour avoir omis de déclarer une lombalgie qui n à nécessité aucun soin et un hygroma sans aucune séquelles ni suite qui a eu comme soin des compresses alcoolisées. Nous avons transmis les documents demandé de ces 2 soins sans aucune réticence car nous n avons absolument pas le sentiment d avoir triche ni d avoir voulu induire en erreur nous n y pensions plus. A contrario mon mari a une liste longue comme le bras d antécédents importants qui a été bien sûr déclaré qui n à pas posé de problème. Recevoir les mensualités des adhérents oui mais indemnisé non..... Et à priori nous ne sommes pas les seuls.....
Mais comme nous a dit la dame au téléphone il y a des gens très content d april  regardez sur notre portail internet..... Ils ont refusé mon avis..... Si c est pas se moquer du client.....
</t>
  </si>
  <si>
    <t xml:space="preserve">Nous venons d apprendre qu April notre assurance emprunteur nous résilie pour fausse déclaration. Nous sommes abasourdis. Cette résiliation fait suite à une demande de prise en charge suite à un problème de santé. Le problème de santé n à aucune antériorité. Nous avons fourni tous les documents demandé en payant des consultations médicales pour de la paperasse.... Mais c est  la règle et nous ne la remettons pas en cause. Nous sommes résilie pour avoir omis de déclarer une lombalgie qui n à nécessité aucun soin et un hygroma sans aucune séquelles ni suite qui a eu comme soin des compresses alcoolisées. Nous avons transmis les documents demandé de ces 2 soins sans aucune réticence car nous n avons absolument pas le sentiment d avoir triche ni d avoir voulu induire en erreur nous n y pensions plus. A contrario mon mari a une liste longue comme le bras d antécédents importants qui a été bien sûr déclaré qui n à pas posé de problème. Recevoir les mensualités des adhérents oui mais indemnisé non..... Et à priori nous ne sommes pas les seuls..... 
</t>
  </si>
  <si>
    <t>djou-104247</t>
  </si>
  <si>
    <t>Nous avons souscrit une assurance pour notre prêt immobilier chez APRIL. Au moindre problème, c'est l'enfer!! il ne vous rappelle pas, refuse toute prise de rdv, ne vous donne aucune information par téléphone et font TOUT pour ne pas vous indemniser jusqu'à vous résilier sans vous tenir informer!!!
On l'avait trouvé pas cher par rapport à l'assurance proposée par notre banque mais maintenant on sait pourquoi = il semble que tout ce qu'ils veulent c'est encaissé l'argent et ne pas respecter les contrats
FUYEZ</t>
  </si>
  <si>
    <t>16/02/2021</t>
  </si>
  <si>
    <t>mme-thiyfa-100783</t>
  </si>
  <si>
    <t>MME THIYFA
tres déçue de l'assurance April du traitement d'un dossier de remboursement crédit immobilier, d'ailleurs à deux ans de fin de crédit.
Veuve depuis le 15 Fevrier 2020 suite à un accident vasculaire qu'a eu mon mari le 25 novembre 2019, avec deux enfants mineurs.
Cet organisme d'assurance me demande tous les six semaine un CR medical a completer par le medecin traitant, en plus de tous les CR d hospitalisation transmis.
Cette  facon de trainer ce dossier m'a couté cher psychologiquement et financierement moi et mes deux enfants.
Je suis epuisee moralement entre les relances et les courriers reponses et les frais de ma banque car je continue a rembourser notre credit commun moi et mon mari depuis un an.
C'est le seul organisme qui n a pas statué sur un dossier de credit, comme précisé à deux ans de fin.
Insatisfaite des delais de reponse, de la qualité et des disponibilités de leurs gestionnaires.
En deux mots je suis très très déçue
Mme THIYFA</t>
  </si>
  <si>
    <t>pat-100451</t>
  </si>
  <si>
    <t>Des gougeas ,déjà chère puis il ne faut pas avoir de soucis de santé,au bout de 2ans chez eux heureusement pas plus,j'ai eu une infiltration au pied car javais une inflammation.Ensuit 2ans après Je me suis fait opérer du pied,6mois d'arrêts,au bout de 3 mois ils m'ont demandé pleins de document il en manquait tout le temps.
Pour résumé il m'ont payé que la moitié de ce qui me devais car je n'avais pas dit que j'avais été voir le médecin pour une infiltration avant la signature du contrat.
Donc je leurs aient dit que si j'avais eu une angine et que 2ans après  un cancer  il m'aurait payé que la moitié?
Ce sont des gougeas ils empochent l'argent ils fouinent et le moindre problème ils vous virent. 
D'ailleurs ils ont eu un redressement fiscale de 68 000 000  euros par le fisque,ils ont monté à Malte des société pour payer moins d'impôts .</t>
  </si>
  <si>
    <t>22/11/2020</t>
  </si>
  <si>
    <t>ju-91561</t>
  </si>
  <si>
    <t>Catastrophique.
Réponses très lentes, hors des délais fixés par la banque. Ils m'ont fait perdre 1500€ en répondant largement hors du délai. La derrière fois ou j'avais demandé une renégociation ça avait été très compliqué également.</t>
  </si>
  <si>
    <t>19/06/2020</t>
  </si>
  <si>
    <t>marine-89581</t>
  </si>
  <si>
    <t>Service client déplorable, lenteur, erreurs et mensonges au RDV. Fuyez si vous souhaitez éviter les problèmes ! Leurs concurrents font beaucoup mieux pour un écart de prix peu conséquent.</t>
  </si>
  <si>
    <t>norway72-76774</t>
  </si>
  <si>
    <t>Je voulais vous partager leur nouvelle pratique : si votre prêt est reporté d'un mois, la facture de l'assurance augmente de 8% !!
Malgré 5 mails, ils maintiennent leur décision.
Jamais vu ça</t>
  </si>
  <si>
    <t>karine-70639</t>
  </si>
  <si>
    <t xml:space="preserve">bonjour 
j ai pris un contrat d assurance de pret immobilier chez april croyant etre protégée en cas de coup dure.
Helas, quand j avais besoin d un rembourssement de mon credit suite a une maladie professionnelle en 2016, mon dossier et toujour en cours d etude chez eux , avec des demandes incessantes de document.
Aujourd huit , en 2019 , j attends toujours d etre indemnisée par april.Et pour nouveautee je recois ce matin un avenant de contrat m informant de changement , chose que je n ai jamais demandé , ni signer.
Chez april ils sont tres fort pour vous ballader et pas vous indemniser.
</t>
  </si>
  <si>
    <t>26/01/2019</t>
  </si>
  <si>
    <t>dake2-66268</t>
  </si>
  <si>
    <t>Bonjour,
Je vous conseille d' éviter cette compagnie certe le prix est attractif mais le service gestion laisse à désirer. J' ai résilier mon contrat pour revenir vers ma banque car si vous avez un problème personne ne répond.
Pour ma part j avais besoin de changer le nom d' un document plus de un mois et demi et pas de réponse.
Si vous avez un vrai problème comme une perte de emploi ou itt ne comptez pas sur une réponse rapide .
Évitez cette compagnie et courez vite vers une compagnie certe plus chère mais qui vous aidera vraiment
Je suis le témoin de leur incompétence. Un manager m à promis de me aider mais pas de réponse pendant un mois. J ai vécu un enfer pour avoir un simple documents que je n' ai jamais reçu.</t>
  </si>
  <si>
    <t>mimi-65101</t>
  </si>
  <si>
    <t xml:space="preserve">je viens de lire plusieurs commentaires sur april ca me fait peur car je vois que je ne suis pas la seule mon mari est atteins d un cancer et  april n arrete pas de me demander  des documents que j ai deja fourni ou des documents qui n ont rien a voir avec l etat de sante de mon mari   ils font trainer les choses c est d une evidence si quelqu un peut me dire ou s adresser pour faire bouger les choses car ras le bol deja que c est pas facile de vivre avec cette maladie  </t>
  </si>
  <si>
    <t>phil-57706</t>
  </si>
  <si>
    <t xml:space="preserve">Bonjour, mauvaise expérience avec cette assurance. Lors de la signature de notre crédit immo a la BPL, on nous vend une assurance april en nous certifiant être couvert pour le chomage, invalidité permanente ou temporaire et décès. Après 9 ans de contrat, j'ai eu besoin de faire fonctionner la garantie invalidité temporaire, mais là, les ennuis commencent... Déjà ils mettent un temps incroyable pour étudier soit disant votre dossier, ensuite ils vous envoient plusieurs fois chez des medecins experts qui ne consultent plus et enfin il trouve une préposition dans leur contrat pour justifier leur non prise en charge. En effet, il est bien noter que je dois être incapable de faire tous mes travaux quotidiens. Malgré quebje sois incapable de travailler pendant 10 mois, incapable d'amener ma fille a l'école ne compte pas, ils ont juste retenu que malgré cela j'etais capable de lancer une machine de temps en temps.  De plus on c'est aperçu qu'on avait aucune garantie chômage dans le contrat. Bon je sais aurais dù lire les conditions avant de signer mais on a fait confiance... Trop bête.Et attention pour obtenir votre garantie décès, vous avez intérêt a mourir dans leurs conditions!!!!
NE SIGNER PAS. Vous avez le droit désormais de choisir votre assureur maintenant contrairement a il y a 9 ans alors profitez en.
</t>
  </si>
  <si>
    <t>29/09/2017</t>
  </si>
  <si>
    <t>gegepar-56991</t>
  </si>
  <si>
    <t xml:space="preserve">Bonjour,
fuir absolument April.
Je suis assuré chez April depuis 2014 pour une assurance de prêt, j'ai  précisé à April tout mes problèmes de santé.
Suite a une renégociation de prêt, je  demande a April de me réassurer, le galère, demande par April des mêmes documents que la première fois (le téléconseiller April me précisent qu'April ne  conserve que 2 ans les documents).
Je redonne tout à April, un de mes problèmes de santé ayant été diagnostique( j'ai un traitement a vie qui selon mon Docteur est bénin, il est près a leur fournir une liste d'experts pouvant en attester) je suis refusé en réassurance et radier pour fausse déclaration.
Futur assuré April, si vous tombez malade,April fera tout pour vous radier sans payer son dû.
Si la situation évolue, je compléterais de commentaire. 
</t>
  </si>
  <si>
    <t>bru-56660</t>
  </si>
  <si>
    <t>j'ai assuré mon emprunt habitation chez eux en 2007 et toujours payé dans les temps jusque là.
au bout de 5 ans on nous cré un taxe appeler cotisation à l'association des assurés April
Ensuite, je renegocie mon emprunt à 2 reprises et là, à chaque fois des erreurs (à leur avantage evidement).
il faut envoyer des mails, les rappeler etc...En attendant je ne paie pas (au moins ça va bouger).
On m'envoie pas les elements que je demande sauf une facture avec une mise en demeure  et 25€ de frais.
on me renvois de nouveau une facture avec des frais d'echéance et cette fameuse cotisation à l'association des assurés April doublés. Ces pratiques sont trés désagréables et avec cet assureur, tout est bon pour pour prendre des sous. A fuir absolument</t>
  </si>
  <si>
    <t>14/08/2017</t>
  </si>
  <si>
    <t>yann-53279</t>
  </si>
  <si>
    <t>Bonjour, suite à une renégociation de prêt faite en novembre 2016, j'ai reçu enfin fin février 2017, les nouvelles cotisations (après une dizaine de coups de fils au service client et envoi de documents). Et oh surprise on m'envoie un courrier standard de l'échéancier de cotisations où je peux voir qu'un rappel de 230 € sur les années 2015/16 a été fait parce que les caractéristiques du prêt ne sont pas les mêmes que les éléments reçus. Cette explication m'a été donnée car j'ai du appeler le service client pour m'expliquer cette situation. Et aujourd'hui je n'ai aucun élément détaillé me précisant d'où vient l'erreur, et pourquoi. Le calcul des cotisations a été forcément fait à l'ouverture de mon prêt initial avec un tableau d'amortissement envoyé et archivé. Ce sont donc ces éléments que je veux voir pour discuter et comprendre.... Je vous tiens informé car je suis déterminé à comprendre et à aller jusqu'au bout de ma démarche...</t>
  </si>
  <si>
    <t>14/03/2017</t>
  </si>
  <si>
    <t>krole-53231</t>
  </si>
  <si>
    <t xml:space="preserve">Je suis chez cet assureur depuis 10 ans et le service client est devenu complétement absent. Pas de réponse aux mails, il faut renvoyer les documents plusieurs fois et rien ne bouge. C'est déplorable. Je suis très motivée pour changer d'assureur. </t>
  </si>
  <si>
    <t>13/03/2017</t>
  </si>
  <si>
    <t>ceillierc-51774</t>
  </si>
  <si>
    <t xml:space="preserve">service impossible à joindre au téléphone, en cas de renégociation de prêt les cotisations augmentent sans raisons. On vous trimballe de service en service sans jamais avoir de réponse à vos queltions. j'attends janvier pour résilier définitivement et je déconseille cette assurance </t>
  </si>
  <si>
    <t>28/01/2017</t>
  </si>
  <si>
    <t>alexisavis-96417</t>
  </si>
  <si>
    <t>On vous vend une assurance à un prix fixe je demande confirmation on me confirme et la après signature on me sort des frais supplémentaire (cotisations) à payer en une fois non négligeable pour un très petit budget de bons commerciaux pour signer des contrats.</t>
  </si>
  <si>
    <t>Magnolia</t>
  </si>
  <si>
    <t>18/08/2020</t>
  </si>
  <si>
    <t>chris-88089</t>
  </si>
  <si>
    <t>Magnolia m'a trouvé une assurance emprunteur sans problème. Tout s'est bien passé jusqu'à ce que mon pret soit racheté par une autre banque. J'ai donc résilié mon assurance et c'est là que les problèmes ont commencés. Depuis maintenant deux mois les prélèvements sont effectués par l'ancienne assurance soit au total plus de 300 euros. Magnolia se contente de répondre que le dossier est en cours de traitement. C'est tout juste si on ne me dit pas que j'ai qu'à attendre et que c'est comme ça. JE SUIS TRES EN COLERE D'AUTANT PLUS QUE CELA A MIS MON COMPTE DANS LE ROUGE D'OU DES FRAIS PRIS PAR LA BANQUE</t>
  </si>
  <si>
    <t>07/03/2020</t>
  </si>
  <si>
    <t>ludo77-78900</t>
  </si>
  <si>
    <t>Pitoyable incompétents meme des amateurs ont plus de sérieux dans le suivi des dossiers....résiliation envoyée à une autre banque la totale quoi...et comble du gâteau en rentrant échéancier plus prélèvements et frais d adhesion</t>
  </si>
  <si>
    <t>03/09/2019</t>
  </si>
  <si>
    <t>verot-71301</t>
  </si>
  <si>
    <t>j'ai tester le service Magnolia après avoir vu leur pub a la télé. Changement de mon assurance emprunteur pour 2 fois moins cher avec garanties équivalentes grâce a la loi Hamon !</t>
  </si>
  <si>
    <t>14/02/2019</t>
  </si>
  <si>
    <t>ericm3845-64168</t>
  </si>
  <si>
    <t>Ma femme et moi-même avons tenté de changer notre assurance emprunteur en utilisant les services de Magnolia. Après quelques mois de formalité administrative, nous apprenons que nous allons être prélevé des mensualités de la nouvelle assurance tandis que notre banque en parallèle rejetait la subrogation d'assurance. En effet, une garantie manquait pour assurer un niveau équivalent au contrat initial. Cet organisme est capable de commencer à prélevé les mensualités alors qu'ils n'ont aucun contrat signé de leur coté (sur le contrat 3 signatures doivent être apposées : l'assuré, l'assureur et la banque). Bien que nous avons la possibilité de mettre à jour les garanties du contrat en cours de souscription chez Magnolia, à la vu de ces pratiques douteuses, j'ai préféré demandé l'arrêt des démarches. Cela fait maintenant un mois que je me bats pour résilier ce contrat (pas totalement signé du coup) et pour obtenir le remboursement des deux premières mensualités qui font doublon avec l'assurance initiale de la banque. Les interlocuteurs nous forcent à pousser les démarches ou nous redemandent plusieurs fois le courrier de la banque signifiant le refus de subrogation pour au final ne pas répondre et laisser courir les prélèvements. Cela est inacceptable.</t>
  </si>
  <si>
    <t>jean-lefevre-61587</t>
  </si>
  <si>
    <t>Magnolia.fr m'a été recommandé par une connaissance et m'a permis de changer facilement mon assurance de prêt en utilisant la loi Hamon. 
J'ai pu comparer une dizaine de contrats et ainsi choisir le plus avantageux. Content de mon choix final !</t>
  </si>
  <si>
    <t>20/02/2018</t>
  </si>
  <si>
    <t>manonjoye-89627</t>
  </si>
  <si>
    <t xml:space="preserve">Traitement des documents beaucoup trop long, 11 jours ! Et en plus il y a toujours un problème. Réponse par courrier uniquement donc une énorme perte de temps, un simple mail serai beaucoup plus efficace.
Des explications très vagues, une attente par téléphone interminable. 
Je ne recommande pas du tout !!! J'attend 2 mois d'indemnisation et il y n'y a rien qui se débloque </t>
  </si>
  <si>
    <t>Sogecap</t>
  </si>
  <si>
    <t>14/05/2020</t>
  </si>
  <si>
    <t>xjr-87663</t>
  </si>
  <si>
    <t xml:space="preserve">un combat de tous les instants pour obtenir ses droits demande de documents incessants perte de ces même documents expertise médicale par un expert payé par leurs soins bilan malgré un arret de travail et un passage en invalidité suite a un cancer ! refus de sogecap  de prise en charge   </t>
  </si>
  <si>
    <t>26/02/2020</t>
  </si>
  <si>
    <t>bert-78852</t>
  </si>
  <si>
    <t xml:space="preserve">cette société m a plusieurs fois demander les memes pièces que j envoyais en lettre suivie, tout ça pour faire trainer le dossier, à eviter allez voir ailleurs. impossible d avoir quelqu un qui au telephone qui connait votre dossier, ils sont juste bons a encaisser </t>
  </si>
  <si>
    <t>ysa-74890</t>
  </si>
  <si>
    <t>Ne repondent pas au courriers RAR ni au mails des clients. Assureur qui joue avec les mots pour ne pas prendre en charge votre dossier. Aucune considération pour des personnes en maladie qui réclament leurs droits et ont payés pourtant leurs échéances en temps et en heure.</t>
  </si>
  <si>
    <t>assuree-fachee-71303</t>
  </si>
  <si>
    <t>Nullle, nulle et nulle</t>
  </si>
  <si>
    <t>courtois-70595</t>
  </si>
  <si>
    <t>pertes de documents sans cesse faits constatés dans de nombreux cas, délais de réponses,  suivi de dossiers inexistants qui ont fait que nous n'ayons pu bénéficier de garanties souscrites initialement à la signature d'un prêt pour mon épouse gravement malade on pourrait a une connivance entre la société générale et la SOGECAP pour ne pas indemniser les ayant droits, nous  souhaitons créer un collectif afin poursuivre la SOGECAP et la société générale e justice</t>
  </si>
  <si>
    <t>25/01/2019</t>
  </si>
  <si>
    <t>jojo-61092</t>
  </si>
  <si>
    <t>A chaque appel aucune réponses ,le service médical répond au bout de trois mois alors que le délais est de 11 jours ouvrés.
Je déclare une nouvelle pathologie on me répond lors d l'expertise médicale toutes les pathologies existantes sont prisent en compte,donc aprés deux expertises on me parle d'une tièrce expertise dont la moitié à mes frais.Non respect des garanties déclare une non prise ne charge pour cause IPP invalidité permanente partielle car en dessous de 66% alors que sur les garanties il est précisé que la non prise en charge c'est pour une IPT invalidité permanente totale.Alors que je croyais que seul les invalide catégorie 3 étaient en invalidité permanente totale.
Je suis en catégorie 2 ??????</t>
  </si>
  <si>
    <t>10/08/2018</t>
  </si>
  <si>
    <t>domi-58675</t>
  </si>
  <si>
    <t>Avec Sogecap, mieux vaut ne pas tomber malade, on reçoit souvent des demandes de pièces pour compléter le dossier, alors que vous venez de les envoyez. 3 mois de retard, et pendant ce temps ils encaissent quand même les mensualités!!! On vous fait miroiter au téléphone que vous allez être payé mais les semaines passent et....rien, sauf des demandes de pièces. Au début de mon arrêt tout se passait bien et depuis quelques mois il faut toujours se battre! Décevant!</t>
  </si>
  <si>
    <t>08/11/2017</t>
  </si>
  <si>
    <t>steph30-58257</t>
  </si>
  <si>
    <t>LAMENTABLE, PITOYABLE, HONTEUX, CATASTROPHIQUE... un mois et demi d'attente pour une assurance crédit conso. qui en plus n'est même pas obligatoire au yeux de la loi... SOGECAP! Vous devriez avoir honte. Salariés de SOGECAP! Ne préconisez jamais cette assurance à vos enfants.</t>
  </si>
  <si>
    <t>stu78-49727</t>
  </si>
  <si>
    <t>Zéro gestion, zéro service à la clientèle, 100% bureaucratie, bon pour rien.  Ce groupe a atteint les profondeurs du zéro service jamais vu ailleurs.  Si vous utilisez Societe Generale refuser leur groupe d'assurance SOGECAP  !!!!</t>
  </si>
  <si>
    <t>elcielo-137272</t>
  </si>
  <si>
    <t xml:space="preserve">Très décevant, aucune consideration du client, des mois d'attente d'instruction du dossier pour le remboursement du prêt, toujours pas réglé malgré de nombreuses relances restées sans suite. Ce type de compagnie ne devrait pas existe! A FUIR absolument! </t>
  </si>
  <si>
    <t>MetLife</t>
  </si>
  <si>
    <t>13/10/2021</t>
  </si>
  <si>
    <t>noixdecoco33-133644</t>
  </si>
  <si>
    <t>Nous avons souscrit une assurance emprunteur sur notre logement principal en 2015. Nous avons racheté notre crédit et changé d'assurance pour le nouveau crédit en Mars 2021. Metlife a continué à prélever notre compte après que nous ayons soldé le crédit. Nous avons changé de banque et Metlife nous envoie des courriers avec AR pour réclamer le règlement des échéances d'un crédit qui n'existe plus. Pas de numéro de téléphone, pas d'adresse mail, juste un numéro de compte pour faire des virements et une adresse postale générique. 
Ces pratiques sont infames. Comment une entreprise comme celle-ci peut continuer à fonctionner avec de telles pratiques? Ils semblent au dessus des lois de protection des consommateurs... A fuire!!!!</t>
  </si>
  <si>
    <t>walli-422-131626</t>
  </si>
  <si>
    <t>Bonjour,
Souhaitant prolonger un prêt immobilier, ma banque réclame un courrier de METLIFE pour calculer le TEG. J'ai envoyé un mail dans ce sens au service client fin juin. A ce jour, après 4 mails renvoyés et une demi-douzaine d'appels aux réponses pleines de promesses, je n'ai toujours rien reçu et me retrouve bloqué avec ma banque. Je leur fais partir ce jour un courrier recommandé avec menace de bloquer le paiements de l'assurance. Je ne sais si cela est très réglo mais je ne vois guère d'autres solutions. 
Cette société METLIFE est une horreur sans nom.
Walter NAVARRA</t>
  </si>
  <si>
    <t>airbus-116736</t>
  </si>
  <si>
    <t>Étant en maladie depuis le 29/01/2021 j'ai donc fait déclencher l'assurance emprunteur pour longue maladie après la franchise de 90 jours et je suis très satisfait de la rapidité et du sérieux de cette assurance qui m'a très vite indemnisé je suis donc étonné des mauvaises appréciations.</t>
  </si>
  <si>
    <t>marie64122-116117</t>
  </si>
  <si>
    <t>Assureur injoignable en attente de remboursement aucune réponse à mes nombreux mails. 
Quant au téléphone, les opérateurs doivent être à l'étranger... on nous promet qu'un manager va rappeler... bien entendu personne ne se donne la peine de rappeler.
Je déconseille fortement.</t>
  </si>
  <si>
    <t>06/06/2021</t>
  </si>
  <si>
    <t>blanc-115839</t>
  </si>
  <si>
    <t xml:space="preserve">J ai envoyé à 3 reprises depuis mars2021 une demande de résiliation d assurance liée au remboursement total de mon crédit immobilier. Aucune réponse.
On me dit au téléphone que le mail va être traité, je n y crois pas trop!
Que faire ? </t>
  </si>
  <si>
    <t>03/06/2021</t>
  </si>
  <si>
    <t>thierry-97668</t>
  </si>
  <si>
    <t>il s'agit d'une assurance proposée avec un prêt de la caisse d'épargne en 2005.
Suite au remboursement total de mon prêt en 4/2020, la société METLIFE a continué les prélèvements.
Côté caisse d'épargne, ils indiquent ne pas être tenu de le faire puisqu'il ne s'agit pas du groupe CE. 
Côté METLIFE, leur site mentionne qu'il suffit d'envoyer un mail avec quelques informations  (https://www.metlife.fr/mes-demarches/assurance-emprunteur/remboursement-total-ou-partiel-snc/).
Mais au bout d'un mois et 3 mails, aucune nouvelle de cette société.
les mails ont bien été reçus et lus (les AR de lecture en font foi) mais les prélèvements se sont poursuivis et aucun retour de leur part pour valider la bonne prise en compte de ma demande. 
Bien évidemment  la demande de remboursement des prélèvements indus n'est pas traitée elle non plus.</t>
  </si>
  <si>
    <t>cat-97163</t>
  </si>
  <si>
    <t>Je me  fais violence pour mettre une etoile! à fuir pour les futures emprunteurs .
entreprise fantôme. j'ai renégocié un prêt et envoyé le nouvel l'échéancier prêt depuis 9 mois à metlife pour obtenir les nouveaux montants d'assurance prêt avec nouvel échéancier . j'attends encore, comme tout le monde .. je pense que je vais bloquer les prélèvements , le seul moyen de les faire bouger. je n'ose imaginer le désespoir de ceux qui ont affaire à eux en cas de décès...En plus il aparait que si l'on veut changer d assureur , il faut des documents de Metlife qu'on ne rEçois bien sûr jamais donc on est prisonniers .</t>
  </si>
  <si>
    <t>08/09/2020</t>
  </si>
  <si>
    <t>geo--95964</t>
  </si>
  <si>
    <t xml:space="preserve">Metlife fait des avenants sans nous avertir et augnemente la mensualité de 12 %.
Et bien sur impossible de les contacter  par téléphone au 0149024000 sur le numéro non surtaxé. </t>
  </si>
  <si>
    <t>05/08/2020</t>
  </si>
  <si>
    <t>gwen-90272</t>
  </si>
  <si>
    <t>Je suis en démarche de résiliation auprès de cet assureur et je m arrache lzs cheveux, plusieurs mail de résiliation avec les numéros de dossier ont été adressé avec le certificat d adhésion de la nouvelle compagnie et rien !!
Aujourd hui je ne peux même donner une date de prise d effet à la nouvelle compagnie et me retrouve dans la panade car en juillet mes prélèvements commence !!!
Metlife est complètement absent ou alors on nous fait payer un numéro de téléphone en 0800 sous prétexte du covid !!! C est abberant !</t>
  </si>
  <si>
    <t>06/06/2020</t>
  </si>
  <si>
    <t>juju83-86922</t>
  </si>
  <si>
    <t>tarif qui augmente sans information de leur part et surtout qui ne correspond pas à celui qui a été signé, service injoignable et numéro payant à des heures très serrées 9à 12 et 14 à 17....</t>
  </si>
  <si>
    <t>10/02/2020</t>
  </si>
  <si>
    <t>hugo-80443</t>
  </si>
  <si>
    <t>3 demandes par mails sans
Retour.</t>
  </si>
  <si>
    <t>26/10/2019</t>
  </si>
  <si>
    <t>bender-77636</t>
  </si>
  <si>
    <t xml:space="preserve">Plus de 3 mois et toujours pas d'arrêt des prélèvements après remboursement anticipé du prêt immobilier...
Au téléphone on vous dit qu'il faut un papier A , 1 semaine après un autre conseiller vous dit que c'est le papier B ....
Aucun suivi client, on doit vous envoyer un mail, 2 semaines il est toujours pas là...
Allez voir ailleurs vous trouverez très facilement mieux que ça.   </t>
  </si>
  <si>
    <t>tek-39827</t>
  </si>
  <si>
    <t xml:space="preserve">Cet assureur est catastrophique... Depuis des mois j'envoie des mails pour faire mensualisé un contrat et aucune réponse. Ce n'est pas la première fois que cela arrive. </t>
  </si>
  <si>
    <t>09/05/2019</t>
  </si>
  <si>
    <t>cronical-74774</t>
  </si>
  <si>
    <t xml:space="preserve">Bonjour, Je n'ai pour l'instant pas rencontré de problèmes avec Metlife. Certes les délais de traitement peuvent être longs mais les conseillers à qui j'ai eu à faire sont à l'écoute et font de leur mieux pour traiter les demandes rapidement. 
</t>
  </si>
  <si>
    <t>05/04/2019</t>
  </si>
  <si>
    <t>paris-paris-13-66838</t>
  </si>
  <si>
    <t xml:space="preserve">Ne rembourse pas les échéances prélevées en excès. Aucune discussion possible, n'ouvre aucun discussion alors qu'un autre projet d'assurance de pret est sollicité. Pompe à prime et c'est tout. </t>
  </si>
  <si>
    <t>13/09/2018</t>
  </si>
  <si>
    <t>sans-27750</t>
  </si>
  <si>
    <t>Contrat S200056368 Bientôt 5 mois (dans 6 jours) depuis ma demande et j'attends toujours un avenant de diminution de garantie suite à un remboursement partiel des capitaux assurés, et le remboursement de la cotisation induit ...... Service relation clientèle n'ayant aucune influence sur le gestion gestion et qui se borne à me dire "que ce service accuse quelques retards" ......   Et ce malgré plusieurs relances téléphoniques. De l'amateurisme à l'état pur.
Je ne peux que déconseiller fortement cette société qui doit connaître de gros problèmes de gouvernance.</t>
  </si>
  <si>
    <t>bill707-59186</t>
  </si>
  <si>
    <t>A éviter . Résiliation suite à un changement d'organisme bancaire demandée depuis 3 mois impossible. incompetence du service client qui malgré mes nombreuses relances n'a toujours pas arrêté les prelevements sur mon compte bancaire .il n'y a aucun suivi...</t>
  </si>
  <si>
    <t>marie-57787</t>
  </si>
  <si>
    <t>INCOMPETENT tout simplement, pas de suivi client, pas de réponse à nos questions. ils continuent de prélever alors que nos prêts sont remboursés et ce malgré nos demandes de résiliation</t>
  </si>
  <si>
    <t>03/10/2017</t>
  </si>
  <si>
    <t>patty-57056</t>
  </si>
  <si>
    <t>Délai de réponse trop long malgré les relances. A éviter.</t>
  </si>
  <si>
    <t>02/09/2017</t>
  </si>
  <si>
    <t>client49-56833</t>
  </si>
  <si>
    <t>A DECONSEILLER FORTEMENT. Aucune réponse de leur part pour avoir un document récapitulatif malgré des relances. Contrat en cours de clôture depuis des mois suite au rachat de mon prêt. Toutes les pièces sont en leur possession, j'ai du faire opposition et par contre je reçois un avis d'échéance de cotisation alors que c'est eux qui me doivent de l'argent. HONTEUX TOUT SIMPLEMENT</t>
  </si>
  <si>
    <t>23/08/2017</t>
  </si>
  <si>
    <t>philou1953-56192</t>
  </si>
  <si>
    <t xml:space="preserve">Très mal géré... Les remboursements d'assurance prennent des mois, alors que les documents ont été envoyés. On me dit que les documents nécessaires n'ont pas été reçus et ensuite Metlife s’aperçoit qu'ils sont bien arrivés. </t>
  </si>
  <si>
    <t>23/07/2017</t>
  </si>
  <si>
    <t>grazi-50216</t>
  </si>
  <si>
    <t>suite au décès de mon époux l'assurance Metlife auquel nous avons souscrit un contrat en cas de décès pour rembourser le créancier.
A ce jour 13/12 et après plus d'un moi d'envoi du dossier complet et les pièces justificatives en AR ainsi qu' un email pour savoir ou en étai celui ci, Je suis toujours sans réponse de rien ,sauf qu'on m'a renvoyée les chèques des mensualités de Mr et de Me ainsi un papier de résiliation et que de nouveau début décembre on me prélève de nouveau la mensualité de l'assurance ..
J'aimerais juste savoir ou en ai le dossier après plus de 40 jours.</t>
  </si>
  <si>
    <t>julien-49244</t>
  </si>
  <si>
    <t>Bonjour, sommes nous obligés de prévenir metlife lors d'une renégociation de crédit immobilier par la même banque? Dans cette diminutuion du taux d'emprunt, Faut-il favoriser une diminution du temp d'emprunt ou réduire juste les mensualités? A l'origine j'étais a temp plein (avec état de santé spécifique)et maintenant je suis en invalidité de type 1, mon nouveau état de santé est déclaré a metlife, mais refaire tout un dossier est très lourd (pour une révision du capital emprunté à assurer sans changer de banque) . Si je renégocie mon prêt avec la banque, je ferais des économies, mais j'ai peur qu'il me refasse un nouveau contrat avec des options diminuées ne reprenant pas mon contrat d'assurance initiale, qu'en pensez-vous?</t>
  </si>
  <si>
    <t>pbel-114030</t>
  </si>
  <si>
    <t>Déclaré invalide 3eme categorie par la cpam, suravenir assurance rechigne à appliquer les conditions générales de mon contrat collectif des assurés n°5007. A savoir invalidite  3eme categorie cpam = PTIA donc  prise en charge du capital restant du. Compliqué pour un invalide de se défendre face à un assureur qui n applique pas les conditions qu il impose</t>
  </si>
  <si>
    <t>Suravenir</t>
  </si>
  <si>
    <t>mme--107109</t>
  </si>
  <si>
    <t xml:space="preserve">Totalement nuls. 
a éviter. 
Vous êtes assurés et ils font tout pour ne pas vous indemniser. 
Passez votre chemin et prenez des vrais pros de l'assurance... </t>
  </si>
  <si>
    <t>18/03/2021</t>
  </si>
  <si>
    <t>lylac-96839</t>
  </si>
  <si>
    <t>Apres de mauvais conseils donnés par ma conseillère au CMB , j'ai la désagreable surprise d'avoir un doublement de ma franchise.
Voila plus 9 mois que je suis en arrêt et toujours aucun versement.
A quoi cela sert il de payer une garantie ?
Très insatisfaite de ma banque et de l'assurance emprunteur.
Je regrette vraiment d'avoir fait affaire avec le CMB et SURAVENIR</t>
  </si>
  <si>
    <t>31/08/2020</t>
  </si>
  <si>
    <t>ojonard-70604</t>
  </si>
  <si>
    <t>Cet assureur n'est bon que pour le prix. Pour tout le reste, passez votre route.</t>
  </si>
  <si>
    <t>gr-69855</t>
  </si>
  <si>
    <t>Lors de l'achat d'un véhicule mes parents ont contracté l'assurance décès sécurité sénior. Mon père est décédé la première année de cet achat et l'assureur ne veut pas prendre en charge. nous ne connaissons pas les causes du décès et ne les connaitrons jamais mais ils s'entêtent à réclamer une cause !!! Ceci malgrè un courrier très clair du médecin traitant. Assurance à fuir ++++ Ils m'ont clairement dit au téléphone que c'est une grosse somme à prendre en charge... Par contre, encaisser le prix de l'assurance ne leur pose pas de problèmes !!!</t>
  </si>
  <si>
    <t>03/01/2019</t>
  </si>
  <si>
    <t>oxpox-66012</t>
  </si>
  <si>
    <t>Suite à un remboursement de prêt relais, NAOASSUR ne m a pas remboursé les sommes indûment perçues. Pire, sans explication il m a prélevé plus de 500 Euros au lieu des 70 prévus. Personne ne répond aux demandes d'explications. Je n ai pas de nouvel échéancier. Je n ai aucune idée de combien sera mon prochain prélèvement en septembre. C est une honte. Le prestataire fournisseur de cette d'assurance CAFPI ne m apporte pas de réponse non plus et dit ne pas avoir de retour de leur part.</t>
  </si>
  <si>
    <t>07/08/2018</t>
  </si>
  <si>
    <t>nanou22-61300</t>
  </si>
  <si>
    <t>Fuir  cette assurance.  Prêt immobilier fait en 2010 avec  leur assurance emprunteur. Avril 2014 accident. Perte de l'usage de ma main gauche. Jusqu'ici indemnités prises en compte.. Début décembre courrier me demandant d'aller voir une psychiatre. J'appelle pour demander pourquoi réponse : c'est un médecin expert de l'assurance. Donc j'y vais car cela est compréhensible de leur part de demander d'aller voir un expert pour être indemnisé. Donc rdv le 29 décembre confiante.. Ma main est toujours paralysée. Sauf que c'était vraiment en psychiatre que j'étais convoquée... La ça n'est pas passé... Je suis invalide pas mal dans ma tête ..le jour ou le prêt doit être indemnisé rien sur le compte.. Je rappelle suravenir qui me dit qu'il faut attendre l'expertise du ' mèdecin expert' OK... J'attends...  Étant assuré a 50 % j'étais remboursé la moitié du prêt... Et bien plus maintenant. La psychiatre à décidé que j'étais 'soignée' sans main gauche mais soignée..explications : la dame est souriante et heureuse de vivre... Donc attention si vous devenez handicapés soyez très malheureux dans votre tête.. Je n'en reviens toujours pas..  Incroyable .. Je vais faire appel à un avocat car ce n'est pas logique qu'une psychiatre décide si je suis invalide ou pas... Assurance a fuire... Ce sont des banquiers qui ne pensent qu'a mettre les assurés dans la' misère '</t>
  </si>
  <si>
    <t>10/02/2018</t>
  </si>
  <si>
    <t>locamo-59442</t>
  </si>
  <si>
    <t xml:space="preserve">surtout si vous prenez une assurance emprunteur, ne decedez pas. le service succession et l'ass suravenir ne veulent pas payer, cherchent la petite bête et sont incompétents au possible </t>
  </si>
  <si>
    <t>06/12/2017</t>
  </si>
  <si>
    <t>niko94370-85357</t>
  </si>
  <si>
    <t>Aucun respect de ce qui avait été négocié avec la courtière concernant notre emprunt, aucune réponse à nos multiples relances concernant les erreurs dont nous sommes victimes de la part de la BNP et de Cardiff . Une banque qui ne tient pas ses engagements, à fuir . Nous allons nous empresser de changer d'assurance emprunteur dès que possible ,idem pour l'assurance habitation qu'ils vous obligent à prendre chez eux lors d'un emprunt et qui est 3 ou 4 fois plus chères que celles des comparateurs.</t>
  </si>
  <si>
    <t>Cardif</t>
  </si>
  <si>
    <t>28/09/2021</t>
  </si>
  <si>
    <t>libellule100--132627</t>
  </si>
  <si>
    <t>Je suis en arrêt de travail depuis plus de trois mois, j’ai déclaré ma situation auprès de Cardif le 1er septembre on me répond que ma mensualité de septembre ne sera pas prélevée ce que je trouve très étonnant, je demande les démarches à effectuer pour la suite de min dossier, on me répond que l’on ouvre un sinistre et que je vais recevoir un dossier sous 48 heures par voie postale. mais aujourd’hui en ne voyant toujours rien arriver au courrier je les appelle, nous n’avons pas de trace de votre demande, cela ne laisse rien présager de bon pour la suite.
Quelqu’un a t’il déjà été dans ce cas de figure ?</t>
  </si>
  <si>
    <t>deuss-122462</t>
  </si>
  <si>
    <t xml:space="preserve">Bonjour
Franchement vous m'avez bien fait peur, j'ai commencer à bien flipper avec vos périples, j'ai vraiment pas de chance dans ma vie je précise mais perso j'ai envoyer les documents directement sur leurs site et non par courrier j'ai reçut le montant correspondant à l assurance vie de ma maman en 10 jours en renvoyant bien les documents correctement à chaque fois, je ne vous juge pas car je ne suis pas dans vos cas, mais merci Cardif j'ai rien à gagner à mettre 5 etoiles mais je remercie fortement BNP cardif pour mon cas. Si ça peut éventuellement rassuré certain parce que les gars j'ai pas dormis quand j'ai lu les récits d ici... Et je sais que ya vraiment des cas, entre les haineux, la concurrence et les gens qui sèche les chats au micro-ondes ça fait beaucoup...
Peace </t>
  </si>
  <si>
    <t>06/07/2021</t>
  </si>
  <si>
    <t>alienb54-104052</t>
  </si>
  <si>
    <t>Ils jouent sur le temps en s'appuyant sur la lassitude des assurés. L'ignominie de ce groupe est à vomir. Et je ne cocherai pas le souhait que mes coordonnées leur soient transmises par peur de représailles et menaces. Car oui c'est leurs pratiques</t>
  </si>
  <si>
    <t>12/02/2021</t>
  </si>
  <si>
    <t>alain62300-98443</t>
  </si>
  <si>
    <t xml:space="preserve">suite à votre décision sur mon dossier je me suit pas en accord avec vous en effet vous me dites que je n'ai pas déclaré mon traitement pour ma tension quand j'ai constituais mon dossier de prêt avec le commerciale il na dit que pour sa se n'été pas nécessaire et que à la signiature personne de domifinance ou de de vous même CARDIF  ne nous ai envoyé de courrier dans ce sens Comment voulez vous que je saches? Mais ma demande ne concerne en aucun cas un problème avec ma tension mais un problème avec de douleur avec ma hanche gauche je suis maintement obligé de marcher avec des cannes donc je pense que sa ne serre a rien de payé une assurance si celle si ne prend pas en compte quand vous avais un problème de santé  et si je meurt ma femme devrais continué a payé le prêt parce que nous avons pas mi mon traitement pour ma tension ! et si suis a mon problème de hanche je deviens INVALIDE je devrais continué a payé ? avec cette petite rente d'invalidité. je pense que je vais aller voir la maison de la justice sur mon secteur Lens 62300 voir un juriste et un avocat car je payé tous les mois mes traites ainsi que celle de l’assurance qui ne me me serve a rien donc je vais demandais le remboursement de cette cotisation assurance je ne suis a votre dispersion même pour une expertise sur mon secteur si cela peut permettre une avancée dans mon dossier de pris en charge . Juste pour information pour le prêt de ma maison il n'y a pas u de problème par la société CNP mais par compte par votre société CARTIF vraiment la galère. Je vais aussi écrire partout pour expliqué mon problème et je vais aller voir aussi  60 million de consommateur  ASSOCIATION POUR L'INFORMATION ET LA DEFENSE DES CONSOMMATEURS
63, Rue René Lannoy
BP 176
62303  LENS Cedex
Je reste a votre disposition maintenant a vous de voir votre position sur mon dossier
                           cordialement   </t>
  </si>
  <si>
    <t>desabuse82-100619</t>
  </si>
  <si>
    <t xml:space="preserve">Triste de lire autant de commentaires négatifs, surtout lorsque l'on est concerné par un accident de la vie! En maladie depuis fin mai, à ce jour le délai de carence de 90 jours est très largement dépassé, voila plusieurs mois que rien ne se passe!. A chaque appel de ma part, de nouveaux papiers et justificatifs me sont demandés...pour rien. Rien ne se passe, aucune compassion, pas de conseillers attribué. Je ne peux que me reconnaître dans les commentaires concernant la Cardif, organisme à la limite de l’honnêteté. Votre note de 1.6 sur le Net est même bien large eu égard a vos prestations. </t>
  </si>
  <si>
    <t>bra-100401</t>
  </si>
  <si>
    <t>Assureur à fuir absolument.
Je suis en arrêt maladie depuis janvier 2020 j'ai envoyé tous les documents demandès mais bizarrement à chaque fois on vous demande un nouveau document afin de faire trainer les choses et nous faire abandonner mais je ne lacherais rienJ'ai fait plusieurs courriers en recommandé mais aucun remboursement depuis.
C'est une honte,on paye des assurances hors de prix mais lorsqu'il s'agit de nous rembourser alors que l'on est dans notre bon droit plus rien du tout.</t>
  </si>
  <si>
    <t>20/11/2020</t>
  </si>
  <si>
    <t>sobel-99956</t>
  </si>
  <si>
    <t>Bonjour, je ne recommanderai la CARDIF à personne.
Mon mari est décédé depuis plus de 4 mois, la CARDIF a indemnisé la banque environ 2 mois après, mais elle continue encore aujourd'hui à prélever la cotisation d'assurance de feu mon mari, alors qu'elle ne devrait prélever que la mienne.
Ma situation financière est très précaire et je suis prélevée tous les mois de 130 €, un montant indu. On ne peut les joindre par téléphone, car on attend 20 mn et ça raccroche.
Aucune réponse à mes mails de relance.
Je ne sais plus quoi faire.</t>
  </si>
  <si>
    <t>10/11/2020</t>
  </si>
  <si>
    <t>william-98643</t>
  </si>
  <si>
    <t xml:space="preserve">Une Catastrophe, a chaque appel vous avez un message différents.Le dossier d'expertise médicale mandaté est arrivé au service réclamation mais pas transmis au service indemnisation…… Plusieurs appels des informations différentes, des délais de réponses a rallonge. il ssont dans l'incapacité du fournir un double du contrat emmargé……. malgrés plusieurs demande… enfin j'en passe une catastrophe. J'invite d'ailleurs toutes personnes en litige avec cette assurance a me contacter. Juriste de formation je pense que nous arriverons plus a obtenir des réponses a nos questions en regroupement nos doléances et pourquoi pas envisagé un recours collectif…. au vue des lectures sur ce site </t>
  </si>
  <si>
    <t>12/10/2020</t>
  </si>
  <si>
    <t>sam-97403</t>
  </si>
  <si>
    <t>Ils te demandent des documents et des formulaires a remplir jusqu'a là tous va bien ils disent que le dossier va être traité et attendre 15 jours ensuite passé ce délai il te redemande un document que tu a deja par envoye exemple :attestations d'employeur ou questionnaires médical tu attend encore bien 1 semaine 10 jour ils te redemande un autres document ils font que sà faire traîner alors que tu a tous donner c fini je prendrais plus cette assurance ils ne sont pas sérieux j'attends toujours sa fait 1 mois.</t>
  </si>
  <si>
    <t>titi-94970</t>
  </si>
  <si>
    <t xml:space="preserve">en arrêt depuis janvier 2020  cette assurance nous dit que l'arrêt de travail ne correspond pas au contrat signer on peux  s'asseoir sur la prise en charge des échéances  de prêt  de toute façon quand on paye tout va bien quand on a quelque chose rien ne va cette assurance sont comme la plus part de celle ci elle profite du malheur des gens assurance a éviter </t>
  </si>
  <si>
    <t>23/07/2020</t>
  </si>
  <si>
    <t>mathw-91985</t>
  </si>
  <si>
    <t>La pire expérience de souscription de ma vie. Nous avions avec ma compagne le projet d'investir dans du locatif afin de construire un patrimoine et des revenus passifs en vue des études de nos enfants et de notre retraite future.
Nous avions donc entamé les démarches pour acheter un bien immobilier à très fort potentiel.
Pour des raisons de santé liées à la grossesse passée de ma compagne, il a été nécessaire de refaire + de 5 rdv médicaux successifs dont deux examens avec prélèvements, les informations fournies chaque fois n'étant jamais suffisantes pour le "médecin conseil" de cardif. Au final le projet de financement a mis 6 mois au total, car au bout de 5 mois ils se sont rendus compte que finalement il n'était pas indispensable que nous soyons assurés tous les deux à 100%. Je me suis donc retrouvé à payer des indemnités de retard aux vendeurs uniquement car Cardif &amp; BNP Paribas ont en premier lieu refusé d'envisager de revoir le plan de financement en n'assurant que moi, malgré mes appels répétés à accepter toute condition qu'ils voudraient nous imposer pour peu qu'ils nous permettent de concrétiser notre projet rapidement.
Au final, nous avons refait tout le dossier de financement en procédure d'urgence, ce qui m'a bien montré que s'ils avaient entendu mes appels à négocier les conditions, tout aurait pu être bouclé en 2 mois au lieu de 6.
En résumé, j'ai signé un compromis en novembre pour une signature définitive fin février ... qui a été repoussée fin mai, j'ai perdu des sommes considérables à l'échelle de mon investissement à cause de leur surdité et de l'absence totale de dialogue.</t>
  </si>
  <si>
    <t>23/06/2020</t>
  </si>
  <si>
    <t>thierry-seven-90116</t>
  </si>
  <si>
    <t>Depuis le 15 mai 2020, il a été donné une mainlevée d'un nantissement. Depuis cette date je n'ai aucune possibilité de contacter CARDIF pour clôturer mon contrat. Le standard donne un numéro de téléphone, ou personne ne répond depuis deux mois. C'est inadmissible</t>
  </si>
  <si>
    <t>02/06/2020</t>
  </si>
  <si>
    <t>marie-89342</t>
  </si>
  <si>
    <t xml:space="preserve">J'ai fait une demande pour une ipp, déclaration du médecin, relevé d'indemnisation sécurité sociale, expert, réponse au bout de 6 mois, refus pour exclusion de garantie, heureusement que je sais lire, aucune exclusion, actuellement le dossier est retourné au service médical, tout est bon pour arriver au terme du prêt, mon avocat s'en charge surtout que j'ai pris l'option incapacité de travail ? En comparaison aux autres assurances il y a de la marge, l'assureur de un. Autre prêt avec les mêmes garanties a directement procédé à l'indemnisation, à quoi ça sert de mettre les gens dans l'embarras et en arrivé à des procédures ?
</t>
  </si>
  <si>
    <t>lorelei-89242</t>
  </si>
  <si>
    <t>LAMENTABLE A FUIR</t>
  </si>
  <si>
    <t>29/04/2020</t>
  </si>
  <si>
    <t>val59158-88929</t>
  </si>
  <si>
    <t>Un combat qui dure depuis 1an maintenant, à base de dossiers envoyés par recommandé pour que l'on m'ignore ou me fasse croire que ceux-ci n'ont pas vraiment été envoyés.
Appels téléphoniques, mails, courriers, rien n'y fait, il font tout pour éviter le contact et essayer de m'aider.
L'un met la faute sur un collègue, l'autre sur leur site internet, la seule solution qui me vienne en tête est l'appel à un avocat, je n'en peux plus et je pense que c'est le seul moyen de faire avancer les choses.</t>
  </si>
  <si>
    <t>16/04/2020</t>
  </si>
  <si>
    <t>swansea44-81749</t>
  </si>
  <si>
    <t>Depuis mars 2010 je dois etre pris en charge par une assurance emprunteur 4217 dans le cadre d'un pret habitat assuré pour le décès l'invalidité totale et partielle à 100 % .
je suis en arret maladie depuis cette date et meme en invalidité depuis juin 2012.
Cardif pour ce soustraire à ses obligations contractuelles me présente un avenant pour une assurance 4208 qui ne correspond pas a celle souscrite.
j'ai obtenu une décision de justice qui confirme que je suis bien couvert pour le décès invalidité totale et partielle.
je suis un ancien cadre de la BNP et je suis scandalisé devant le non respect de cardif du contrat signé
je me pose des question sur quelle doit etre le respect de cardif devant un assuré qui ne connait pas forcement l'ensemble de ses droits.
je peut donner un seul conseil a un éventuel futur assuré  faire très attention a sa santé et surtout ne jamais souscrire de contrat chez Cardif assurance emprunteur s' il veut pouvoir vivre dans la sérinité</t>
  </si>
  <si>
    <t>10/12/2019</t>
  </si>
  <si>
    <t>barake-80758</t>
  </si>
  <si>
    <t xml:space="preserve">Bonjour en arrêt pour un cancer j'ai déposé ma demande de prise en charge depuis j'assume mes crédits et je paie mes cotisations d assurance cardif groupe BNP Paribas ils ne répondent pas ils ne reçoivent pas les mails ni les courriers suivis lis n'ont pas d'ordinateur et le personnel qui vous répond au téléphone ne fait preuve d'aucune empathie et c'est des menteurs bien formés
je prépare un dossier j'ai un eudm au cerveau et beaucoup de mal à me concentrer
Mais déterminé à faire valoir mes droits je me bas
C'est scandaleux mon seul combat devrait être la maladie
je me réveil en pensant à toi Cardif groupe BNP Paribas </t>
  </si>
  <si>
    <t>florian65-80738</t>
  </si>
  <si>
    <t>Aucune réponse au téléphone.
J'essaye de les appeler suite à un sinistre pour savoir où ça en est. Le répondeur auto me raccroche systématiquement au nez. Je passe par un autre chemin, 1 minute d'attente annoncée ... au bout de 20 minutes d'attentes je décide de raccrocher.
L'assurance de la personne, à qui j'ai casser le smartphone, essaye de les joindre depuis environ 2 mois pour obtenir juste 1 document qui permettrait à mon amie d'être rembourser par son assurance mais, là aussi, pas de réponse ...</t>
  </si>
  <si>
    <t>karinette-80152</t>
  </si>
  <si>
    <t>Bonsoir
Quand je lis tous ces messages je m inquiete vraiment 
Je viens de faire ma declaration documents envoyés hier en rar mais avec beaucoup de retard puisque arretee depuis novembre 2017 avec arret temps plein mi temps et de nouveau temps plein 
Apres contact avec cardif ils m ont assure qu il fallait que je fasse la declaration car j avais des droits et qu il faisait la retroactivite j ai plusieurs pathologie mais dont une qui fait partie des exclusion mais au telephone le conseiller m a assure que si c etait pris en charge mes autres pathologies elles ne sont pas dans les exclusions 
J ai donc pris rdv avec mon medecin qui a rempli tous les documents et j ai tout renvoye hier Cependant quand je lis tous vos avis je m inquiete et me dis qu on va surement me demander d autres documents qui auraient pu l etre en meme temps que ceux que je viens de renvoyer et que au final au vue de tous vos commentaires on va trainer longuement a me demander d autres pieces que j aurais pu fournir de suite et donc faire trainer. Voir meme essuyer un refus malgre des pathologies multiples et donc perte de temps pour chacun J espere me tromper et ne pas avoir à rejoindre le groupe des mecontents car j ai appele a plusieurs reprises et etais bien reçu meme si quand je demande si je dois joindre d autres pieces on est incapable de me dire car dixit la conseillere elle n est pas medecin mais elle doit bien savoir si d autres pieces sont necessaires Cela dit j ai reçu le dossier à remplir plutot rapidement et etais bien accueillie telephoniquement meme si on m a dit que l une de mes pathologie etait prise en charge alors que sur le document recu indique le contraire mais mes autres pathologies elles ne sont pas dans les exclusions Donc affaire à suivre j espere avoir un retour rapidement même si je sais que j'ai beaucoup tarde a declarer pensant ne pas y avoir droit mais apres discussion avec plusieurs personnes et ma conseillere on m a dit qu il fallait que j avais droit</t>
  </si>
  <si>
    <t>17/10/2019</t>
  </si>
  <si>
    <t>marscog-80127</t>
  </si>
  <si>
    <t>Chaque mois j'envoie le doc demandé le 1er. Je dois appeler 2 fois chaque mois pour que mon dossier avance. Le mois dernier j'ai été indemnisé le 24 du mois, ils avaient perdu mon dossier. Si je n'avais pas appelé rien ne se serait passé. Chaque mois je suis à découvert à cause des ces retards, mes agios ils s'en foutent !! Les délais de payement s'allonge chaque mois, aujourd'hui le 16 rien..</t>
  </si>
  <si>
    <t>16/10/2019</t>
  </si>
  <si>
    <t>oncleblu-67784</t>
  </si>
  <si>
    <t xml:space="preserve">Bonjour Pour mémoire Mon épouse a eu un cancer du sein droit de type carcinome globulaire infiltrant avec le système lymphatique de son bras droit. Après 3 ans d indemnisation pour arret de travail mon épouse est reconnue par la cpam en invalidité cat2 et bien sur en perte de son emploi
Aujourd hui mon épouse a été convoquée par un médecin expert de Cardif pour évaluer après les 3 ans de sa prise en charge et le faire passer en IPT
Apres examen rapide des documents et sans l'ausculter le médecin juge qu elle peut reprendre un travail à mi temps
 Facile lorsque nous avons 54 ans Disons un travail adapté du style répondre au tel par un employeur gentil qui lui achete un casque et un micro car mon épouse a perdu 20 pourcents de la mobilité de son bras droit
 Comment peut on dire cela d une personne qui a toujours une épée Damoclès sur sa tête
 son oncologue refuse de lui enlever son cathéter il juge trop tot de le retirer qui est toujours en traitement de micro chimio et surtout qui est en suivi avec un chirurgien pour sa deuxième phase de reconstruction des seins 
Une personne surtout une femme qui pour travailler voudrait avoir un physique présentable Qui n'est pas bien dans sa peau depuis son cancer et son ablation qui ne dort plus beaucoup bouffée de chaleur mal dans les membres inferieurs etc
 J'espère que la cardif va rendre un avis favorable à ce dossier et que ce dossier passe comme ils n'ont expliqué au telephone en IPT
De plus je n'ai pas qu'une seule assurance chez eux et il serait dommage que je les fasse annuler pour éventuellement avoir des soucis de remboursement lorsque j en aurai besoin
A suivre
</t>
  </si>
  <si>
    <t>23/09/2019</t>
  </si>
  <si>
    <t>avopan-78305</t>
  </si>
  <si>
    <t xml:space="preserve">En février, mon épouse a été victime d'un avc avec hémorragie. Je contacte CARDIF pour des crédits qu'elle a à BNP et CETELEM et ils refusent la prise en charge prétextant qu'au moment de l'accident elle ne travaillait pas. Si une personne victime d'un avc ne peut pas être reconnue en incapacité Temporaire de travailler, qui peut l'être ? </t>
  </si>
  <si>
    <t>09/08/2019</t>
  </si>
  <si>
    <t>ccool-77305</t>
  </si>
  <si>
    <t xml:space="preserve">Je paye quasiment 200 euros mois d'assurance emprunteur avec des indemnités journalières dans ce contrat je me retrouve arrête 3 mois et demi et en plus de leur lenteur de service j'ai repris depuis 3 mois je viens de recevoir un refus de prise en charge je déconseille cette assurance et vais les attaquer en plus d'aller voir ufc que choisir </t>
  </si>
  <si>
    <t>sad-76845</t>
  </si>
  <si>
    <t xml:space="preserve">Incapable de donner des réponses claires et précises sur nos demandes, un malheureux pret relais de 3 semaines devient un enfer à vivre. Lorsqu'on est agé de 70 ans impossible d'être traité correctement à croire qu'on est des pestiferés qui allont claquer demain, c'est une honte de balader les gens comme ça !!! 
Site extrêmement mal fait, aucun contact possible autre que par courrier ou téléphone, et au téléphone on vous dit toujours qu'un document va bientôt arriver, 3 jours plus tard absolument rien. Vous donnez les documents demandés mais rien n'y fait, on vous demande toujours autre chose. Bref fuyez vous qui cherchez une assurance de crédit, FUYEZ !!! </t>
  </si>
  <si>
    <t>17/06/2019</t>
  </si>
  <si>
    <t>larenardiere-75589</t>
  </si>
  <si>
    <t xml:space="preserve">Depuis le 1ere octobre en arrêt pour un cancer j'ai fait les démarches immédiatement auprès de cardiff afin de ne pas avoir de problème financier car déjà assez de soucis avec la maladie.
Le 22 janvier j'ai renvoyé un document médical et depuis rien on me répond toujours que c'est en examen au service médical. 
Et en attendant je paie toujours mes échéances. 
Malgré des relances téléphoniques et des mails. 
En plus des problèmes de santé j'estime que l'on ne devrait pas avoir à gérer les problèmes administratifs... </t>
  </si>
  <si>
    <t>03/05/2019</t>
  </si>
  <si>
    <t>bichonroux78-75290</t>
  </si>
  <si>
    <t>MIEUX VAUT ETRE BIEN PORTANT. incapable d etudier un dossier et d apporter des solutions. ne font que faire perdre du temps en vous baladant de commission 1 en commission 2 et nouvelle commission pour arriver in fine a un refus. aucune creativité bien que client BNP depuis 1996/  assureur nul</t>
  </si>
  <si>
    <t>23/04/2019</t>
  </si>
  <si>
    <t>valou-75042</t>
  </si>
  <si>
    <t>Nul très déçue, j'ai perdu mon 
Emploi et je continue a payer les échéances malgré mon assurance perte emploi que je paie depuis 2015, les conseillers au téléphone me certifient que je vais être remboursé sur mon compte perso mais non ils envoient l'argent à Bnp donc pas la peine de prendre une assurance</t>
  </si>
  <si>
    <t>13/04/2019</t>
  </si>
  <si>
    <t>sarah-74857</t>
  </si>
  <si>
    <t xml:space="preserve">Cela fait près de 5 mois que j'ai effectué une demande de prise en charge de mon assurance  toujours aucune prise en charge ils me demandent à chaque fois un papier supplémentaire et une fois ledit papier envoyé toujours une nouvelle excuse </t>
  </si>
  <si>
    <t>08/04/2019</t>
  </si>
  <si>
    <t>alveyronnais-74589</t>
  </si>
  <si>
    <t>remboursent quand ils veulent,jamais à date fixe! il faut attendre un mois avant les premiers remboursements qui s'ajoutent aux 90jours de carence (vous avez intérêt a avoir les reins solides) les conseillères téléphoniques sont patientes par contre ils encaissent à dates fixes...</t>
  </si>
  <si>
    <t>29/03/2019</t>
  </si>
  <si>
    <t>baptiste-57068</t>
  </si>
  <si>
    <t>Je suis en invalidité 2. Le médecin "expert" de la Cardif a déterminé mon taux à moins de 66% alors qu'il ne m'a même pas examiné et que ce n'est pas un spécialiste de ma maladie. Du coup j'ai également reçu la fameuse lettre dont parlent des centaines d'assurés en invalidité. Je ne peux plus travailler, ma pension d'invalidité est inférieure à mon crédit logement. Je pense que c'est la fin. Et pourtant je croyais être assuré contre la maladie...merci CARDIF.</t>
  </si>
  <si>
    <t>09/03/2019</t>
  </si>
  <si>
    <t>melaniie26-62633</t>
  </si>
  <si>
    <t>decue, cela fait pratiquement 1an que j'ai fais la demande pour un dossier perte d'emploi aupres de mon conseiller BNP. je l'ai recu il y a seulement 
5mois environ. depuis je paie mes mensualité de mon emprunt avec beaucoup de dificultées. pourquoi souscrire et payer une assurance si le jour J on vous laisse en galere !!?</t>
  </si>
  <si>
    <t>15/02/2019</t>
  </si>
  <si>
    <t>dlauyan-70235</t>
  </si>
  <si>
    <t>En arrêt de travail depuis 10 moi, j ai fait une demande de prise en charge de l'assurance....Pas de soucis, les prelevements sont suspendus le temps de renvoyer le dossier..
Dossier renvoyé rapidement, avec une confirmation de la reception des documents...depuis des demandes de documents complémentaires ne cessent d'arriver, mon medecin en a ras le bol de les remplir...toujours pas de nouvelles...jusquà une menace d'inscription banque de france de la part de cetelem .. j 'arrive a m arranger avec eux mais cardiff c'etait engagé a traiter rapidement mon dossier suite à ça....et toujours rien...j'ai fait ma demande debut aout 2018... j 'en arrive a desesperer !!! quel recours ? association consommateur ? tribunal ?</t>
  </si>
  <si>
    <t>15/01/2019</t>
  </si>
  <si>
    <t>jeanluc41-69471</t>
  </si>
  <si>
    <t xml:space="preserve">Depuis trois ans en arrêt à cause d'une opération du dos et différents soucis de santé,  seulement cette année est reçu la documentation pour une éventuelle prise en charge de mon prêt perso et la c'est grâce à mon conseiller bancaire , sauf qu'aujourd'hui je suis en invalidité et il paye une partie mais je doit continuer à payer mes mensualité je ne comprend pas trop et on me dit que c'est normal pour rembourser plus vite , j'ai payer cette assurance justement au cas où quelque chose arriverai et je vois que ça ne sert strictement à rien , a par couvrire la banque assurance nul nul nul </t>
  </si>
  <si>
    <t>17/12/2018</t>
  </si>
  <si>
    <t>cedric-nouvel-68965</t>
  </si>
  <si>
    <t>refus de prise en charge d'un contrat accident de la vie sans savoir les causes du décès. et concernant  un contrat d'assurance pour un prêt, voila 4 mois qu'ils me demandent les mêmes documents, deja envoyés plusieurs fois . ils retardent les démarches.</t>
  </si>
  <si>
    <t>27/11/2018</t>
  </si>
  <si>
    <t>marsouin-222-68707</t>
  </si>
  <si>
    <t>arrêt subitement des indemnisations ITT au bout de 42 mois payé, toujours en arrêt de travail motif par téléphone d'un salarié de cardif erreur de leur part on devais vous payé que douze mois ,il ne respecte pas du tout les clauses du contrat je vais saisir la médiation et faire joué ma protection juridique. incompréhensible.</t>
  </si>
  <si>
    <t>18/11/2018</t>
  </si>
  <si>
    <t>villaume-68680</t>
  </si>
  <si>
    <t xml:space="preserve">bonjour, je me range tout à fait au côté des nombreux commentaires concernant le traitement des dossiers d indemnités de la part de cardif suite à incapacité de travail. Trois semaines après la déclaration de sinistre je reçois enfin le dossier à constituer afin d être pris en charge je leur joints toutes les pièces demandées (je précise que j ai deux contrats un couvrant 75% de mes traites et le second les 25% ) Je mets les pièces dans la même enveloppe avec les deux numéro de dossier. Trois semaines plus tard je reçois un courrier me réclamant le certificat médical soit disant manquant pour un des deux dossier et deux jours plus tard nouveau courrier me réclamant le tableau d amortissement du prêt qui lui est manquant pour le deuxième dossier BIZARRE QUE CE NE SOIT PAS LA MEME PIECE QUI MANQUE DANS LES DEUX DOSSIERS ??? (à signaler au passage que le deuxième courrier est daté du 9 alors que le cachet de la poste est lui au 13, la poste la plus proche doit être bien loin ! ) Je réuni mes force et j appelle (moyennant la ruine de mon forfait à écouter un concerto de musique classique pendant un quart d' heure ) quand on finit par me répondre j explique à la personne en ligne mon cas et lorsque que je lui fait la remarque que c est tout de même bizarre que ce ne soit pas la même pièce qui manque dans les deux dossiers et, que concernant le tableau d amortissement, mon prêt immobilier étant souscrit chez BNP Paribas dont Cardif est une filiale il aurait tout à fait la possibilité de se le procurer en interne je me suit fait tout simplement fait raccroché au nez ! Ceci par une personne qui à quand même un emploi grâce aux clients u il est sensé renseigner INTOLLERABLE ! A part gagner du temps et nous faire cumuler les frais et les tracas je ne vois pas d autre explications. </t>
  </si>
  <si>
    <t>daguet-68229</t>
  </si>
  <si>
    <t>Pret souscrit le 21/07/2017. J'ai été mis en invalidité catégorie 2 le 1/06/2018 après un arrêt de travail du 14/05/2018 (jamais arrêté avant) A ce jour on me demande toujours des documents ... et toujours pas de prise en charge. C'est pénible je me trouve en face d'un assureur qui met un maximun de mauvaise volonté pour effectuer une prise en charge</t>
  </si>
  <si>
    <t>31/10/2018</t>
  </si>
  <si>
    <t>sandra-68051</t>
  </si>
  <si>
    <t>Bonjour,
En arret maladie pour depression depuis le 17 janvier 2018 je demande à cardif si cette pathologie est prise en charge on me dit oui on m’envoie le dossier à remplir ou je fournis toutes les pieces demandees pour au final un refus sans savoir pourquoi ni les conditions de leur contrat je suis degouter de cette assurance</t>
  </si>
  <si>
    <t>25/10/2018</t>
  </si>
  <si>
    <t>abbealaoui-67975</t>
  </si>
  <si>
    <t>.......</t>
  </si>
  <si>
    <t>sardine-67947</t>
  </si>
  <si>
    <t>Mécontentement de prise en charge du sinistre ITT par cardif via le courtier multi impact. Délais de traitement 4 mois pour au final envoyer un courrier type de refus de prise en charge invoquant les conditions générales :les affections psychiques et leurs conséquences sont prise en charge si celles ci ont nécessité une hospitalisation de plus de 15 jours consécutifs dans les six mois suivant le premier jour d arrêt de travail.j ai été hospitalisée 2,5 mois. Ma demande d hospitalisation a été faite au psychiatre quelques mois après mon arrêt mais mon hospitalisation effective a eu lieu 7 mois après mon arrêt de travail! Cardif a bien eu les bulletins d hospitalisation  . La dépression n est pas une maladie qui s apprécie en temps, elle évolue sournoisement. Le principe de fonctionnement de cardif est trés simple: refuser la prise en charge de principe . Je constate sur ce site que je ne suis pas la seule à rencontrer ce problème. Je ne vais pas hésiter à contester la décision de cardif en envoyant un courrier au service qualité réclamation puis si je n obtiens pas gain de cause, je saisirais le médiateur des assurances et d aller en justice .je n hésite pas à leur faire mauvaise presse.et même à résilier mon contrat si cardif ne fait rien.</t>
  </si>
  <si>
    <t>deixa-66654</t>
  </si>
  <si>
    <t>pas moyen d'obtenir une personne compétente du service indemnisation au tél, dossier qui traine depuis 4 mois...</t>
  </si>
  <si>
    <t>yoanneric06-66001</t>
  </si>
  <si>
    <t>Catastrophique !!
une véritable a**** ... 
Baladé entre Cardif , Cetelem et autres services, dossier pas enregistré, pas de déclaration de sinistre en ligne , seulement par courrier, sinistre toujours pas pris en charge 3 semaines après la sortir de l'hopital ..  et des heures perdues au téléphone ...
jamais la même explication, chaque intervenant vus raconte une histoire différente ...
refus de recherche de mon dossier par nom : prenom : adresse ... il faut le numéro de dossier !
pratique quand on est dans un hopital !
malgré des demandes par téléphone et courrier en plusieurs années je n'ai jamais reçu le duplicata des conditions générales du contrat !!</t>
  </si>
  <si>
    <t>04/09/2018</t>
  </si>
  <si>
    <t>bibi26-66114</t>
  </si>
  <si>
    <t xml:space="preserve">Arrêt maladie longue durée puis passage en invalidité 2 par CPAM en juin 2018 ...2 mois après le dépôt de dossier Cardif m'indemnisait ... difficile de faire plus rapidement .. merci Cardif </t>
  </si>
  <si>
    <t>koala-65759</t>
  </si>
  <si>
    <t>J'ai essayé de rejoindre Cardif dans le cadre d'un changement d'assurance emprunteur. 
Un premier devis a été fait par téléphone, il aurait dû m'être envoyé par mail. 10 jours après, pas de réponse, je les relance par téléphone. Le même conseiller que lors de mon 1er appel me soutient que je n'ai jamais fait de devis chez eux. Je dois tout recommencer. Encore une fois, je ne reçois pas de mail. Il faut que j'envoie moi-même un message pour avoir enfin un devis écrit.
Lorsque je me rapproche de mon assureur actuel, celui-ci me demande à ce que Cardif leur envoi le devis par RAR pour pouvoir se prononcer sur le niveau de garantie. Mon interlocuteur, toujours le même, refusera catégoriquement de faire cet effort, sous prétexte que "ce n'est pas comme ça que ça marche". Soit. Ils n'ont pas besoin de nouveaux clients apparemment. 
J'ajoute que ce conseiller maîtrisait très difficilement le français.</t>
  </si>
  <si>
    <t>25/07/2018</t>
  </si>
  <si>
    <t>fern-56917</t>
  </si>
  <si>
    <t xml:space="preserve">bonjour, 
je suis en arrêt maladie depuis le 18/11/16 suite à une uncho-discarthrose. 
Le 7/09/17 je me suis fais opérer des cervicales, à ce jour, les douleurs que j'avais avant l'opération au bras droit "type décharges électriques" sont tjrs là, de plus, depuis un peu plus d'un mois une même douleur au bras gauche certes moins forte est apparue ainsi que des vertiges lorsque je baisse ou lève la tête. 
L'assurance CARDIF avait bien pris en charge mes remboursements de crédits, jusqu'à il y a un mois où ils m'ont dit qu'ils ne les prenaient plus en charge car les 12 mois étaient arrivés à échéance. le problème, c'est qu'a ce jour je suis toujours en arrêt maladie et payé par la CPAM (pas le même salaire que quand je travaillais), donc depuis le 18/11/16 ma situation n'a pas changé et suite aux vertiges je ne pense pas reprendre mon travail tout de suite. Vu ma situation financière plus que délicate, je ne pourrais pas honorer mes crédits puisque je ne perçois un peu près de la moitié de mon salaire initial (entre 650e et 700e).
Je demande à une personne qui travaille à l'assurance CARDIF s'il y a une solution à mon problème?
Tout problème a sa solution, quel recours ais-je? puis je faire une autre demande de prise en charge puisque je suis tjrs en arrêt maladie et bien sur indépendamment de ma volonté, j'aurais préférer continuer à régler mes échéances et surtout être en bonne santé ce qui n'est pas du tout le cas.
Je vous remercie pour votre aide et vos solutions.
Fern </t>
  </si>
  <si>
    <t>08/06/2018</t>
  </si>
  <si>
    <t>aaa-64228</t>
  </si>
  <si>
    <t>Les assureurs cadrent très bien leurs contrats. Le souci est que l'on ne les lit que très rarement avant signature, et quand bien même on aurait lu entre les lignes . . . c'est quand on en a besoin que l'on se penche sur le sujet. En tous cas, même si c'est après réalisation du risque, il faut le décortiquer. Par expérience, un refus, après argumentation de ma part et texte à l'appui, Cardif est revenu sur sa décision. Ca demande du temps mais il faut décortiquer tout en cas de refus notifié parfois de façon hâtive.</t>
  </si>
  <si>
    <t>27/05/2018</t>
  </si>
  <si>
    <t>beber-71570-63923</t>
  </si>
  <si>
    <t xml:space="preserve">lire entre les ligne </t>
  </si>
  <si>
    <t>11/05/2018</t>
  </si>
  <si>
    <t>dalia-63768</t>
  </si>
  <si>
    <t>alain-61840</t>
  </si>
  <si>
    <t>Catastrophe !!! 9 appels et 3 courriers. Impossible d'avoir la notice d'assurance. Refus de prise en charge du crédit suite à un arrêt maladie avec hospitalisation. Vers qui se tourner pour un recours??? Impossible d'obtenir un double de notre second contrat contracté depuis 10 ans. Impossible de faire acter les nouveaux bénéficiaires en cas de décès. Bref c'est vraiment à fuir. Je découvre le nombre de personnes qui utilisent le mot arnaque envers cette organisme. Comment peut-on profiter abuser des gens de cette manière là? C'est honteux de ne pas avoir une personne sérieuse qui fasse son travail correctement. Ils promettent de répondre mais en vain. Peut on faire intervenir un médiateur ou autres??</t>
  </si>
  <si>
    <t>07/03/2018</t>
  </si>
  <si>
    <t>decu-61143</t>
  </si>
  <si>
    <t>Inadmissible de devoir venir sur ce forum pour espérer régler sa situation</t>
  </si>
  <si>
    <t>28/02/2018</t>
  </si>
  <si>
    <t>bseb-60407</t>
  </si>
  <si>
    <t xml:space="preserve">père décédé le 12/12/2017;Emprunt datant de 2008 alors agé de 70 ans. En traitement médical de fond depuis 1992.Pas de demande de questionnaire médical lors de la souscription du contrat malgré son age . En revanche demande de ce questionnaire lors du décès. décès causes naturelles avérées , certifié par le médecin ayant constaté le décés. Refus de prise en charge sous le motif qu'il suivait un traitement depuis 1992.Ils trouvent tous les prétextes pour ne pas payer. Je vais employer tous les moyens légaux en ma possession pour faire reconnaitre mes droits. Avocat contacté n'est pas du tout étonné de ces agissements Client BNP depuis 1980 je vais changer de banque. A FUIR A TOUS PRIX !!!!!!!!! </t>
  </si>
  <si>
    <t>ma-do-60095</t>
  </si>
  <si>
    <t xml:space="preserve">Bonjour, 
notre assurance de prêt s'est terminé le 18/11/2017, le mois de novembre et  décembre nous ont été débités.le remboursement du prorata de novembre vient de nous être fait mais pas celui du mois de décembre, ca fait 3 fois que j'appelle que je fais des mails suite à leur demande et personne n'est capable de me dire quand le remboursement  va être fait!!! . Le service client Magnolia au téléphone ne sert a rien. </t>
  </si>
  <si>
    <t>momo-58315</t>
  </si>
  <si>
    <t xml:space="preserve">En invalidité 2 suite à une ALD avec compliquation, je suis arrêtée depuis octobre 2014. Cardif n'a pas perdu de temps pour m'envoyer chez un médecin expert. Enfin il me donne un Rdv, il a mon dossier depuis un mois et demi....sachant qu'il est censé savoir qu'une indemnisation est en jeu...c'est moi qui est appelé pour vérifier qu'il, elle avait bien reçu mon dossier. Elle m' a convoqué à midi !!! Elle ne prend pas la carte vitale.....ca existe encore??? Et elle est spécialisée en gérontologie, je n'ai que 48 ans...ah oui elle exerce dans son appartement!!!!! Comment recrute t il leur expert? En tout état de cause, je serais en chirurgie le 9 novembre et son Rdv et le 7 novembre, à suivre...
</t>
  </si>
  <si>
    <t>29/10/2017</t>
  </si>
  <si>
    <t>thierry89-57582</t>
  </si>
  <si>
    <t>pas mauvaise , très très mauvaise ,assurance emprinteur crédit plus une assurance Cetelem cardif garantie accident les 2 assurances doive se déclenché sur une maladie ou invalidité categorie 2 ,ce qui ma été reconfirmé chez Cetelem qui ne peuve rien faire, de la décition de refus de prise en charge de cardif , refus sans explication , seul chose a dire envoyer une lettre de contestation, pur et dur dans toute sa splendeure, 0 étoile, a fuir</t>
  </si>
  <si>
    <t>25/09/2017</t>
  </si>
  <si>
    <t>helpme-56994</t>
  </si>
  <si>
    <t xml:space="preserve">bonjour, j'ai un crédit immobilier chez cardif et j'ai était en maladie du 08/09/17 au 31/10/16 ensuite je suis passé en invalidité 2ème catégorie par la décision de mes médecins et de la sécu depuis le 01/11/16 cardif m'indique que mes droits se finissent le 08/09/17 et que je dois passer devant un expert. malgré les courriers de mon médecin d'un professeur  et de mon psychiatre indiquant que j'avait subit 3 opérations en un an dont une ablation d'une partie de l'intestin que je n'étais pas en état de reprendre un travail mon psy a précisé que j'avais une dépression sévère et que je devais rentrer en hôpital psychiatrique en septembre 2017 hôpital de jour pour une durée minimal de trois mois renouvelable cardif a décidé d'arrêter les indemnités car il ont décidé que mon taux d'incapacité était inferieur à 66°/° comment alors qu'à la sécu je suis à 66 pourcent et que la mdph me donne jusqu'à 75 pourcent c'est trop facile mon crédit immobilier va jusqu'en décembre 2022 il me reste 5 ans à payer comment vais-je faire je vais tout perdre à 5 ans de la fin je suis malade des spécialistes le précise tout cela se rajoute à mon état de santé je n'en peut plus comment peuvent-ils prendre une telle décision alors que les médecins leurs précisent par courrier.         </t>
  </si>
  <si>
    <t>arno-56639</t>
  </si>
  <si>
    <t>Service client déplorable, d'une nullité totale. Des mois pour résilier son assurance après remboursement du prêt. Des prélèvements sans raison. Aucun suivi du dossier. De grandes difficultés à être rembourser. Je ne recommanderais pas à mon pire ennemi...</t>
  </si>
  <si>
    <t>ahlsweh-56460</t>
  </si>
  <si>
    <t xml:space="preserve">Bonjour mes parents ont souscrit la garantie emprunteur auprès de CARDIF en mars 2016 , à l'époque pas de maladie ni pour mon père ni pour ma mère  (pas de questionnaires de santé non plus ne  leur a été demandé) , malheureusement mon papa est décédé en mai dernier d'une vilaine bactérie .Nous avons envoyé les documents à CADIF dont l'attestation de l’hôpital  disant que mon papa a été hospitalisé pour cette maladie en avril 2017 .La réponse de l'expert a été catégorique , il ne prendrons pas en charge le prêt. a quoi sert cette assurance en cas de décès à rien du tout , autant de rien prendre du tout .lamentable et écœurant .  </t>
  </si>
  <si>
    <t>najete-56331</t>
  </si>
  <si>
    <t>si j'avais pu ne mettre aucune étoile je l'aurais fait mais on nous impose minimum une étoile partout</t>
  </si>
  <si>
    <t>marie-55473</t>
  </si>
  <si>
    <t>En invalidité catégorie 2 et après six mois de démarches Cardif refuse de prendre en charge mon dossier car je ne suis pas en invalidité permanente et totale au sens du contrat.Mais pendant six mois il m'ont fait faire trois fois des certificats médicaux par mon docteur traitant puis mon envoyer voir un médecin payer par eux pour confirmer leur refus</t>
  </si>
  <si>
    <t>19/06/2017</t>
  </si>
  <si>
    <t>rah-55184</t>
  </si>
  <si>
    <t xml:space="preserve">En maladie professionnelle depuis 2008, plusieurs interventions chirurgicales prise en charge au titre de la garantie incapacité totale temporaire de travail de l'activité pratiqué au jour du sinistre  depuis février 2009, les paiements de mes échéances de prêt ont été suspendu depuis  le 01 février 2017 . J'alerte le service chargé de clientèle Cardif fin mars  il m'informe ,toujours  au téléphone, que je dois prendre un rdv auprès de leur médecin Conseil . RDV pris imposer  pour le 13 avril 2017, consultation chrono 15 min ...question de rentabilité sans doute ... vous pouvez travailler et conduire  avec un seule bras même si vous êtes sous morphine  ...encore ahurissant  Pompier, je fais comment sans mettre en danger la vie d'autrui .
Donc les questions que je me pose pourquoi la possibilité de me faire assister par un médecin conseil ne m'a pas été proposé ? pourquoi je n'ai pas reçus de courrier  à ce sujet? secundo pourquoi leur médecin expert s’immisce dans le traitement médical alors que sa déontologie le lui interdit , juridiquement cela me parait litigieux ?  Pourquoi à ce jour la Cardif n'a toujours pas pris sa décision formel par écrit qui l'engage juridiquement sur  les garanties contractuels ? A part gagné du temps et de ... l'argent sur la souffrance des malades et handicapé ,je ne vois pas autre choses . 
Le litige est transmis à mon avocat afin que l'assurance Cardif respecte ces  engagements contractuels  et les règles de procédures.  </t>
  </si>
  <si>
    <t>07/06/2017</t>
  </si>
  <si>
    <t>josette-54830</t>
  </si>
  <si>
    <t>Au secours ! fuyez. Je paie une assurance crédit depuis 3 ans . Le 15 novembre 2016 j'ai perdu mon emploi et malgré mon contrat qui indique noir sur blanc que l'indemnisation débute 90 jours après LE PREMIER JOUR DE LA PERTE D'EMPLOI, ils ont décidés que c'était le 1er jour du paiement de mes indemnités pôle emploi soit : 180 jours. Le service clientèle est nul : 3 fois que j'envoie le dossier complet. A chaque fois c'est la réponse type : Après étude approfondie de votre dossier..... et à chaque courrier, la date de prise en compte est repoussée Cette histoire dure depuis novembre. Les remboursements auraient dû débutés en février et on me demande maintenant d'attendre le 25 mai pour..... faire ma demande de remboursement. Proprement scandaleux</t>
  </si>
  <si>
    <t>21/05/2017</t>
  </si>
  <si>
    <t>anna-54262</t>
  </si>
  <si>
    <t>Extrêmement déçue par cette assurance!! Actuellement en invalidité 2ème cathégorie suite à une longue maladie et toujours sous traitement extrèmement lourd et très invalidant, Cardif vient de me signifier (après que j'ai rencontré un médecin expert qui n'a même pas pris la peine de m'osculter) que mes échéances de prêt n'étaient plus prises en charge. Je suis outrée!! Aussi, je ne compte pas en rester là!!</t>
  </si>
  <si>
    <t>25/04/2017</t>
  </si>
  <si>
    <t>bergamote-54197</t>
  </si>
  <si>
    <t>Mon prêt est accordé depuis le 17/02/2017 
Aucune réponse de cardif pour l'assurance
Délai de rétractation pour refus de prêt dépassé
Aucune réponse du service client, quand on ne se fait pas pourrir au téléphone en essayant de savoir ce qui se passe.......
Catastrophe
Angoisse
CARDIF - COMMENT VOUS CONTACTER ??????
              - COMMENT DEBLOQUER LA SITUATION ???</t>
  </si>
  <si>
    <t>21/04/2017</t>
  </si>
  <si>
    <t>takinoux65-53642</t>
  </si>
  <si>
    <t xml:space="preserve">Bonjour ! Une véritable galère pour être indemnisée ; un service clientèle lamentable qui raconte n'importe quoi ; on m'assure qu'on à bien reçu mes documents que le dossier est complet qu'on envoie le paiement a cetelem  et peu de temps après ahhhhhh nonnnnnnn c'est refusé ; je passe mes journées à rappeler j'insiste car entre temps le service recouvrement vous harcele ; on me réponds madame c'est une erreur de notification de refus sous 10 jours on envoie le chèque ; à nouveau courrier il manque juste 1 document pour payer ; non mais c'est du grand n'importe quoi !; aucun sérieux ; aucuns conseillers n'ayant la même version ; chaque service se renvoie la balle ; personne ne peut joindre personne  ; c'est intolérable ;  pitoyable dans le sérieux de gérer des dossiers qui méritent pourtant une parfaite gestion rigoureuse ; quand on me dit madame rassurez vous le dossier est complet nous envoyons le paiement nous n'avons pas à rappeler pour repartir de zéro ; c'est scandaleux ; mais même si cela est épuisant et je vois que d'autres personnes en sont victimes de ce si mauvais service faut rien lâcher ; </t>
  </si>
  <si>
    <t>28/03/2017</t>
  </si>
  <si>
    <t>prunelle13-53544</t>
  </si>
  <si>
    <t>FUYEZ.... surtout ne perdez pas votre temps avec la CARDIF surtout si problèmes de santé. Impossibilité d'avoir une réponse après plus d un mois et demi de traitement de dossier.Réponse orale différente à chaque coup de fil. Compromis perdu prêt refusé car aucune réponse</t>
  </si>
  <si>
    <t>24/03/2017</t>
  </si>
  <si>
    <t>caro2545-53383</t>
  </si>
  <si>
    <t>Bonjour,mon epoux etant en arret maladie depuis aout,apres plusieurs interventions,nous envoyons ts les papiers demandes non stop en temps et en heure,de ce fait cetelem a arrete les prelevements des lors declaration de l'arret,a ce jour l'assurance na toujours pas pris en compte les prelevements,alors que ts nos autres creanciers,qui ont demande exactement les;memes papiers que cardif,pret maison a100%,prets travaux ect. Ce sont les seuls a ce jour a trainer encore et encore,nous demandant un papier,1mois,un autre papier l autre mois deja precedemment envoye,c est sans fin,cetelem nous harcelent,nous menacant de prendre nos voitures ect ,et sommes au recouvrement,nous ne comprenons pas.alors que les papiers demandes ils les ont!cela fait 7mois que cela traine!!!alors que le creancier de la maison aurait du etre le plus penible au niveau papiers et non!!!que doit on faire engager une procedure.on a l impression d etre de mauvaises personnes,quand vs travailler tte votre vie,a n en plus dormir de la nuit,a etre harceles par cetelem nous menacant,car ils nont pas repris les prelevements et maintenant nous somment de tt rembourser,pour nous n ayant pas de nouvelles du creancier nous pensions que c etait bon,comme nos autres creanciers qui ont tt pris en charge,cardif est le seul!! On a recu aucun papier prealable,rien de cetelem en 7mois,et la nous demandent de payer!on fait quoi on vend notre maison,car cardif traine encore et encore!</t>
  </si>
  <si>
    <t>19/03/2017</t>
  </si>
  <si>
    <t>philou27-52611</t>
  </si>
  <si>
    <t>J'ai rempli un dossier après avoir vérifié que je pouvais le faire car mon cas maladie fesait bien parti des garanties proposées.
À ma grande surprise,ils ont refusé le dossier invoquant une des clauses d'exclusion du contrat sans aller plus loin malgré mes reclamations.ils n'ont jamais daigné répondre.</t>
  </si>
  <si>
    <t>james-52217</t>
  </si>
  <si>
    <t>le traitement de mon dossier à était un peu long bon après je suis pas seul mais de très bon interlocuteur au service client surtout le service réclamation ou ils ont vraiment était à l'écoute mon rappelé comme je leur es demandé pour savoir l'avancement de mon dossier donc j'ai décider de mettre mon avis car il n'y as pas que du négatif chez cardif j'ai toujours était très bien reçu par téléphone</t>
  </si>
  <si>
    <t>catherine-50579</t>
  </si>
  <si>
    <t>Bonjour, suite à un cancer du sein j'ai été mise en invalidité catégorie  et inapte à la reprise du travail Après 3 années de prise en charge par cardif et consultation auprès d'un médecin expert ils ont décidé de ne plus me prendre en charge. J'ai donc contesté (lettre AR) et demandé le compte rendu médical. J'ai reçu hier une lettre de cardif ou ils me demandent de prendre un médecin expert à mes frais afin de remplir un questionnaire (un vrai torchon, photocopies avec erreur sur date d'arret de travail, ce n'est pas sérieux). Comment le médecin a t-il pu juger en  10mn mes 3 années de maladie et de plus sans avoir eu le compte rendu de mon oncologue ??? Quant à la BNP à quoi ça sert d'avoir une conseillère !!!! Je suis en colère, toujours se battre, se justifier, je ne sais pas quoi faire cordialement</t>
  </si>
  <si>
    <t>21/01/2017</t>
  </si>
  <si>
    <t>manou-50435</t>
  </si>
  <si>
    <t>Service client incompétent. 15 jours ouvrés pour traiter un document.
 quand ils ne l'ont pas perdu. J'en suis à 30 jours ouvrés et toujours pas remboursée en Décembre après 5 appels. seule réponse "on fait une relance auprès du service gestion. Aucune réponse par écrit. Lamentable!!!!!!</t>
  </si>
  <si>
    <t>19/12/2016</t>
  </si>
  <si>
    <t>nemo-37853</t>
  </si>
  <si>
    <t xml:space="preserve">J’ai remboursé par anticipation mon prêt en juillet 2021. À ce jour, l’assureur Caci continue les prélèvements sur mon compte LCL et ce malgré ma demande au crédit Lyonnais de stopper ces prélèvements. </t>
  </si>
  <si>
    <t>LCL</t>
  </si>
  <si>
    <t>04/10/2021</t>
  </si>
  <si>
    <t>ricks29-132550</t>
  </si>
  <si>
    <t xml:space="preserve">Après un accident du travail, aucun remboursement de mensualités avec CACI LCL prêt immobilier car comme par hasard mes blessures ne sont pas pris en compte !!!! Arrêt validé par la cpam et médecin du CHU !!! Quel honte!! </t>
  </si>
  <si>
    <t>celine-114537</t>
  </si>
  <si>
    <t xml:space="preserve">Bonjour en arrêt depuis décembre car problème de dos. Après des examens infiltration hospitalisation 5 jours. Il disent qui prennent pas en compte car j ai pas de tumeur ni de fracture niveau de la colonne. Après tout ça ça les examens o révéler 2 disque de complètement use et ki touche la moelle épinière. A savoir aussi que j ai arthrose rhumatisme aigu et j en passe. Déjà en 2018 suite à a cancer c été déjà compliker de valoir ses droits. Mon médecin m'a donnée à certificat pour leur dire u'e j été dans l incapicitee  de travailler. Je vois un neurochirurgien le mois prochain.un médecin conseil de la cpam me classe en invaliditée 2.dc la je pense qui aurons plus d excuses. C est fatiguant les papiers administratif surtout quand physiquement c est pas top. Toujours en train de cherché la petite bête pour que les assurées laisse tombé. </t>
  </si>
  <si>
    <t>peaquin-114268</t>
  </si>
  <si>
    <t>Ça fait 6 mois que j'ai demandé de changer d'assurance car je paie extrêmement cher et il manquait toujours un papier pour que la nouvelle assurance convienne. De plus je viens d'apprendre qu'il ne rembourse pas les 6 mois passé ou j'avais demandé mon changement d'assurance qui a été acceptée tardivement, spécialement pour prélever le maximum avant mon changement avec la nouvelle assurance. Une honte...a fuir</t>
  </si>
  <si>
    <t>kathy-110589</t>
  </si>
  <si>
    <t>Nous voici revenu au temps des pigeons voyageurs ! Envoi des documents uniquement par la poste. Donc naturellement les courriers se perdent (trop facile). Il demande des pièces supplémentaire tous les 15 jours. Pour une cheville cassée : début du dossier en janvier et il manque encore des pièces. Les téléconseillers ne sont pas tous sur la même longueur d'ondes : une fois ils me donnent les pièces manquantes (je suis l'épouse aussi assurée chez eux pour le même dossier) une autre fois non car je ne suis pas concernée. Bref à fuir</t>
  </si>
  <si>
    <t>christophe--102111</t>
  </si>
  <si>
    <t xml:space="preserve">A fuir sans aucune hésitation aucun respect des dossiers clients 
Refuse de prendre en charge notre dossier dû à un accident de travail de plus de 1 an </t>
  </si>
  <si>
    <t>03/01/2021</t>
  </si>
  <si>
    <t>mary-85779</t>
  </si>
  <si>
    <t xml:space="preserve">J ai été obligée de prendre l assurance caci  emprunteur au LCL
Nous essayons depuis 6 mois de changer cette assurance .le LCL à accepté la substitution et nous continuons à être prélevée caci imaginez 2 assurances chaque mois  c est tout simplement  honteux </t>
  </si>
  <si>
    <t>cidou73-77261</t>
  </si>
  <si>
    <t>Je n'ai heureusement pas souscrit à cette assurance mais j'ai remarqué qu'il était très agressif dans leur communication : 2 courriers par semaine envoyés dès les premiers contacts et dossier rempli avec le conseiller LCL. Pour un diabète de type 2 maitrisé, stabilisé, ils ont doublé la prime d'assurance comme si j'allais mourir dans moins d'une dizaine d'années. C'est nouveau pour moi alors que je suis cadre d'entreprise donc mon job n'est pas très pénible ce qui aurait pu être un facteur aggravant. A fuir.</t>
  </si>
  <si>
    <t>laure-70958</t>
  </si>
  <si>
    <t xml:space="preserve">Très mécontente car ne veut pas me prendre en charge alors que je suis en arrêt de travail suite à une intervention chirurgicale j ai fournis tt les documents demandés </t>
  </si>
  <si>
    <t>05/02/2019</t>
  </si>
  <si>
    <t>pia-86188</t>
  </si>
  <si>
    <t>Cet assureur refuse de continuer de m'indemniser malgré les garanties prises pour arrêt maladie; actuellement je suis en procédure judiciaire contre lui; non seulement vous êtes épuisé, en ALD, mais il faut encore lutter pour faire valoir ses droits, c'est inadmissible! cet assureur doit être interdit d'exeRcer!tOUTES LES PERSONNES QUE JE CONNAIS ONT CONNU LE MEME REFUS D'INDEMNISATION!</t>
  </si>
  <si>
    <t>Crédit Mutuel</t>
  </si>
  <si>
    <t>23/01/2020</t>
  </si>
  <si>
    <t>blackjack68-53053</t>
  </si>
  <si>
    <t>Client depuis 40 ans au Crédit Mutuel j'ai fais tous mes crédits ( au mois une quinzaine) chez eux toujours en étant convaincu que je suis bien couvert en cas de pépin! ERREUR, mon épouse est en invalidité reconnu suite à une hémorragie cérébrale et ils refusent de payer!!!! Le faîte de ne plus pouvoir travailler et gagner de l'argent ne suffit pas, ils on un tableau croisé entre incapacité fonctionnelle et professionnel dans lequel il faut être quasi pour toucher des indemnités! 
RENSEIGNEZ VOUS BIEN A PROPOS DE CE TABLEAU SINON UN JOUR VOUS AUREZ UNE MAUVAISE SURPRISE EN CAS DE BESOIN!!!
Vous pensez être couvert en cas de perte de vos capacités, donc perte de vos revenus, BIN NON! Quand cela arrive, vous êtes seul au monde, aujourd'hui nous sommes quasi condamné à vendre notre logement parce que ces gens ne jouent pas leur rôle. 
Aujourd'hui, je suis prêt à monter un dossier et à le faire paraître sur tous les réseaux sociaux pour que les futurs clients se rendent bien compte qu'ils ne sont pas protegés avec les ACM!!</t>
  </si>
  <si>
    <t>07/03/2017</t>
  </si>
  <si>
    <t>guitchmada-81127</t>
  </si>
  <si>
    <t xml:space="preserve">Des conseillers qui ne répondent pas aux mails ou très lentement, et qui ne traitent pas les demandes rapidement
On leur demande un retrait partiel depuis plusieurs mois. On doit à chaque fois renvoyer des papiers car on était à l'étranger et sommes revenus en france, et il faut reprouver qui on est,  où on habite, etc
Quand ils ont tous les papiers, ils ne répondent plus. Aucun suivi
1ere demande faite pour rachat partiel il y a 5 mois et toujours aucun versement ce jour malgrè les relances
Bref, en cas de besoin d'argent, prévoir de faire la demande 1 an à l'avance avec Afer !
</t>
  </si>
  <si>
    <t>Afer</t>
  </si>
  <si>
    <t>vie</t>
  </si>
  <si>
    <t>09/11/2021</t>
  </si>
  <si>
    <t>01/11/2021</t>
  </si>
  <si>
    <t>petithunier-105224</t>
  </si>
  <si>
    <t xml:space="preserve">Suite au décès de mon père début juillet 2021 , cette compagnie ne répond pas aux trois mails après 3 semaines d'attente , et 10 mn d'attente au téléphone ; aucune réponse par téléphone </t>
  </si>
  <si>
    <t>05/11/2021</t>
  </si>
  <si>
    <t>gagl-138121</t>
  </si>
  <si>
    <t xml:space="preserve">après lecture des avis sur le site GIE AFER, je suis inquiet sur le sort d'un contrat souscrit en 1994 , contrat indemnités de fin de carrière article 39.
début février  de cette année, j'envoie un courrier demandant le rachat de ce contrat au correspondant  AFER d'AMIENS qui m'envoie les relevés annuels de l'adhésion au contrat collectif d'assurance vie monosupport AFER.Je précise que ce contrat a été souscrit à l'époque auprès d'un délégué régional AFER de la marne.
Mon courrier reste sans réponse, courant septembre ayant impérativement besoin de ces fonds pour régler des taxes foncières, je contacte par téléphone le bureau d'Amiens qui me répond ne pas avoir mon contrat en gestion, contrat très peu développé d'après mon correspondant,me demande des pièces justificatives que j'envoie par mails en promettant de me rappeler rapidement, sans réponse rapide je recontacte le bureau d'Amiens qui  me dit  avoir envoyé le dossier  avec les pièces réclamées et de m'adresser directement au GIE AFER rue de châteaudun à Paris.
Mon mail envoyé aussitôt à Paris , indiquant le caractère d'urgence de ma demande de rachat a bien été reçu mais à ce jour , je n'ai toujours pas de réponse.
Je précise que les délais d'attente au téléphone sont très longs, qu'en tapant le numéro du contrat demandé ,il n'est reconnu et que parfois l'attente se coupe inopportunément.
Enfin ,le correspondant local ,gérant nos contrats personnels ne peut pas intervenir sur ce contrat.
je trouve la gestion assez désastreuse pour ne plus avoir confiance dans l'épargne AFER.
</t>
  </si>
  <si>
    <t>23/10/2021</t>
  </si>
  <si>
    <t>chancaycaux-135107</t>
  </si>
  <si>
    <t>Bonjour, si vous avez un probleme n'hesitez pas a en faire part dans ce forum car les assureurs suivent le niveau de satisfaction de leur clients ou adherents, et ils n'aiment pas que l'on dise du mal de leur organisation ou carences, et comme par hasard on arrive  a regler ce qui était insurmontable, et ils trouvent en face d'un interlocuteur qui se défend, cela les oblige a avancer pour un résultat positif.
Merci a ceux qui ont créé ce forum c'est une excellente idée
Chancaycaux</t>
  </si>
  <si>
    <t>mathistrokes-131915</t>
  </si>
  <si>
    <t>Meilleure assurance VIE sur le marché.
Frais bas, rendements intéressants.
Mon conseiller, agent Aviva et correspondant Afer est très réactif et permis d'avoir les fonds dans des délais correct lors de rachats effectués.
Merci</t>
  </si>
  <si>
    <t>chrisfhp-116742</t>
  </si>
  <si>
    <t xml:space="preserve">Je souhaite vous faire part de mon entière satisfaction concernant la gestion du traitement d'une assurance vie chez AFER dans le cadre d'une succession.
Je ne peux que noter le très bon suivi du dossier (courriers réguliers et conseils utiles) ainsi que le délai rapide du versement des fonds.
J'ai toujours eu des interlocuteurs attentifs et fort aimables.
</t>
  </si>
  <si>
    <t>avis-113999</t>
  </si>
  <si>
    <t xml:space="preserve">MISE EN GARDE :
L'argent mis chez eux est perdu si on ne prend pas d'avocat. Ils demandent sans cesse des documents qui leur ont déjà été envoyés. Aux réclamations, s'ils y répondent, ils ne répondent que par la lettre modèle pour demander des documents qu'ils possèdent depuis des mois. </t>
  </si>
  <si>
    <t>cd-106038</t>
  </si>
  <si>
    <t>Pas d'avis pour le niveau des prix. Par contre très mécontent de leur attitude car ils ne respectent pas les délais légaux pour verser l'assurance vie aux bénéficiaires.
Ils font le maximum pour faire trainer le dossier (en demandant en plusieurs fois les pièces nécessaires) afin de reculer le plus possible le virement aux bénéficiaires. 
Si vous ne souhaitez pas que vos bénéficiaires "rament" pendant des mois pour toucher leur dû je vous invite à souscrire votre assurance vie ailleurs !!</t>
  </si>
  <si>
    <t>sand-105476</t>
  </si>
  <si>
    <t xml:space="preserve">J'ai fait un rachat total le 01 février 2021 et à ce jour je n'ai toujours pas mes fonds 
surtout que l'on me dit qu'il faut attendre 3 semaines alors qu'avec certains c'est beaucoup plus rapide
A l'accueil elle doit me rappeler j'attends toujours...
Je ne recommande surtout pas cette société </t>
  </si>
  <si>
    <t>michele-103167</t>
  </si>
  <si>
    <t>Bonjour, Nul de chez nul ! Une étoile car 0 impossible.
Primes versées et malgré des réclamations, plus d'un an après, toujours pas les primes créditées sur les contrats de mon époux et moi-même. Afer nous a donc spolié de 27400€ en tout, sans compter les intérêts 2019 et 2020.
Nous réitérons donc nos réclamations auprès du conseiller et en ligne.
J'ai besoin d'un rachat sur ces sommes inexistantes sur mon compte mais bien encaissées par afer. Clauses bénéficiaires corrigées en 2019 et pas de nouvelles de prise en compte.
Le plus incompétent de mes assureurs-vie ! Je vais devoir déposer un recours. Cdlt</t>
  </si>
  <si>
    <t>25/01/2021</t>
  </si>
  <si>
    <t>charles-pascal-102957</t>
  </si>
  <si>
    <t xml:space="preserve">Pot de terre contre pot de fer . Ha si on pouvait renoncer à un contrat 3 voir 4 jours avant de le signer . Voila pourquoi 
J'avais Un RDV à l'agence AFER de ma ville pour établir 2 contrat assurance vie  avec un bénéficiaire différent pour chaque contrat .
Par erreur involontairement j'ai signé ces 2 contrats . En effet par 2 fois j'ai reçu un SMS avec un code qui stipulés "votre code de confirmation d'identité DocuSign est ...." en réalité en donnant ces 2 codes au conseiller j'ai signé les 2 contrats .Quand j'ai compris mon erreur j'ai écris une lettre de renonciation sous la dictée du conseiller ,renonciation que je lui ai remis en main propre .
J'ai recherché sur le net si il y avait une autre agence AFER pas loin ,mais non . J'ai donc souscrit 2 contrats ailleurs ,et je m'en félicite.
En effet AFER a accusé réception de mes souscriptions , puis débité mon compte , et une fois mon compte débité on accusé réception de mes deux  renonciations  .Je suis donc resté adhérent MOINS DE DEUX HEURES et AFER a mis 56 jours pour me recrédité .
On ne peut pas mettre ZERO étoile dommage . Pour un coup d'essai c'est pas un coup de maitre , mais la prochaine fois je sais ou je ne dois pas aller    </t>
  </si>
  <si>
    <t>20/01/2021</t>
  </si>
  <si>
    <t>george33-55691</t>
  </si>
  <si>
    <t xml:space="preserve">Je suis adhérent AFER depuis plus de 20 ans
j'avais demandé une avance importante ( 69 000€) que j'ai remboursées en 2 fois
Lors du premier remboursement, comme il s'agissait d'un remboursement partiel, je n'ai pu effectuer ce remboursement que par chèque car c'était la seule possibilité imposée par AFER.
j'ai donc effectué un chèque de 54 000€ en prenant soin d'approvisionner cette somme sur mon compte courant- qui ne me rapporte rien bien sûr- afin de ne pas être mis à découvert. Afer a mis presque un mois avant d'encaisser le chèque et de le placer sur mon compte. J'ai donc perdu pendant un mois les intérêts sur cette somme.
Lorsque plusieurs semaines plus tard, j'ai pu rembourser le relicat de mon avance ( 24 500€) AFER m'a informé que je pouvais cette fois-ci effectuer le remboursement par prélèvement bancaire ( c'est AFER qui prélève la somme). Ils m'ont alors prélevé 500€ de trop. Lorsque je m'en suis aperçu, j'ai vu qu'ils avaient décidé de placer ces 500€ sur une unité de compte ( actions Amérique , je crois) sans rien me dire !!
j'ai exigé le remboursement ce cette somme ce qui a été fait. Aucune excuse ou regret exprimé par AFER
En fait toutes les transactions décrites ci-dessus ont été effectuées par l'agence de St Etienne, que je trouve particulièrement incompétente.
Si vous faites les opérations directement en ligne sur le site AFER ( en particulier des versements) sachez qu'Afer se débrouillera pour encaisser la somme versée, qui ne sera prise en compte sur votre compte que 10 jours plus tard ...les intérëts n'étant pas perdu pour tout le monde ...
</t>
  </si>
  <si>
    <t>bernard-101460</t>
  </si>
  <si>
    <t>C'est bien simple, tout ira bien tant que vous ne voudrez pas récupérer votre épargne. j'attends depuis bientôt 4 mois et rien, ni mon épargne, ni excuses, ni date de versement Rien. Même au "service satisfaction consommateur d'AFER" bien mal nommé au demeurant, silence total depuis 15 jours. Alors une étoile, c'est déjà trop</t>
  </si>
  <si>
    <t>15/12/2020</t>
  </si>
  <si>
    <t>toto25-99194</t>
  </si>
  <si>
    <t>Les fonds Euro sont à la baisse depuis plusieurs années mais aucune pioche n'a été faîte dans la cagnotte de côté qui permettait à la base de compenser ces baisses.Qui va profiter de sommes monstrueuses qui auraient dues revenir aux épargnants.Aucune réponse du côté de l'Afer.</t>
  </si>
  <si>
    <t>25/10/2020</t>
  </si>
  <si>
    <t>robert-63461</t>
  </si>
  <si>
    <t>tout est dit dans les autres commentaires a une étoile....ceux qui ont mis plus d'une étoile sont ceux qui n'ont pas demandé de rachat de leur épargne...il verront bien a ce moment là la galère que ça représente .</t>
  </si>
  <si>
    <t>y-97657</t>
  </si>
  <si>
    <t>Une honte , à titre personnel bénéficiaire d'une assurance vie ,dossier cloturé fin avril et à ce jour(21/09/2020) aucune nouvelle !!!!!!
Donc attention à tous évitez AFER ils ont du mal à remboursé...............</t>
  </si>
  <si>
    <t>bertrand--97397</t>
  </si>
  <si>
    <t xml:space="preserve">Je via à l’étranger et j’ai demandé un rachat de mon assurance vie et depuis bientôt 2 mois je suis dans le noir complet.  Mon conseiller “je m’enfoutiste” ne répond ni aux emails ni au téléphone.
Mon compte a été clôturé mi août mais je n’ai jamais reçu mes fonds. Après 17 relances je suis enfin informé d’un problème informatique mais après 1 semaine toujours aucun transfer effectué et aucune information ou réponse à mes e-mails. 
Rester loin de cette institution le niveau de stress est très élevé surtout si vous avez besoin de votre argent!
</t>
  </si>
  <si>
    <t>algow-97098</t>
  </si>
  <si>
    <t>Afer me communique un montant à verser complètement faux sur les assurances vie dont je suis bénéficiaire (suite au décès de mon père). Aucune suite donnée à mon recommandé. Aucune réponse par téléphone. Ne traite pas les réclamations. En dessous de tout. J'ai saisi la DGCCRF, et je vais prévenir l'AMF et l'ACPR avant de passer par un médiateur. J'invite tout le monde à faire de même (les commentaires lus sont éloquents !).</t>
  </si>
  <si>
    <t>07/09/2020</t>
  </si>
  <si>
    <t>1408-97064</t>
  </si>
  <si>
    <t xml:space="preserve">Afer mon cauchemar  depuis septembre 2019 ont commis une erreur comptable sur mon compte après moult relances (sans réponses) par email j'ai obtenu une confirmation en Août 20 que l'erreur allait être régularisé ,je sais pas quand toujours pas reçu le remboursement.... nuls de chez nuls et incorrects </t>
  </si>
  <si>
    <t>05/09/2020</t>
  </si>
  <si>
    <t>gs-97062</t>
  </si>
  <si>
    <t xml:space="preserve">Bonjour, 
Le 22 juillet 2020, j'ai adhéré à l'AFER, sur la base de sa réputation d'organisation sérieuse et de performance. Je constate des difficultés notoires avant même que le premier investissement soit réalisé. Le 5 Aout, j'interpelais mon conseiller parce que je n'avais aucune nouvelle de l'AFER. Il m'informe qu'une erreur d'orthographe sur mon nom a été faite sur mon nom. Le 6 Aout,  je constate que mon chèque est tiré sur mon compte bancaire ;  mais je n'ai toujours pas d'accès à mon compte sur AFER. Le 13 Août, grâce à un facteur peu regardant à l'orthographe des noms, je reçois enfin le mot de passe.Je prends connaissance de mon compte et je constate des erreurs déterminantes : sur l'identité du titulaire du compte et sur les bénéficiaires. Vu mon âge cette clause est importante, et une mauvaise traduction de l'identité est manifestement porteuse de difficultés. Le 14 août, je vois qu'un avis de modification des coordonnées a été émis. Très confiant, je vérifie les données : rien n'est changé sur les données essentielles du contrat (titulaire et bénéficiaire). J'appelle le numéro figurant sur le courrier. Je parviens après avoir longuement insisté à joindre une jeune femme. Elle procède au changement de nom, et m'indique qu'elle ne peut procéder au changement de bénéficiaires. Elle relaie ma demande de modification des bénéficiaires auprès du service. Le 15 aout,  je constate qu'effectivement la modification du nom du titulaire est opérationnelle.
J'ai enfin reçu le 3 septembre 2020 un nouveau certificat d'admission comportant les données effectives de mon contrat enfin modifiées.
Dans la situation antérieure : 
-	Le contrat ne m'appartenait pas : erreur de patronyme 
-	Les bénéficiaires n'auraient pu accéder à leurs droits (erreurs multiples).
Je regrette qu'il ait fallu attendre un mois pour obtenir ce résultat. Je suis vraiment déçu de cette entrée en contact avec l'AFER. Aucun courrier d'excuses de l'AFER, coté service client, on peut faire mieux. Pas nécessaire d'avoir une réponse confondante, il est indispensable de mettre en place un service gérant efficacement cette relation client.
Bien à vous.
</t>
  </si>
  <si>
    <t>hcof-95736</t>
  </si>
  <si>
    <t>j'ai cotisé 21 ans à l'Afer pour me constituer un capital pour en profiter à ma retraite. Depuis juin l'accès au site internet afer.fr est bloqué pour toutes les transactions habituelles : arbitrages, rachat partiel. Ne pouvant pas accéder à un rachat partiel le 2 juilet  j'envoie à l'Afer un exemplaire papier de rachat partiel. Aucune réponse après 15 jours d'attente. Je décide donc de contacter un conseiller à Caen qui entends mon appel, mais après encore une quinzaine de jours rien se se passe. J'ai rappelé quatre fois ce conseiller et à chaque fois la même réponse : votre demande est en cours, je téléphone aujourd'hui à Paris, votre rachat sera sur votre compte d'ici 72 heures. Nous arrivons au 30 du mois de juillet et maintenant mon compte en banque est à découvert, car je comptais sur ce rachat pour le couvrir. Je suis maintenant sans argent. Ma retraite de 1000 euros me sera versée que le 9 juillet. Il ne me reste que la rue et faire l'aumône. Merci L'Afer, association qui a régulièrement encaissé mes versement mais qui bloque tout rachat partiel. Je suis prisonnier de mon épargne, toutes les portes sont fermées à L'Afer. Pas d'interlocuteur à qui faire confiance et aucune possibilité d'accès à mes comptes en ligne ainsi que celui de mon épouse .Si vous avez encore le choix. Partez de ce guêpier au plus vite.</t>
  </si>
  <si>
    <t>30/07/2020</t>
  </si>
  <si>
    <t>sirius-93818</t>
  </si>
  <si>
    <t>Si l'on veut concrétiser un projet immobilier en payant l'achat au comptant,combien de temps faut il considérer pour espérer un virement suite à un rachat total ou partiel de son assurance vie, étant entendu qu'il existe des échéances incontournables lors du passage devant le notaire pour régler le montant de la transaction immobilière et finaliser l'acte d'achat qui ne saurait être différé en cas de retard du versement,ce qui entraînerait ainsi de facto une annulation possible de l'achat et des responsabilités de solvabilité avec pénalités ?</t>
  </si>
  <si>
    <t>11/07/2020</t>
  </si>
  <si>
    <t>isa-91274</t>
  </si>
  <si>
    <t xml:space="preserve">
AFER a une gestion client déplorable ! Mon père est décédé et nous avons transmis les documents demandés par AFER après bien des allers et retours mais depuis plus de nouvelles, déplorable ! J'ai adhéré récemment auprès d'AFER mais ils ont mal orthographié mon mail sur le bulletin d'adhésion, impossible d'en recevoir un avec correction alors qu'ils sont fautifs. Je suis sidéré par le manque de considération pour leurs clients !</t>
  </si>
  <si>
    <t>nanouck-90274</t>
  </si>
  <si>
    <t>Je rencontre le même problème que celui déjà décrit. J'attends en vain le règlement de l'assurance vie suite au décès de mon oncle en Janvier 2020. J'ai rempli le dossier avec le gestionnaire de l'agence début avril .Je n'ai toujours rien perçu alors que j'ai relancé le gestionnaire qui ne comprend pas non plus ce délai si long.J'ai fait un mail au service de satisfaction des adhérents afer qui reste sans réponse...
Je suis en colère et déçue par cette assurance que je pensais sérieuse.</t>
  </si>
  <si>
    <t>zorgue-89718</t>
  </si>
  <si>
    <t>Il semble qu il n y ai point de service client , 1 courrier , 14 appels et 2 mails aucune reponse pour recuperer des capitaux décés</t>
  </si>
  <si>
    <t>18/05/2020</t>
  </si>
  <si>
    <t>fabrice-89628</t>
  </si>
  <si>
    <t xml:space="preserve">Depuis plus d'une semaine, et une nouvelle fois, consultation en ligne de mon compte assurance-vie AFER  impossible :
« Nous sommes désolés, un problème technique est survenu dans notre plateforme, veuillez ré-essayer plus tard. »
</t>
  </si>
  <si>
    <t>jacno-89565</t>
  </si>
  <si>
    <t xml:space="preserve">Pas de problème particulier. J'ai fait une demande de rachat partiel (tél + confirmation par courriel) et elle a été traitée sous 10 jours. Et j'ai assisté à une rencontre Afer en décembre dernier, de bonne tenue et sans rapport avec l'hystérie à lire sur Internet, en dépit de quelques questions piquantes. J'espère ne pas me tromper et que l'Afer est toujours bien gérée. C'est plutôt l'époque (dont la fiscalité) qui est défavorable, à l'Afer, comme ailleurs.        </t>
  </si>
  <si>
    <t>12/05/2020</t>
  </si>
  <si>
    <t>giraffe-88965</t>
  </si>
  <si>
    <t xml:space="preserve">J'ai peur qu'il y a l'anguille sous roche. Tout aller bien jusqu'au janvier 2020. 1) J'ai remboursé un emprunt avec deux montants, un de janvier, une autre en février. Je n'ai jamais reçu confirmation du premier versement, mais j'ai reçu confirmation du deuxième. 2) J'ai demandé un arrêt des versements par prélèvement en janvier. J'ai reçu confirmation aujourd'hui, le 07/04/2020. Chaque fois que je passe à l'agence, le conseiller est très embarrassé. </t>
  </si>
  <si>
    <t>jaja-88811</t>
  </si>
  <si>
    <t>J'ai souscris une assurance vie pour le capital de ma Mère. Au décès de celle-ci, pour récupérer le capital ce fut très difficile . Je vous passe les problèmes rencontrés. Nous avons pu, enfin, récupérer le capital augmenté, parait-il des intérêts de l'année 2019. Le capital a produit l'année entière et aurait du générer les intérêts annoncés soit 1,75 % . Le décompte envoyé à chacun des héritiers était loin d'appliquer ce % annoncé dans les médias. J'ai donc demandé le détail du calcul.... 3 fois, sans résultats. Je vous laisse juge !!!</t>
  </si>
  <si>
    <t>10/04/2020</t>
  </si>
  <si>
    <t>pepere-88691</t>
  </si>
  <si>
    <t>Mes grands-parents sont décédés il y a plus d'1 an déjà, et je n'ai à ce jour perçu qu'une partie des assurances-vie qu'ils avaient contractées. On me demande sans cesse les mêmes documents, que j'ai déjà envoyé en de nombreux exemplaires. J'en ai assez, la prochaine étape sera l'UFC.</t>
  </si>
  <si>
    <t>04/04/2020</t>
  </si>
  <si>
    <t>dan0006-88530</t>
  </si>
  <si>
    <t>Commentaire diffusé sur Facebook ce jour 25 mars 2020
Depuis 45 jours AFER séquestre le capital de l'assurance vie de ma mère défunte
Le 20 janvier 2020, AFER et une banque Mutuelle au nom bien connu ont eu communication des pièces nécessaires au paiement des sommes dues au titre d'assurance vie.
La Banque Mutuelle à honoré son contrat par un paiement sous 2 semaines.
Par contre AFER dont le contrat prévoit que " le paiement intervient à réception des pièces le concernant " n'a non seulement pas viré les sommes correspondantes, mais ne donne aucun signe de vie.
AFER est hélas coutumier de cette pratique. Vous trouverez de nombreux témoignages d'héritiers spoliés par cette société sous le lien :
https://www.opinion-assurances.fr/assureur-afer-assurance-v…
Qui croirait que Mr Gerard BECKERMAN, directeur, qui vante sur diverses vidéos le sérieux d'AFER, soit l'instigateur de ces pratiques bien dommageables aux familles qui viennent de perdre un de leur proche.
Je vous laisse le soin de juger
A toutes fins utiles, je vous informerai au quotidien de l'avancement de ce dossier
Client depuis 20 ans. Impossible de joindre le siège ni mon courtier.En attente depuis plusieurs mois d'une prestation suite décès de mon papa. A se demander si la société ne cache pas une faillite. A fuir au plus vite.
opinion-assurances.fr
Afer - assurance-vie - Avis de Franck
Client depuis 20 ans. Impossible de joindre le siège ni mon courtier.En attente depuis plusieurs mois d'une prestation suite décès de mon papa. A se demander si la société ne cache pas une faillite. A fuir au plus vite.
Client depuis 20 ans. Impossible de joindre le siège ni mon courtier.En attente depuis plusieurs mois d'une prestation suite décès de mon papa. A se demander si la société ne cache pas une faillite. A fuir au plus vite.</t>
  </si>
  <si>
    <t>25/03/2020</t>
  </si>
  <si>
    <t>jackburk-88491</t>
  </si>
  <si>
    <t>Bonjour, après avoir lu les nombreuses mésaventures des autres personnes en attente de déblocage d'une assurance vie suite au décès d'un proche, j'aimerais augmenter les chances d'avoir un traitement rapide de mon dossier. 
Pourriez-vous me lister les pièces demandées par l'Afer en pareille situation pour me permettre d'être exhaustif dès ma première demande ?
Quelle adresse postale utiliser ?
Merci par avance</t>
  </si>
  <si>
    <t>23/03/2020</t>
  </si>
  <si>
    <t>chris-88458</t>
  </si>
  <si>
    <t xml:space="preserve">Un commentaire de plus négatif sur AFER.
Un dossier d'assurance vie non payé et impossible de connaitre le délai de traitement.
Les bureaux succession de NICE ont reçu les papiers le 24 janvier, confirmé par la plateforme téléphonique, mais JAMAIS ils ne sont venus me demander des documents. Les 15 jours légaux sont bien passés et le mois de délai de paiement aussi.
NE restons pas seuls face à cette injustice. AFER a pris une action de groupe dans les dents, il est temps de se regrouper pour doubler le coup.
afer.abus@gmail.com
</t>
  </si>
  <si>
    <t>22/03/2020</t>
  </si>
  <si>
    <t>sylviane-88317</t>
  </si>
  <si>
    <t xml:space="preserve">Bonjour,
Depuis plusieurs mois mes trois enfants tentent d'obtenir les fonds détenus par AFER sur trois contrats 01135110, 01151745 et 01182773 que leur grand-mère décédée le 5 août 2019 leur a laissé en les désignant bénéficiaires de son ÉPARGNE.
Depuis mi-août 2019, le GIE AFER et ses correspondants les "baladent" de services en services, pour finalement toujours les renvoyer au contact physique AFER de leur grand-mère, l'agence LEDRU ROLLIN à Paris, qui lui se considère comme une boîte aux lettres et s'affirme bien incapable de gérer le sort de leurs trois dossiers.
Je note que ce conseiller était bien en place pour valider le changement de bénéficiaires que nous souhaitions au printemps 2019 en affirmant qu'une fois le dossier de succession complété, les fonds seraient "disponibles" sur leurs comptes bancaires respectifs au plus tard trente jours après.
Certes, les promesses n'engagent que ceux qui les reçoivent, mais les dossiers de mes enfants étant complets et finalisés depuis fin novembre 2019, les trente jours sont largement écoulés...
Une telle situation est inadmissible et incorrecte car dans un premier temps, elle bafoue le souhait et le plaisir d'une adhérente à laisser le fruit de son labeur à sa famille et dans un second temps, elle maltraite les bénéficiaires en retournant toujours dans la plaie le couteau du rappel de l'absence de leur grand-mère, comme si le GIE AFER les estimait indigne de ce legs.
A titre personnel, ayant pu apprécier que d'autres assureurs, comme AXA ou des Banques : LCL, Caisse d'Épargne etc, s'avéraient beaucoup plus réactifs que le GIE AFER, dans un délai bien inférieur aux trente jours légaux, pour la liquidation des contrats de succession qui leur avaient été confié, le cas de mes enfants ne semblant pas isolé, je crains que le défaut de disponibilités financières du GIE AFER soit à l'origine des déconvenues de nos enfants.
En effet, que penser d'un assureur qui pour retenir des fonds logiquement disponibles, fait état en décembre 2019, d'un souci de changement de logiciel, le 12 février 2020 précise qu'au plus tard le 8 mars 2020 les sommes seront versées sur les comptes bancaires des intéressés, et le 12 mars 2020 les bénéficiaires ne voyant toujours rien venir, les laisse dans leur désarroi, sans aucune information sur le suivi réel du devenir du cadeau de leur aïeule.
Et PIRE, se permet de financer des publicités extravagantes pour clamer une fiabilité de ses contrats d'assurance-vie bien invisible par les bénéficiaires.
Mon exaspération se décuple encore davantage à chaque tentative téléphonique au service dit "succession" à Nice au 04.92.14.42.00, car là aussi le défaut de suivi interne est extravagant.
Le même message, que sur les autres lignes : 01.40.82.24.24 ou 01.53.20.21.50 etc, est asséné, une voix nasillarde oriente les "bénéficiaires" vers le site AFER pour consulter le suivi de leurs dossiers, ce qui s'avère IMPOSSIBLE s'ils ont sollicité le paiement des sommes disponibles en leur faveur, puisqu'ils ne disposent pas d'un NUMÉRO D'ADHÉRENT et encore MOINS d'un relevé d'épargne à leur nom...
Découvrant ce genre de forum d'assurés, je demeure dubitative sur l'efficacité du retour qu'il est possible de générer en faveur de mes enfants, mais j'ose encore espérer une petite réaction favorable en faveur du souhait d'une défunte dont le seul tort fut d'accorder une telle confiance à de si grands fantaisistes de la finance car si elle avait placé ses économies dans son propre logement pendant plus de 40 ans, il y aurait déjà plusieurs mois que ses petits-enfants disposeraient de ses dernières volontés, que le Notaire aurait solder une succession beaucoup plus LUCRATIVE, même après versement des droits de succession...
Sur ce dernier point, je suis surprise que le GIE AFER n'en ait absolument pas conscience pour assurer sa SURVIE...
En espérant que le GIE AFER puisse me démontrer dans la semaine à venir que mon propos est dénué de bon sens...
Dans cette attente
Bon courage à tous les lecteurs qui subissent le même sort que mes trois enfants...
PS : J'ai volontairement signalé les numéros de contrats concernés pour faciliter la compréhension du condamné aux doléances des souscripteurs et bénéficiaires de contrats AFER 
</t>
  </si>
  <si>
    <t>bmoulira-88189</t>
  </si>
  <si>
    <t xml:space="preserve">Malheureusement, je suis dans la même situation que celle décrite dans de nombreux avis. J'ai avisé Afer du décès de ma mère le 3 janvier et malgré de nombreuses relances effectuées par notre correspondant ou directement par 3 lettres recommandées successives. A ce jour 10 mars nous n'avons pas reçu le moindre accusé de réception alors que la loi impose un délai maximum de 15 jours pour demander les pièces éventuellement nécessaires au traitement du dossier. Nous avons l'impression que la loi ne les concerne pas . Par ailleurs, leur désinvolture vis à vis des ayants droits est inadmissible. </t>
  </si>
  <si>
    <t>10/03/2020</t>
  </si>
  <si>
    <t>lepreu74-81320</t>
  </si>
  <si>
    <t xml:space="preserve">Dans le dossier de presse de l'AFER, le mardi 14 janvier 2020, dans la rubrique résultats 2019 à la page 82, Gérard Bekerman le Président, citait Montesquieu qui disait que : La pire injustice, c'est le délai. Il me semble que le Président ne comprend pas ce qu'il lit, ou alors qu'il se moque ouvertement des adhérents qui attendent des mois de voir leurs demandes traitées par des services devenus totalement incompétents. Que ce soit pour des rachats (total ou partiel) ou pour des versements de capitaux à la suite de décès, le crédo d'AFER c'est devenu : Notre mode de fonctionnement, c'est le délai.
Et AFER a le culot de nous demander de les conseiller à de nouveaux adhérents potentiels !
NON ! Toutes les autres, mais pas eux.
</t>
  </si>
  <si>
    <t>pph-88164</t>
  </si>
  <si>
    <t>Assureur à fuir, aucune communication ou réponse des service en charge des successions. Erreur d'adresse pour le courrier au bénéficiaire et impossibilité pour AFER de changer cela dans leur système informatique... d'ailleurs ce sytème informatique est la seule explication donnée par le Président pour expliquer qu'il faille pret de 5 mois pour régler la succession</t>
  </si>
  <si>
    <t>benedicte-87948</t>
  </si>
  <si>
    <t>J'attends le versement de l'assurance vie laissée par mon père. Depuis 4 MOIS !!! J'ai relancé un nombre incalculable de fois le service client. 
Ils ne versent juste pas l'argent... 
Hallucinant.</t>
  </si>
  <si>
    <t>06/03/2020</t>
  </si>
  <si>
    <t>franck-87568</t>
  </si>
  <si>
    <t>Client depuis 20 ans. Impossible de joindre le siège ni mon courtier.En attente depuis plusieurs mois d'une prestation suite  
 décès de mon papa. A  se demander si la société ne cache pas une faillite. A fuir au plus vite.</t>
  </si>
  <si>
    <t>24/02/2020</t>
  </si>
  <si>
    <t>lilou-87504</t>
  </si>
  <si>
    <t>Une catastrophe !!!! en 11 ans d'adhésion, je n'ai jamais vu une gestion aussi mauvaise. L'AFER se moque des adhérents qui la font vivre. Je me sens prise en Otage pas cette organisation.
je cherche activement à placer mes sous ailleurs.</t>
  </si>
  <si>
    <t>gra-87265</t>
  </si>
  <si>
    <t xml:space="preserve">Depuis la migration du site en octobre 2019 aucune amélioration alors que nous sommes en février 2020 ! Incroyable ! Impossible de demander une avance en ligne. Impossible de joindre le service client. Aucune information sur la page d'accueil du site, aucune réponse aux réclamations par mail. L'Afer se moque manifestement du monde. Mes données personnelles sont pleines d'erreur et il est impossible de les modifier. Lamentable. Ne mérite pas même une étoile. </t>
  </si>
  <si>
    <t>17/02/2020</t>
  </si>
  <si>
    <t>chc49-87229</t>
  </si>
  <si>
    <t>impossible a joindre le president totalement incompetent depuis 3 mois</t>
  </si>
  <si>
    <t>alexandreu-86751</t>
  </si>
  <si>
    <t xml:space="preserve">je ne suis pas du tout satisfait de l'entreprise afer. Malgré le fait que j'ai cotise régulièrement pendant 7 ans, lorsque je demande le rachat complet de mes parts en septembre et que le dossier est validé en octobre 2019 et en cours depuis, nous sommes en février et je n'ai toujours pas reçu les dites sommes demandées. Afer ne respecte pas ses engagement qu'elle même à intégré au contrat signé d'un commun accord entre les deux partis. De plus ils sont injoignables. Ce n'est pas très gentil ni très respectueux. Je suis extrêmement déçu et contrit. </t>
  </si>
  <si>
    <t>catmisc75-86527</t>
  </si>
  <si>
    <t>ne plus épargner chez AFER cette association méprise ses adhérents au plus haut point , en effet des que il faut payer il n y a plus personne. Demande de rachat partiel effectué le 18 décembre, malgré de nombreuses relances aucun délai de paiement. Impossibilité de joindre le siège, et d'accéder à mon espace personnel</t>
  </si>
  <si>
    <t>30/01/2020</t>
  </si>
  <si>
    <t>jpont-86282</t>
  </si>
  <si>
    <t>ne plus epargner chez AFER cette association meprise 
ses adherents au plus haut point , en effet des que il faut payer il n y a plus personne ,nous sommes avec deux autre membre de ma famille beneficiaires d un contrat d assurance vie AFER que notre tante avait souscris en 2002 cette personne est decedee le 19 novembre 2019 depuis cette date malgre une declaration par l AGIRA un depot de l acte de deces au correspondant local de AFER,un courrier recommande avec accuse de reception, une reclamation sur le site de AVIVA partenaire de AFER , nous n avons recu aucun document necessaire au debloquage des fond , le pire silence le plus complet de AFER et de AVIVA ? pas un mot d explication ou d excuse, nous en sommes a agir avec ACPR et bientot le mediateur de l assurance et s il le faut il y aura une action en justice 
ces gens la  ne resterons pas impunis ,et nous ferons savoir partout qui sont reellement   AFER et AVIVA</t>
  </si>
  <si>
    <t>24/01/2020</t>
  </si>
  <si>
    <t>adherent-85624</t>
  </si>
  <si>
    <t>Somme non portée sur mon compte depuis début décembre 2019.
Injoignable au téléphone sauf une seule fois pour entendre le personnel parler entre eux, me sans répondre.
Il y aurait des problèmes informatiques qui durent depuis bien trop longtemps.
Cela n'empêche pas en tout cas de répondre au téléphone.
Dans ces conditions, il me paraît plus prudent de retirer mon argent pour le mettre ailleurs.</t>
  </si>
  <si>
    <t>08/01/2020</t>
  </si>
  <si>
    <t>nomade75004-85437</t>
  </si>
  <si>
    <t>Que se passe-t-il à l'AFER? Toutes les pièces nécessaires ont été communiquées le 20 Octobre 2019 pour obtenir le versement de l'assurance vie de ma défunte mère sur mon propre contrat. Nous sommes début Janvier, toujours rien. Et mon conseiller ne répond pas à mes mails, son téléphone est toujours occupé. Lorsque l'on appelle l'AFER, après une longue attente on tombe (au choix) sur une personne excédée ou bien sur quelqu'un d'aimable qui ne sait rien et ne peut rien. On vient de me donner un mail du service de succession, à moi de me débrouiller..
Cerise sur le gâteau, ils ne sont pas doués en informatique non plus..
Bref, dès mon retour à Paris je me précipite au bureau de mon soit disant conseiller pour récupérer tous mes avoir. 
Sans faire de publicité, j'ai récupéré les assurances vies de de ma mère à la Société Générale / SOGECAP en trois semaines avec des correspondants absolument aimables et compétents.</t>
  </si>
  <si>
    <t>totocdg-85404</t>
  </si>
  <si>
    <t>Mon père est décédé le 10 octobre 2019, le 20 octobre AFER avait tous les papiers nécessaires (certificat de décès, CI et RIB des bénéficiaires) pour procéder à l'envoi des documents adéquat en vu du versements des fonds. Depuis (nous sommes le 2 janvier 2020) et malgré de nombreux courriels et appels téléphoniques (sans réponse) et surtout deux lettres recommandées, AFER ne fait rien !</t>
  </si>
  <si>
    <t>02/01/2020</t>
  </si>
  <si>
    <t>jlh-82110</t>
  </si>
  <si>
    <t>Gare aux RV à Paris, 75009 : l'adresse disparaît, le standard du siège coupe et renvoie au site qui ne répond pas. De qui se moque-t-on ? D'adhérent(e)s inexpérimenté(e)s égaré(e) dans la rue Drouot. Ce n'est pas bien mature...</t>
  </si>
  <si>
    <t>coincoin-81933</t>
  </si>
  <si>
    <t>Mon frère décédé en octobre 2019 avait une assurance vie au bénéfice de ses 2 jeunes enfants Le courtier qui pourtant sait vendre les contrats n'a pu nous préciser qui joindre et quels documents fournir ! Nous avons du trouver les informations seules Le dossier pour le versement de cette assurance a été transmis il y a plus d'un mois, aucun retour ! Personnel injoignable, c'est lamentable!   Mon frère en souscrivant ce contrat pensait protéger ses enfants avec un capital tout de suite disponible mais il parait bien difficile de récupérer l'argent. Incompétence, désinvolture, duperie ?</t>
  </si>
  <si>
    <t>14/12/2019</t>
  </si>
  <si>
    <t>jpcarp-81577</t>
  </si>
  <si>
    <t xml:space="preserve">Nous ne parvenons plus à nous connecter depuis plus d'un mois sur le nouveau site afer et moi.
Le service client ne cherche pas vraiment à comprendre notre problème, nous disent que notre compte est bloqué, et qu'il suffit d'attendre 48 heures, alors que le message d'anomalie est technique et précise que la page web est trop redirigée. nous réessayons après 48 heures, et cela ne change rien évidemment.
Que faire?
</t>
  </si>
  <si>
    <t>03/12/2019</t>
  </si>
  <si>
    <t>lebig-81074</t>
  </si>
  <si>
    <t>Le logiciel du nouveau site AFER lancé début octobre à ma totale surprise (aucune communication) semble avoir été écrit par des débutants : derriere une ergonomie qui laisse à désirer (exemple : nécessité d'appuyer sur 3 boutons retour pour abandonner une opération), des fonctionnalités qui ne "fonctionnent" pas. Depuis début octobre (soit 48 jours), je ne peux plus faire de versement, demander une avance ou faire un rachat. Adhérent de l'AFER depuis 1996 (et entièrement satisfait de l'ancien site), l'historique de mes versements a disparu de 1996 à 2006 et de 2013 à 2019. Il semble clair que ce site n'a pas réellement été testé avant sa mise sur internet. Ajoutons qu'aucune communication n'a été faite par l'AFER sur le problème pendant plus d'un mois. 
J'en suis donc réduit depuis plus d'un mois et demi, à revenir au courrier postal pour effectuer mes opérations (sont-ce là les nouvelles fonctionnalités promises?)
Espérons que la bonne décision soit prise : faire réécrire entièrement le logiciel et mettre l'actuel à la poubelle.</t>
  </si>
  <si>
    <t>17/11/2019</t>
  </si>
  <si>
    <t>leloup-71689</t>
  </si>
  <si>
    <t>adherent depuis de nombreuses anneesayant 2 contrats....comme d habitude fidel a sa reputation, AFER,t
TOUJOURS FRILEUX a retourne l epargne de ses adherents  / depus le 17 
0ctobre2019 j ai effectuer une demande de rachat partiel. a ce jour ,le 10.11.2019, je suis sans aucune reponse?</t>
  </si>
  <si>
    <t>10/11/2019</t>
  </si>
  <si>
    <t>philm59-80877</t>
  </si>
  <si>
    <t>Si vous comptez sur l'AFER pour faciliter la vie de vos descendants, allez vous ailleurs. Dossier succession d'un adhérent décédé complété début juillet 2019. Aucune réponse depuis (novembre), si ce n'est de jouer la montre en posant 2 mois plus tard des questions sans objet auxquelles il a été néanmoins répondu. Du coup, impossible de faire le dépôt de déclaration aux impôts dans les temps puisque ni le correspondant AFER local, ni le service succession de l'AFER ne daignent fournir les renseignements malgré les nombreuses demandes de transmission des informations nécessaires à la déclaration aux services fiscaux (les pénalités de retard dues par les héritiers comme prévu par la loi en pareil cas ne semblent absolument pas concerner l'AFER).</t>
  </si>
  <si>
    <t>09/11/2019</t>
  </si>
  <si>
    <t>axel-80667</t>
  </si>
  <si>
    <t>bonjour a tous,j'ai fait une demande de rachat partiel de 25000 euros 20/10/2019,la somme etait sur mon compte le 04/11/2019 en depit du vendredi 01/11 qui etait ferié.</t>
  </si>
  <si>
    <t>chamonix1a-80499</t>
  </si>
  <si>
    <t>En déclin, normal sur le fonds en Euros mais très moyen sur les fonds en UC spécialisé , par exemple Avenir senior qui ne décolle pas alors que le secteur est le plus prometteur de la cote 
Afer n'est plus le meilleur.</t>
  </si>
  <si>
    <t>29/10/2019</t>
  </si>
  <si>
    <t>cricri-80268</t>
  </si>
  <si>
    <t>La migration informatique était prévue depuis octobre 2017. L'impossibilité actuelle de contacter Afer et d'effectuer des opérations de retrait laisse craindre le pire quant à la situation actuelle de cet assureur. Je pense que notre épargne est en grand danger.</t>
  </si>
  <si>
    <t>24/10/2019</t>
  </si>
  <si>
    <t>gjn-80359</t>
  </si>
  <si>
    <t>plus moyen de faire de rachats partiel..;leur nouveau logiciel est planté depuis des jours...et des jours...
les conseillers n'ont plus la main sur les comptes!!
on est complètement planté.</t>
  </si>
  <si>
    <t>papyyyy-80335</t>
  </si>
  <si>
    <t>AFER rencontre de nombreux soucis depuis le déploiement du nouveau site internet début octobre. Pour autant, ces soucis ne sont que temporaires et leur contrat reste parmi les moins chers du marché et les plus simples. Je regrette seulement la faible digitalisation encore actuellement proposée sur leur contrat, l'impossibilité pour mon conseiller de voir ma clause bénéficiaire et la difficulté de contact avec leurs services clients.</t>
  </si>
  <si>
    <t>lulunsi-80304</t>
  </si>
  <si>
    <t>Ne rends pas l'argent dans les délais impartis par la loi. A ce jour nous n'avons toujours pas reçu le versement de l'assurance vie suite au décès de Mon Père. Malgré l'envoie de mails je n'ai toujours aucune réponse on ne peut contacter personne du service succession par téléphone aucun conseiller n'est capable de répondre à mes questions et les lignes sont saturées. Pourtant vous prétendez sur votre site Parce que la satisfaction de nos adhérents est ce qui compte le plus à nos yeux nous mettrons tout en œuvre pour traiter votre demande le plus rapidement possible. Sachant que les autres assurances vie détenues par mon père nous ont été versées il y a plus de deux mois je ne comprends pas pourquoi  vos services sont aussi longs. Nous sommes pris en otage, ne pouvant obtenir aucune information et pendant ce temps vous continuez à travailler avec notre argent. J'ai malheureusement été confronté à plusieurs décès familiaux et c'est la première fois que je me retrouve dans cette situation.</t>
  </si>
  <si>
    <t>bob2341-80298</t>
  </si>
  <si>
    <t xml:space="preserve">L'AFER ne répond plus !!!  Impossible de joindre l'AFER ce qui est quand même un comble quand on possède des biens chez eux depuis plus de 10 ans. 
Plate-forme téléphonique visiblement saturée
Email restant systématiquement sans réponse
Courriers restant visiblement lettre morte... 
En attente depuis deux mois d'un remboursement partiel et aucune information. 
A fuir absolument, on dirait une banque américaine en faillite !!! C'est honteux, je n'avais jamais vu cela de la part 'un établissement qui a pignon sur rue. 
 </t>
  </si>
  <si>
    <t>florian-77340</t>
  </si>
  <si>
    <t xml:space="preserve">Aberrant ! Demande de rachat partiel faite le 24/05 faite sur mon espace personnel du site (je précise pour certaines personnes) ! Le 18/06 ma demande n'existe plus .... obligé de refaire une demande écrite à renvoyer par mail ... qui sera prise en "urgence".
Le 04/07 toujours rien même après 25 appels et 10 mails avec des conseillers inutile !! Vive leurs urgences !
Je vous déconseille complètement afer, en plus d'un rendement de plus en plus nul, ils vous traitent comme des moins que rien !
A fuir </t>
  </si>
  <si>
    <t>jeans-77169</t>
  </si>
  <si>
    <t>2 mois que j'attends mon rachat partiel, dans un premier temps on me parle de delais normaux, puis de papiers perdus, dans tous les cas je n'ai à ce jour pas reçu mon épargne!
Le service client est lamentable, ils me mettent en attente des heures jusqu'à ce qyue je raccroche, 25 ans que j'étais client, plus JAMAIS!</t>
  </si>
  <si>
    <t>27/06/2019</t>
  </si>
  <si>
    <t>decourage-72472</t>
  </si>
  <si>
    <t>En cas de besoin de liquider une partie (rachat partiel) les délais sont incroyablement longs : 5 semaines et aucune explication. L'assureur intermédiaire (seul interlocuteur) n'obtient aucune information du GIE AFER;;;du coup, ayant été très mécontent de cette situation, j'ai décidé, à regret, de clore mon contrat AFER et ai donc demandé un rachat total...il y a 5 semaines et toujours rien ! entre temps j'ai envoyé une lettre de réclamation...il y a 3 semaines,et bien sur, rien ! je suis écoeuré et regrette vraiment d'avoir fait souscrire au moins 5 personnes sur des contrats AFER.</t>
  </si>
  <si>
    <t>26/03/2019</t>
  </si>
  <si>
    <t>damienparis14-71537</t>
  </si>
  <si>
    <t xml:space="preserve">Ayant adhéré à plusieurs contrats AFER avec ma femme et ma fille handicapée nous découvrons avec stupéfaction que nous demeurons attachés à jamais à notre courtière - une femme qui a pignon sur rue à Paris où nous résidons - qui ne veut pas nous laisser partir pour un autre courtier AU SEIN DE LA MÊME COMPAGNIE AFER. Nous étions venus à AFER par l’intermédiaire d’un conseiller en patrimoine rattaché à l’UNAPEI de Paris puisque nous avons une fille handicapée pour laquelle nous cherchions aussi des solutions financières satisfaisantes.
Lassés de l’impossibilité de la joindre sans avoir l’impression de la déranger et ne nous fournissant aucun renseignement sur les placements au bout de plus de 16 années celle-ci refuse énergiquement que nous passions chez un autre courtier toujours chez AFER prêt à nous recevoir.
Nous allons devoir retirer tout notre argent et perdre notre ancienneté et tous les avantages acquis depuis notre souscription il y 16 ans. Elle nous a d’ailleurs incité en son temps à faire des placements chez AXA n’ayant de cesse de fustiger le trop médiocre fonctionnement de AFER.
Nous avons tenté de joindre en vain la direction d’AFER qui botte en touche et nous dit qu’elle ne peut rien faire.
Alors un conseil fuyez AFER qui vous ment et ne vous dit pas que si vous souscrivez à un contrat vous ne pourrez jamais changer de courtier au sein de cette même compagnie d’assurance sauf à y perdre tous vos intérêts. Mauvaise AFFAIRE chez AFER le courtier c’est à vie.
</t>
  </si>
  <si>
    <t>22/02/2019</t>
  </si>
  <si>
    <t>passatisfaitafer-68870</t>
  </si>
  <si>
    <t xml:space="preserve">Lors du décès de mon père en 2003, ma mère a décidé de bénéficier de la totalité du patrimoine de mon père en usufruit.
Elle a notamment placé 75.000 Euro sur un contrat Multisupport, dont je restais le nue-propriétaire.
Ma mère est décédée le 25 Juin 2018 et depuis il m'est impossible de récupérer la totalité de ma propriété, nue-propriété et usufruit. Il manque toujours un papier. Le notaire s'en est préoccupé et a adressé des attestations au service succession. Malgré cela et de nombreuses relances et démarches je n'ai toujours pas mon argent.
Plus grave, au chômage depuis plusieurs mois, je souhaitais utiliser ces fonds pour me permettre d'investir dans une entreprise pour laquelle j'ai négocié pendant plus de 3 mois. Devant l'impossibilité de percevoir mon argent j'ai été contraint de renoncer à l'achat et j'ai perdu 3.500 Euro de dédits plus une opportunité de rebondir professionnellement.
Fuyez
</t>
  </si>
  <si>
    <t>23/11/2018</t>
  </si>
  <si>
    <t>jeanmi59-59611</t>
  </si>
  <si>
    <t xml:space="preserve">Bonjour 
Pour tout placement je ne conseille pas AFER 
J ai ouvert un compte en juin 2013 
Mon cumul de versement à ce jour est d'un montant de 54000e avec une plus value voisinant 1000e sur 5ans et demi réparti 60 pour cent en FG ET 40 pour cent en UC 
Je vous laisse réféchir 
Je suis en dessous des 1 pour cent concernant de rendement 
Je continue à effectuer des versements mensuels mais ca fond BLANC COMME NEIGE 
Aujourd hui je ne sais que faire 
Je termine par ce mot 
FELICITATIONS 
</t>
  </si>
  <si>
    <t>francoise-53325</t>
  </si>
  <si>
    <t>Bonjour,
 je souhaite résilier mon contrat
  Multisupport afer euro croissance 100% fonds de garanti en euros ( qui vraiment ne rapporte rien) en déduisant les frais d'entrée, et les frais sur chaque versement, ma question et le suivant à quel moment je dois fermer mon compte pour ne pas perdre le peut de bénéfice de cette année, afin de rentrée dans mon argent. Merci pour vos réponses</t>
  </si>
  <si>
    <t>29/08/2018</t>
  </si>
  <si>
    <t>didi-64300</t>
  </si>
  <si>
    <t>cet assureur est plus fort pour garder notre argent que pour nous le rendre. Tous les arguments sont bons pour vous empêcher de retirer de l'argent. Et quand vous réussissez enfin à "négocier" une sortie de fonds il faut un temps infini pour obtenir le versement. Je déconseille vivement cet assureur.</t>
  </si>
  <si>
    <t>31/05/2018</t>
  </si>
  <si>
    <t>être adhérant est très simple,effectuer des versements aussi ,mais le jour ou vous voulez récupérer votre épargne,les problème commencent,et ce n'est que le début,il faut contacter le service clients qui vous renvoi a un autre service,qui lui ne s'occupe pas des rachats et finalement vous donne le n° de téléphone du siège qui lui ne répond pas.entre temps on fouille sur internet ,on trouve un questionnaire a renvoyer au siège du GIE AFER,un vrai questionnaire de police,comme si on ne vous connait pas au bout de 25 ans d'adhésion....
justificatif,d’identité,de domicile,d'imposition,photocopies de ceci de cela etc...qu'allez vous faire de cet argent?? et j'en oublie .
reste a envoyer un recommandé au président de l'affaire,j'en suis là ! je vous tiendrai au courant de la suite</t>
  </si>
  <si>
    <t>21/04/2018</t>
  </si>
  <si>
    <t>axelle-61627</t>
  </si>
  <si>
    <t>olivia3110-60611</t>
  </si>
  <si>
    <t>Demande d'avance effectué sans problème sur le site de l'afer, 1 semaine pour recevoir le virement sur son compte, merci.
A noté faire les demandes d'avance ou rachat partiel ou arbitrage le lundi avant minuit sinon retard d'une semaine pour le traitement.</t>
  </si>
  <si>
    <t>15/02/2018</t>
  </si>
  <si>
    <t>nougat-57245</t>
  </si>
  <si>
    <t>Concernant le traitement des successions c'est une Vraie catastrophe: pièces égarées,  non respect du contrat, correspondants fantômes ou incompétents, manque de considération des assurés.</t>
  </si>
  <si>
    <t>htc-54942</t>
  </si>
  <si>
    <t>Le siège d'AFER ou l'administratif borné au plus haut point. Ma mère a 98 ans et souhaite un rachat total de son contrat. AFER refuse le versement au motif que sa carte d'identité est périmée. Elle ne se déplace plus et lui est difficile d'aller faire des photos, 
Son besoin est urgent. Une question a été posée à AFER "service information adhérents" 3 mois auparavant demandant les documents à transmettre dans le cadre d'un rachat total. La réponse précisait seulement une demande sur papier libre. Cet organisme exige un document officiel avec photo. Rien des autres pièces officielles ne peut les satisfaire, que ce soit photocopie livret de famille, titre de pension, factures, document d'allocation. Difficile de trouver pire dans l'incompréhension. Par contre une très grande qualité de service du cabinet local AFER.</t>
  </si>
  <si>
    <t>agnes-54331</t>
  </si>
  <si>
    <t>J'ai les mêmes problèmes: mauvaise communication avec les adhérents dont on se fiche pas mal, demande de remboursement du 6 mars non satisfaite à ce jour sous de faux prétextes, pièces supplémentaires demandées en plusieurs fois alors qu'elles ont été envoyées, etc....</t>
  </si>
  <si>
    <t>27/05/2017</t>
  </si>
  <si>
    <t>mathieu13003-53387</t>
  </si>
  <si>
    <t>rapport moyen. 
mais ce qui me semble important, c'est qu'il est très difficile de récupérer son argent.
J'ai demandé un rachat d'une petite somme et on m'a annoncé un delai de 15 jours ouvrables. Cela fait presque un mois. C'est inquiétant.</t>
  </si>
  <si>
    <t>18/04/2017</t>
  </si>
  <si>
    <t>Contrat avec bon rendement et un choix simple et large de supports. Souple et possibilité de faire des arbitrages réguliers pour mon versement, c'est pratique pour éviter d'acheter au plus haut.</t>
  </si>
  <si>
    <t>arthur2225-51420</t>
  </si>
  <si>
    <t>Bonjour,
Moi j'ai ouvert un compte depuis un an, afer prend un pourcentage sur chaque versement, et bien au bout d'une année malgré les intérêts de cette année, je me retrouve avec moins argent que mon versement initial pouvez-vous me dire si c'est normal...</t>
  </si>
  <si>
    <t>16/03/2017</t>
  </si>
  <si>
    <t>albert-49604</t>
  </si>
  <si>
    <t>La façon dont le fond IMMO a été ouvert et fermé quelques heures après, est indigne d'une Association de Protection des Epargnants ! Donc je trouve mon investissement dans le fond Euro que je ne voulais pas. Seuls les "initiés" connaissaient la combine !</t>
  </si>
  <si>
    <t>09/12/2016</t>
  </si>
  <si>
    <t>ds-65711</t>
  </si>
  <si>
    <t>Il est vrai que la rémunération est bonne. Mais.. mais le rachat est quelque chose d'épouvantable. Le doosier a été traité avec plus d'un mois de retard avec perte de valeur sur les unités de compte. Il est très difficile d'avoir le décompte définitif qui m'a permis de m'apercevoir de cette situation. Après rejet de ma demande de compensation, celle-ci a été enfin acceptée. Toujours sans décompte récapitulatif.Cela montre et des problèmes administratifs et des problèmes de transparence.</t>
  </si>
  <si>
    <t>26/11/2016</t>
  </si>
  <si>
    <t>ledictateur-40978</t>
  </si>
  <si>
    <t xml:space="preserve">Apres le décès en février 2021 de mon père l'assureur Sogecap a mis tout en œuvre pour ne pas nous permettre de constituer le dossier bénéficiaire. A ce jour, nous sommes toujours en attente. Évitant ainsi de verser les primes nous revenant. 
Ils nous répètent à chacun de nos appels que nous recevrons par courrier les codes d'ouverture de l'espace bénéficiaire. Que faire? Saisir le médiateur ?
En attendant, ayant moi-même souscrit un contrat, je vais de ce pas le résilier... puisque cet assureur n'est pas fiable, ni compétent. </t>
  </si>
  <si>
    <t>25/09/2021</t>
  </si>
  <si>
    <t>mano56-132631</t>
  </si>
  <si>
    <t>Je suis plus que mécontente...
ma mère est décédées en décembre 2020. Tout le dossier complet a été transmis à Sogecap dont le certificat de notoriéte... en juin n'ayant aucune nouvelle je les ai contactés il m'a été dit ne pas avoir reçu ce fameux certificat puis qq secondes plus tard s'excuser , l'avoir retrouvé et faire le nécessaire; le 18 août je les ai de nouveau contactés , toujours le même scénarrio , pas de certificat  puis retrouvé... et là on m'a assuré envoyer le dossier que je dois remplir fin août début septembre; mais ce 13 septembre le notaire a reçu de leur part un courrier réclamant une noivelle fois ce certificat qu'il leur avait déjà adressé 2 fois!!!
le jour où je verrai ce certificat je le ferai encadrer!! j'espère obtenir satisfaction un jour mais?</t>
  </si>
  <si>
    <t>ehk-115413</t>
  </si>
  <si>
    <t>J'ai d'une assurance-vie suite au decès de mon père fin dec 2020. Cela fait 5 mois. La SG ne m'a contacté que debut mai, alors que j'avais fait une demande par l'Agira en janvier (organisme completement inutile, rien n'a bougé avant 4 mois, et seulement parce que l'autre beneficiaire les a relancés plusieurs fois). Et maintenant ca traine, 2 semaines que les papiers ont ete fournis, la SG prend une semaine pour accuser reception, et puis plus de nouvelles, le dossier est "reglé" selon le site. J'ai essayé de joindre le conseiller qui nous est affecté, je lui ai laisse 5 messages, jamais eu de reponse. Service nul, et la SG garde l'argent pour le faire travailler, je ne vois pas d'autre raison à leur lenteur</t>
  </si>
  <si>
    <t>31/05/2021</t>
  </si>
  <si>
    <t>corinne64-114182</t>
  </si>
  <si>
    <t>Suite au deces de ma mere en juillet, je suis beneficiaire d'une assurance vie. Ca fait 3 fois qu'ils me demandent le meme document et 3 fois que je leur envoie. J'avais recu un courrier de leur part disant que c'etait complet. A croire qu'ils perdent les papiers.</t>
  </si>
  <si>
    <t>coco-110736</t>
  </si>
  <si>
    <t>Je suis très étonnée de voir le nombre d'avis négatifs sur le site concernant les paiements.
Bénéficiaire d'une assurance vie par une parente, j'ai envoyé l'ensemble des papiers via internet sur leur plate forme . J'ai eu une fois besoin de précisions sur un document , j'ai donc téléphoné au numero dédié , une  personne m'a repondu et bien expliqué.
Un mois apres , une fois l'ensemble des documents transmis , j'ai été reglée sur mon compte bancaire.
Rien à dire , service parfait</t>
  </si>
  <si>
    <t>kinette--110316</t>
  </si>
  <si>
    <t xml:space="preserve">Délai de traitement des dossiers succession très très long: 10 mois avec des relances fréquentes. Les pièces du dossier sont demandées au compte gouttes. Pas de supplément d’intérêts versés. La banque postale a traité un dossier identique en 15 jours dans les mêmes conditions de confinement et télétravail.  </t>
  </si>
  <si>
    <t>david87-101703</t>
  </si>
  <si>
    <t>Bonjour
Combinés à Société générale et SEGECAP, ils forment une équipe inutile, insensible à mes demandes normales, retard après retard toujours en attente de la réponse requise pour annuler et rembourser mon argent, (raison sans emploi depuis plus de deux ans une raison inscrite dans le contrat)
David</t>
  </si>
  <si>
    <t>21/12/2020</t>
  </si>
  <si>
    <t>lounis-87207</t>
  </si>
  <si>
    <t>Bof</t>
  </si>
  <si>
    <t>16/02/2020</t>
  </si>
  <si>
    <t>sg-phobie-75281</t>
  </si>
  <si>
    <t>Frais sur versement et frais d'arbitrage élevés, rendement net annuel sur support EURO peu performant, peu de visibilité concernant l'avance (et surtout pas de réponse a ce sujet de la part de l'agence Société Générale qui gere le contrat) et au final un rachat préconisé sur 2 contrats matures fiscalement et bien fournis... pour servir de fonds propres dans le cadre d'un pret immobilier Société Générale qui a tardé a se profiler et au final a un taux moins interessant que celui initialement avancé (pour nous ferrer...). Double punition. Etablissement a fuir absolument et pourtant je suis client depuis plus de 20 ans...les choses ont bien changé malheureusement.</t>
  </si>
  <si>
    <t>annette-71435</t>
  </si>
  <si>
    <t>Gestion CATASTROPHIQUE des dossiers! 
Aucun interlocuteur compétent et pourtant sur la plateforme je n'ai pas moins de 5 personnes différentes à qui on doit tout réexpliquer à chaque fois.
Aucun respect de l'engagement à recontacter le client et en plus on nous raccroche au nez!
Une conseil: FUYEZ! Allez souscire ailleurs</t>
  </si>
  <si>
    <t>19/02/2019</t>
  </si>
  <si>
    <t>artamas-66817</t>
  </si>
  <si>
    <t>A eviter d'urgence, comme toutes les filiales de la societe generale.
5mois de retard sur les payement, je dois faire l'avance de 22.000 euro, ils ont mettent mon entreprise en péril
J'ai du renvoyer 8 fois le meme document avant qu'il daignent réagir et me donner un rendez vous au bout de 4 mois sans reponses de leur part , j'ai quand meme du faire crise au telephone</t>
  </si>
  <si>
    <t>Extrêmement mauvaise compagnie d' assurance</t>
  </si>
  <si>
    <t>marie-61609</t>
  </si>
  <si>
    <t>incompetence aucune communication possible suite aux décès de mes parents trop rapprochés...de nombreux appels téléphoniques sans résultats ils reconnaissent leurs erreurs mais aucune suite c'est juste inadmissible et bien sur impossible d'avoir un responsable</t>
  </si>
  <si>
    <t>marki-59476</t>
  </si>
  <si>
    <t xml:space="preserve">bonjour 
ma mere decedee . les docs pour notaire etaient pret et envoyer a sogecap vers le 24 janvier 2017 
j ai ete paye debut mars..DES LE DEBUT J AI ECRIS EN RECOMMANDE . DECLARANT QUE TOUTE TENTATIVE DE RETARD JE LEUR COLLE LE FISC AU DOS ...ET JE L AURAI FAIS JE CONNAIS QUELQUES PERSONNES QUI SE SERAIENT FAIT UN PLAISR D ALLER LES VOIR SI ILS NE RESPECTAIENT PAS LA LOI </t>
  </si>
  <si>
    <t>09/12/2017</t>
  </si>
  <si>
    <t>stephanecouillaud11-57940</t>
  </si>
  <si>
    <t>Manque serieusement de professionalisme et de pro-activite.
Sogecap n´entreprend aucune action par eux-meme, ce sont les clients qui doivent les engager pour lancer un processus de succession, meme s´ils ont ete formelement informe du deces.
Par ailleurs, Sogecap necessite 10 jours ouvres pour repondre a un email, ce qui fait trainer en longeur les processus en cas de succession.
Etant en ce moment engage dans un processus de succession, j´ai ete en contact avec d´autres assurances vie, et Sogecap sort clairement negativement du lot.
Si cet avis peut servir a d´autres personne, je vous deconseille de travailler avec eux et s´il est deja trop tard, n´hesitez pas a engager les manoeuvres directement au telephone et tres rapidement puisqu´ils font volontairement trainer les echanges pour retarder les versements.</t>
  </si>
  <si>
    <t>10/10/2017</t>
  </si>
  <si>
    <t>cbecart-57406</t>
  </si>
  <si>
    <t>J'ai souscrit un contrat d'assurance-vie il y a 12 ans pour lequel je verse 60€ par mois.
Au bout de ces 12 ans j'ai perdu 300€, alors que les différents frais et prélèvements représentent 25% de mes versements mensuels.
Je n'ai à aucun moment été entendu, même le médiateur, contre toute déontologie a refusé par 2 fois de regarder mon dossier.
Je ne peux que recommander à tous ceux qui ne veulent pas être spoliés d'éviter cet assureur et la Société Générale qui en assure la promotion.</t>
  </si>
  <si>
    <t>17/09/2017</t>
  </si>
  <si>
    <t>belenus54-123952</t>
  </si>
  <si>
    <t>Des publicités non respectées :
-gratuité de tenue de compte promise puis facturée !
-promesse de ristourne de 3% sur les versements ; limitée par la suite aux unités de compte et enfin qui ne sont que 3% sur les frais de gestion des unités de compte !
Frais supérieurs à ceux annoncés !
Prélèvements indus à l'insu de l'épargnant !
Ces évènements ont provoqué le rachat total du contrat et le dépôt de plainte au pénal avec constitution de partie civile !
A noter l'opacité et le flou artistique des informations !
A éviter absolument !</t>
  </si>
  <si>
    <t>20/07/2021</t>
  </si>
  <si>
    <t>cnp-assurances-116020</t>
  </si>
  <si>
    <t>Bonjour
La CNP refusent de m'envoyer les contrats d'assurance-vie  ENTIERs  faît chez AXA et 1 autre à la Banque Postale dont j'étais une bénéficiaire ... les assurés avaient dit à mon frère et à moi que nous étions SEULS bénéficiaires ...SEULEMENT nos 2 soeurs aînées ont eu la même part que nous DONC sur les conseils de mon assureur j'ai réclamé les dîts contrats QUI M'ONT éTé REFUSés CAR nous n' étions que NEVEU et NIèCE : ils n'avaient pas d'enfants ...
Que dit la loi : est-ce que VRAIMENT nous n'avons pas le droit de voir si la CNP n'a pas fait d'erreur en distribuant ce pécule en 4 au lieu de 2 héritiers ??? Je ne veux plus dialoguer avec la CNP ... Mais avoir la preuve du nombre d'héritiers notés dans la contrat : donc ça ne peut être qu'en lisant TOUT LE contrat ...
En espérant VIVEMENT avoir ces contrats , je vous remercie ;  aussi vous me demandez mno no de tel SEULEMENT je ne réponds que le soir (tranquille chez moi ) sinon suite à votre réponse par mail éVENTUELLEMENT je vous fixerai 1 moment pour que vous me téléphoniez ... pat35132@live.fr</t>
  </si>
  <si>
    <t>laury31200-114325</t>
  </si>
  <si>
    <t>FRAIS ABUSIFS ET GESTION ABUSIVE
FRAIS CACHES
PERTE EN CAPITAL CAR FRAIS SUPERIEURS EN GAINS
AUCUN SUIVI 
CONTRAT PAS PERFORMANT MAL NOTE ET FONDS EURO A LA TRAINE</t>
  </si>
  <si>
    <t>pagrita-100916</t>
  </si>
  <si>
    <t>J’ai  souscris une assurance vie, malheureusement je me vois prélever du double de ma cotisation en plus de 15€ qui ne m’ont pas été indiqué pour l’ouverture de mon compte qui sont soit disant des frais. Je demande une mensualisation pour chaque 10 du mois et ils effectuent le prélèvement le 3 du mois. Maintenant je me bats pour résilier car j’ai même pas eu droit au délais de rétractation.</t>
  </si>
  <si>
    <t>fanny-85761</t>
  </si>
  <si>
    <t>Si je pouvais mettre 0 je le ferais sans hésiter .....depuis plus de 25 ans j'ai constitué une cagnotte pour ma retraite chez axa pensant que j'avais à la fois le sérieux et la qualité ....mal m'en a pris ....il m'a fallut tout ce temps pour comprendre pourquoi axa se fiche éperdument de ses clients ....c'est au travers d'une demande de transfert de mon compte chez un autre agent général ,pensant trouver un interlocuteur valable après un premier entretien avec une employée, que j'ai découvert le pot aux roses ....cette nouvelle agence m'a refusée prétextant l'éloignement, puis le rachat de mon portefeuille auprès de mon agent actuel pour finalement m'avouer que si je ne met pas d'argent nouveau sur mon compte... IL NE GAGNE RIEN ......qui aujourd'hui accepte de travailler pour rien ???? je suis coincée et axa le sait ils font donc ce qu'ils veulent de l'argent et je n'ai aucun moyen pour sortir de cette situation à part perdre sur tous les tableaux ....
J'ignore totalement la pratique chez les autres assurances mais PRENEZ GARDE ....</t>
  </si>
  <si>
    <t>missy81-89934</t>
  </si>
  <si>
    <t>Cliente depuis toujours chez AXA, j'en était relativement satisfaite .... jusqu'à cette année. Je suis extrêmement déçue par le traitement des rachats partiels sur un contrat Figures Libres. Ce que la conseillère à omis de nous dire, c'est la somme retenue pour chaque rachat (elle ne le savait visiblement même pas à ce qu'elle me dit). Autant dire que ce contrat va finalement nous couter plus d'argent que ce qu'il nous aura fait gagner. Du coup, on est bien décidé à tout résilier. Dommage .... pour AXA !</t>
  </si>
  <si>
    <t>26/05/2020</t>
  </si>
  <si>
    <t>francesco-86396</t>
  </si>
  <si>
    <t xml:space="preserve">suite au décès de mon père, j'ai fait les démarches auprès de l'agent pour changement de risque et pour le contrat assurance vie dont ma mère est bénéficiaire. L'agent n'a pas traité mon courrier et le pire troisième relance de chez agipi à l'agent: service au client rendu nul.  </t>
  </si>
  <si>
    <t>27/01/2020</t>
  </si>
  <si>
    <t>blaisebankole-78922</t>
  </si>
  <si>
    <t xml:space="preserve">Titulaire d'un contrat d'assurance-vie, j'ai demande le rachat total de mon contrat depuis octobre 2016 et je n'ai jamais eu gain de cause.
Mon Contrat a été émis le 25 NOVEMBRE 1992 et terminé le 25 NOVEMBRE 2007. Je suis citoyen Béninois et je reside au Benin. 
</t>
  </si>
  <si>
    <t>04/09/2019</t>
  </si>
  <si>
    <t>ym63-70315</t>
  </si>
  <si>
    <t xml:space="preserve">PAS d'ASSURANCE QUALITE chez AXA:
le courtier: - Suite au décès de votre femme, vous allez recevoir un chèque soldant son assurance-vie..................
Moi :-A ma connaissance, ma femme  n'est pas morte.
le courtier: - ah c'est incroyable!
Je me connecte à son compte, compte fermé.
Je passe des heures à comprendre, à téléphoner au courtier, à écrire....
J'ai exigé des lettres indiquant que c'était une erreur, 
Ma femme a reçu en courrier simple d'AXA le 15 janvier 2019: "votre conseiller.....nous a alertés de la clôture de votre contrat suite à une erreur de notre part ..." et cerise sur la gâteau: "Nous vous présentons toutes nos excuses pour les désagréments que vous avez subis"...heureusement qu'elle n'avait pas une assurance-obsèques AXA!!!!!!!!!!
Ma femme aurait aimé, et l'a demandé, recevoir la position de son compte au 31/12/2018 comme pour mon Avie personnelle....cela fait 3 mois que nous attendons.  
Imaginez si j'avais été dans un Ephad avec des facultés mentales détériorées. 
Qui a fait l'erreur, le courtier, le notaire, les personnel d'Axa?????????????????
Circulez, y a rien à comprendre.
</t>
  </si>
  <si>
    <t>03/04/2019</t>
  </si>
  <si>
    <t>angie1003-70478</t>
  </si>
  <si>
    <t>J'ai été démarché sur mon lieu de travail par des agents AXA. Je venais de vendre un  appartement et  j'étais en recherche d'un autre logement à acheter, leur ai-je expliqué. Ils m 'ont conseillé une assurance vie  profil prudent . Dès le 1er mois j'ai vu mon épargne baissée et j'ai voulu récupérer mes fonds immédiatement. Après maints appels  ils m'ont dit qu'il fallait attendre quelques mois pour obtenir une petite plus value. FAUX C'est tous les mois des pertes énormes. Il ne faut pas faire confiance aux agents AXA qui racontent des mensonges pour avoir des fonds. Il en va de soi qu'il y a un défaut de conseil évident</t>
  </si>
  <si>
    <t>22/01/2019</t>
  </si>
  <si>
    <t>jerome68-69971</t>
  </si>
  <si>
    <t>Enormément déçu. J'ai souscrit un contrat en 2011.Suite a une séparation,je suis contraint de faire un rachat total.Et j'apprends que je suis même pas en mesure de récupérer mon capital total versé.Mais ou sont passés les intérêts durants toutes ces années?</t>
  </si>
  <si>
    <t>07/01/2019</t>
  </si>
  <si>
    <t>Assurance souscrite il y a plusieurs années déjà. Par contre, à part un document transmis par AXA une fois par an pour préciser où en est le compte, aucune autre explication régulière sur la tenue du compte et sa gestion.</t>
  </si>
  <si>
    <t>axavie64-68973</t>
  </si>
  <si>
    <t xml:space="preserve">Bonjour a vous tous .mon coup de chaud pour l.assurance vie  ODYSSIEL mon contrat est en plus en gestion pilotée. 
Depuis 3 ans a part des frais de 4% a chaque ajout le montant chute chute 
Pourquoi laissent t ils faire perdre des sommes aussi longtemps. </t>
  </si>
  <si>
    <t>28/11/2018</t>
  </si>
  <si>
    <t>sergio37-67938</t>
  </si>
  <si>
    <t xml:space="preserve">bonjour,
suis client depuis presque 30 années !
mais suis de plus en plus déçu du site en ligne d'axa dédié aux particuliers détenant des assurances -vie .
par exemple : pour un contrat contenant des unités de comptes , dont des sicav de distribution, (dividende annuel) il est totalement impossible de comprendre d'où vient la somme versée et dite "traitée"
l'ancien site était plus explicite, quoique incomplet, on pourrait penser que l'assuré est incompétent pour comprendre : ce qu'est un dividende net, un dividende réinvesti en nouvelles parts (net de frais gestion) etc. etc . tout semble bien établi afin de masquer les dits "frais de gestion"
merci de me transmettre l'adresse d'un site efficace
qui me permettra de suivre la gestion de ces opérations financières, comme on peut le faire pour un compte titres bancaire . les sites en ligne actuels, sont capables de le faire . pourquoi axa ne les utilise pas?
si une amélioration n'est prochainement pas prévue, je ferai, comme l'année dernière, un retrait annuel d'un montant ne dépassant les 9200 e de plus-value, pour les réinvestir dans un autre contrat, ailleurs, dont la gestion du site en ligne, est bien adaptée , pour qui veut suivre, de près, les variations diverses, de son patrimoine . en quelques années, mon contrat sera épuisé .
notre famille possède quatre contrats axa et tous, nous suivrons la même méthode . alors,
 adieu axa .  .  .
</t>
  </si>
  <si>
    <t>21/10/2018</t>
  </si>
  <si>
    <t>paskal-64344</t>
  </si>
  <si>
    <t xml:space="preserve">Bonjour. J'ai des soucis avec un placement Euractiel souscris en 2013. J'aimerai avoir des infos sur le taux réel qui va étre pris en compte au terme des 8 ou 10 années, et sur le montant des prélèvements qui augmente régulièrement. Les closes 5.1.3 &amp; 5.1.4 sont floues. Merci de m'informer. Cordialement. </t>
  </si>
  <si>
    <t>yvonne-64176</t>
  </si>
  <si>
    <t>je ne recommande pas du tout de souscrire une assurance vie auprès AXA.</t>
  </si>
  <si>
    <t>may83-60685</t>
  </si>
  <si>
    <t xml:space="preserve">Je possédais une assurance vie épargne océan depuis 2002 qui me satisfaisait totalement . Depuis 1 an le conseiller AXA me harcelait pour transformer ce contrat en multi support, j'ai fini par accepter un RDV. Je lui est répété que je ne voulais prendre aucun risque quitte à avoir un rendement faible. Ce conseiller m'avait déja fait contracté un PEA en 1999 , six mois après j'avais perdu 50 % du capital que j'ai mis 15 ans à récupérer. Il m'a convaincu en me disant que mon contrat actuel étant arrivé à échéance, AXA me rénumérerait désormais qu'avec le minimum garantit sans participation aux bénéfices et que le nouveau contrat avait une gestion pilotée, sans action, donc sans risque de perte de capital. De plus que je n'aurais aucun frais de transfert si je signais rapidement , une offre promotionnelle étant en cours et la date butée fixée bien sur au lendemain. Et cerise sur le cadeau une prime de 6% du capital versée au bout de 8 ans. Bien sur toutes les signatures ont été réalisées sur la tablette sans possibilité de voir les documents associés que j'ai découverts le lendemain sur le site web. Et la, à ma grande surprise: 4,85 % de frais de transfert, un support à haut risque de perte de capital (risque 5 sur 7) et pas de prime de 6% de mentionné. l
Je suis scandalisé par cette méthode et je m'en veux de mettre laisser berner à ce point.
La loi me permet de renoncer en partie au transfert et je vais devoir me battre maintenant pour prouver la tromperie du conseiller. 
je ne faisais déja plus beaucoups confiance à AXA, mais là c'est fini.
</t>
  </si>
  <si>
    <t>21/01/2018</t>
  </si>
  <si>
    <t>lolo-60239</t>
  </si>
  <si>
    <t>lorsque vous signez on vous promet que les frais de dossier seront récupérés ...la première année
De plus notre conseillère est introuvable (indisponible jusqu'en octobre...) même axa n'est pas au courant ..c'est le meilleur de l'année 2018.
nous attendons toujours l'appel d'un autre conseiller ...</t>
  </si>
  <si>
    <t>06/01/2018</t>
  </si>
  <si>
    <t>nike-55931</t>
  </si>
  <si>
    <t>J'ai lu avec attention les commentaires majoritairement très négatifs des différents intervenants concernant AXA.
Mais je pense que peux largement surenchérir ; en effet je me suis fait traiter de "Gros c.." par la direction des relations clients (preuve enregistrée à l'appui).
A vous de faire votre choix ...</t>
  </si>
  <si>
    <t>11/07/2017</t>
  </si>
  <si>
    <t>alain-54057</t>
  </si>
  <si>
    <t>AXA la pire des assurances vie fuyez cette enclume !!  ...J ai ete pris en otage suite au rachat de STATE STREET ....depuis je subis un  site AXA ridicule ne permetttant aucune gestion plus de conseiller plus d information financiere sur fonds etc.Action en cours Lettre AR et recours mediateur..... AXA a arbitre sans mon accord sans preavis ni information 8000 eur d une sicav performante vers une monetaire a interet negatif (!!)  ! AXA se refuse a me fournir conseils et parametres me permettant de cloturer leur piege a epargnant et de recuperer mes 45 000 euro !!Leur fond en euro rapporte 0,48% alors que la concurrence propose 2,5% en moyenne .....perte globale environ 4 000 euro</t>
  </si>
  <si>
    <t>10/07/2017</t>
  </si>
  <si>
    <t>max44-55320</t>
  </si>
  <si>
    <t xml:space="preserve">Une société d'assurance à fuir absolument. Des conseillers dont l'unique objectif est de vous faire signer des contrats, même si ceux-ci ne sont pas adaptés à vos besoins. </t>
  </si>
  <si>
    <t>13/06/2017</t>
  </si>
  <si>
    <t>didierp-53216</t>
  </si>
  <si>
    <t xml:space="preserve">Un parent souhaitait nous transmettre l'argent de son assurance vie arrivée à terme. 
Nous avons demandé au conseiller de venir régler l'affaire afin d'obtenir cette somme en liquide. Le conseillé nous assure que les documents ont été préparés dans ce sens.
Ce conseillé est venu chez nous, accompagné d'un autre conseiller mais au lieu de nous verser la somme prévue,  ils ont réussi à nous convaincre de placer à nouveau cette somme en assurance vie chez AXA (avec, au passage des frais d'entrée exorbitants. Uniquement des arguments oraux, plus ou moins vrais, peu vérifiables, aucun document écrit....Signature sur une tablette électronique d'un contrat de 5 pages, sans laisser un délai de réflexion. 
Nous avons demandé ces documents en version imprimée, refus du conseillé, il faut les demander à la compagnie.
Il y avait, entre autre, dans ces documents, une information sur notre droit de renonciation dans un délai de 30 jours mais nous ne le savions pas.
Nous avons donc exercé ce droit de renonciation mais au bout de 6 semaines, toujours pas de réponse. Pourtant la loi oblige la compagnie à restituer la somme versée dans un délai de 30 jours.
Nous avons donc saisi le médiateur des assurances.
Nous attendons la réponse.
</t>
  </si>
  <si>
    <t>emilie-53110</t>
  </si>
  <si>
    <t xml:space="preserve">Pas satisfaite du nouveau site internet d ' AXA. Il y a toujours une erreur technique lorsqu' on veut disposer de notre argent ..... Obliger de passer par son conseiller pour faire un retrait partiel pour une assurance vie , donc de se justifier pour disposer de son propre argent   !!!!!! </t>
  </si>
  <si>
    <t>09/03/2017</t>
  </si>
  <si>
    <t>yllens-52230</t>
  </si>
  <si>
    <t xml:space="preserve">AXA Fuyez  !!!!!! Bande de cols blancs qui ne répondent pas au demandes... Se fichent des clients !!!!
</t>
  </si>
  <si>
    <t>09/02/2017</t>
  </si>
  <si>
    <t>ppccr-50990</t>
  </si>
  <si>
    <t xml:space="preserve">Impossible de percevoir la performance de la gestion pilotée
En 18 mois, 2 de mes contrats n'ont pas décollés alors que presque tous les supports UC et € dégagent des gains en 2016.
Les gains ne sont pas pour moi et semblent resté chez Axa avec le prétexte trop facile que la conjoncture est difficile...
Que va mettre Axa en place pour un support actif à une possible gestion personnelle ? </t>
  </si>
  <si>
    <t>05/01/2017</t>
  </si>
  <si>
    <t>samoreen-50632</t>
  </si>
  <si>
    <t xml:space="preserve">Placement réalisé sur un contrat Capital-Ressources. Rente versée comme prévu pendant les premières années. Quand j'ai cessé le rachat de la rente, je me suis aperçu qu'en fait le capital non racheté ne m'avait rapporté que 3,5% globalement sur 9 ans. Autant dire rien. </t>
  </si>
  <si>
    <t>24/12/2016</t>
  </si>
  <si>
    <t>jack-138678</t>
  </si>
  <si>
    <t>Je ne vois que de la baisse depuis avril 2021.
Vraiment déçu par Mutavie alors que je n.ai que des satisfactions pour la Macif. 
Évidemment sur le site de Mutavie je ne vois que des compliments.</t>
  </si>
  <si>
    <t>lili-107242</t>
  </si>
  <si>
    <t xml:space="preserve">Nous avons demander des devis pour des assurances décès. A la macif. Le conseiller dans la semaine qui suit à mis 2 asuurances décès sur nos 2 têtes sans signature.Moi J ai pu faire annulé immédiatement, mon mari c est fait preveler de suite. Il est aller à l agence et à pousser une gueulante, ils ont dit que c était un problème informatique, l assance à vite été annulé. 
Méfiez vous !!!!!!! 
FUYER !!!!!!!!!!!! </t>
  </si>
  <si>
    <t>20/03/2021</t>
  </si>
  <si>
    <t>monica-87792</t>
  </si>
  <si>
    <t>attention votre assurance accident de la vie je  vous informe que a partir de 65 ans vous payer toujours le même prix sauf que en cas  d accident vous indemnise 50% de moins MON ASSURANCE ma avertie par lettre recommandée la Macif rien donc je suis en étude pour enlever tous mes contrats trop déçu de l accueil hautin  du centre gestion indemnités  m bradesi ps client depuis 50ans</t>
  </si>
  <si>
    <t>22/02/2021</t>
  </si>
  <si>
    <t>romain95-103774</t>
  </si>
  <si>
    <t xml:space="preserve">Depuis fin décembre je ne reçois plus rien comme intérêts contact par mail inexistant (aucune réponse), le chemin de la résiliation est en route !!    </t>
  </si>
  <si>
    <t>06/02/2021</t>
  </si>
  <si>
    <t>mimilisa-86452</t>
  </si>
  <si>
    <t>rendez vous ce jour a la Macif de Lisieux !!monsieur Duval nous as fait un état de nos contrats !!on a vérifier amenangé pour notre assurance vie</t>
  </si>
  <si>
    <t>28/01/2020</t>
  </si>
  <si>
    <t>stef-79728</t>
  </si>
  <si>
    <t xml:space="preserve">il est vraie que le livret vie à perdu beaucoup de ses qualité mais c'est général pour tout plus aucuns supports n'est intéressant à ce jour en France l'épargne est en chute libre et c'est valable pour tout aussi bien pour le livret A qu'un LEP tout est impacté il faut se contenter de peu et c'est toujours ça et ne prendre aucuns risques car c'est la perte assuré sinon </t>
  </si>
  <si>
    <t>04/10/2019</t>
  </si>
  <si>
    <t>fontam-69802</t>
  </si>
  <si>
    <t xml:space="preserve">place en assurance vie depuis aout 2018 2550 euro  a ce jour je perd de l argent ce n est pas normal vous devriez vous cantonner à faire de l'assurance et pas de placement hasardeux pas sérieux du tout </t>
  </si>
  <si>
    <t>11/08/2019</t>
  </si>
  <si>
    <t>stephanbhz-75292</t>
  </si>
  <si>
    <t xml:space="preserve">Mon papa avait souscrit une assurance vie.
A son décès, l'assurance devait verser un capital sous 72H , après avoir envoyé les documents par mails, renvoyé, renvoyé et renvoyé renvoyé renvoyé et renvoyé, cela fait maintenant 312H que nous attendons ce premier versement, je suis très inquiet pour la suite.
</t>
  </si>
  <si>
    <t>renaud-71767</t>
  </si>
  <si>
    <t xml:space="preserve">Bonjour,
J ai ouvert un compte mutavie avec un dépôt mensuel. 
Je découvre par ma faute car je verifie pas mes papiers et aucun courrier arrive que celà n'a jamais été fait!
Sur mon compte mutavie, j avais demandé une répartition sur plusieurs supports et la je vois que les mensualisations passent bien mais que tout est sur le support euros!
A qui la faute, à la macif qui m a fait les contrat ou à mutavie qui suit pas les contrats?
Quelqu un connait le même problème???
Merci </t>
  </si>
  <si>
    <t>desire-69903</t>
  </si>
  <si>
    <t>J'ai souscrit en 2004 un contrat d'assurance vie Actiplus J'ai alimenté ce contrat régulièrement en vue de me constituer une épargne retraite En 2016 la MACIF m'a proposé de transformer ce contrat en contrat multi vie appelé "transformation Fourgous avec  répartition du capital existant à 80 % en euros et le reste 20 % en actions OFI Le document de synthèse de mon épargne à l'époque me conseillait cette transformation. Client fidèle de la Macif j'ai fait confiance; aujourd’hui je constate qu'une partie de mon épargne c'est considérablement réduite.</t>
  </si>
  <si>
    <t>04/01/2019</t>
  </si>
  <si>
    <t>bijou2860-56209</t>
  </si>
  <si>
    <t xml:space="preserve">Bonjour, mon ex mari décédé en juillet 2016, avait contracté une assurance vie à la macif avec comme bénéficiaires nos 2 filles. A ce jour,  fin juillet 2017, rien n a été versé. Ils nous ont réclamé un tas de papiers, pour certains quasiment impossibles à avoir, pour d autres très importants et d un coup ne le sont plus et la macif nous en réclame d autres. Je pense qu ils font traîner l affaire car l assurance n a pas l intention de verser quoi que ce soit comme il S agit d une grosse somme. Pourtant j ai relu le contrat et le questionnaire de santé et rien n explique que les choses traînent mise à part une mauvaise foi de leur part. Surtout garder vos décomptes de CPAM car ils les réclament aux bénéficiaires bien que je pense que ce soit un leurre et qu ils ne versent jamais les indemnités à qui que ce soit, préférant S enrichir sur le malheur des gens. </t>
  </si>
  <si>
    <t>28/07/2017</t>
  </si>
  <si>
    <t>gino-127815</t>
  </si>
  <si>
    <t>N'ouvrez jamais un PER chez swisslife, compagnie injoignable par téléphone lorsque votre conseiller est en vacance ( Trés souvent!). A la retraite depuis avril dernier, jai demandé il y a 2 mois, un débloquage partiel de mon capital, a ce jour toujours rien!!!! Ma conseillere m'avait dit 3 semaines maxi. Je suis sur le point de prendre un avocat car j'ai un besoin urgent de cet argent.( j'ai 780 euros de retraite!). C'est une honte!!!! Donc, A FUIRE ABSOLUMENT!</t>
  </si>
  <si>
    <t>SwissLife</t>
  </si>
  <si>
    <t>co--124542</t>
  </si>
  <si>
    <t xml:space="preserve">Ça fait un mois que j ai remandé le rachat de mon assurance vie Après réception le jour même de ma demande,un sms vous affirme que dans les 20 j l argent est viré Ça fait un mois et rien J appelle pour demander des explications et l on explique que le rachat n a pas encore été fait faute bcp de dossiers à traiter À déconseiller fortement </t>
  </si>
  <si>
    <t>24/07/2021</t>
  </si>
  <si>
    <t>myriam--116803</t>
  </si>
  <si>
    <t xml:space="preserve">Bonjour j ai mon grand père qui es décédé il y a 3 mois on me dis je vais toucher que 280euros alors que il la depuis 25 ans je ne comprend plus rien dis moi si c est normal svp </t>
  </si>
  <si>
    <t>alex-109961</t>
  </si>
  <si>
    <t xml:space="preserve">Suite au décès de ma maman le 04/03 dernier, elle avait 2 contras d'assurance décès chez Swiss life, j'avoue qu'après avoir vu les avis sur Internet j'ai eu très peur, alors oui il demande beaucoup de document et certains que je ne comprend toujours pas, je suis la seule héritière ça ne devrait pas être si compliqué, bref ils ont fait le versement la semaine dernière soit 1 mois et quelques jours. </t>
  </si>
  <si>
    <t>10/04/2021</t>
  </si>
  <si>
    <t>pierre31-107962</t>
  </si>
  <si>
    <t>J'ai souscrit un contrat Titres@vie début janvier 2020 par l'intermédiaire du courtier Altaprofits. Au bout d'un an, mécontent de la gestion en ligne proposée ( bugs répétés, erreurs constatées, surtout très mauvais service client...) j'ai décidé d'effectuer le rachat total du contrat. J'en ai fait la demande écrite le 10/02/2021 en recommandé avec AR (sage précaution!) en joignant un RIB et une copie de pièce d'identité après m'être renseigné par téléphone sur la marche à suivre .N'ayant eu aucun retour au bout de trois semaines, j'ai téléphoné début mars pour m'informer: on m'a répondu que l'opération était en cours puis on m'a demandé de renvoyer une Fiche de Renseignements Complémentaires ( dont on ne m'avait pas signalé l'existence lorsque je me suis renseigné) .Je l'ai fait immédiatement et deux semaines plus tard j'ai reçu de la part d'un mystérieux service une nouvelle demande de renvoi de cette fiche : qu'était-il advenu de la précédente ? Non transmise, égarée ( volontairement ou non) ?... Impossible de savoir. Je me suis exécuté une nouvelle fois et à ce jour ( 1mois 1/2 plus tard !) toujours aucune nouvelle du remboursement de mes fonds et impossible d'avoir la moindre information 
A quel jeu jouent cet assureur et ses associés ? On a l'impression de se heurter à un mur infranchissable . Cela m'inquiète d'autant plus que je n'ai aucun problème avec les autres assureurs chez qui j'ai contracté une assurance-vie . Je rejoins donc les avis largement exprimés ici : EVITEZ SWISSLIFE ( et le courtier ALTAPROFITS) , c'est qui se fait de PIRE en matière d'assurance-vie</t>
  </si>
  <si>
    <t>nanou55-102915</t>
  </si>
  <si>
    <t>A fuir!! Ma mère est décédée depuis presque 1 an. Ils lui ont fait prendre 5 contrats en lui promettant que nous n'aurions à nous inquiéter de rien pour ses obsèques, puisque je suis bénéficiaire de 2 de ses contrats et au bout d'un 1 an, rien!!!
Aucune réponse. Impossible d'avoir quelqu'un au téléphone ou alors on ne veut pas vous répondre. Impossible d'avoir l'argent. Une honte pour une assurance!!
Passez votre chemin si vous voulez une assurance sérieuse et à votre écoute.</t>
  </si>
  <si>
    <t>lode78-96374</t>
  </si>
  <si>
    <t>A fuir !!! Enchainement de multiples erreurs en l'espace de deux mois. Somme affichée sur l'espace client différente du montant initial investi (moins 1000 euros qui se sont envolés). Demande de rachat complexe !!! (Première demande aux oubliettes, deuxième demande sans retour concret de la part du service client. SWISS LIFE, c'est SUPER (médiocre).</t>
  </si>
  <si>
    <t>17/08/2020</t>
  </si>
  <si>
    <t>tresencolere-95457</t>
  </si>
  <si>
    <t xml:space="preserve">Bonjour à fuir 3 mois que je bataille avec eux pour le rachat de mon assurance retraite !!!! Jeudi 23 juillet on me laisse un message vocal pour me dire que mon dossier est traité et que le virement est effectué. 
Aujourd'hui toujours rien concernant le virement... 5 différents conseillers sur 2 jours et 5 versions différentes avec des excuses insensées !!!! 
J'ai gardé les communications et je vais faire appel à un avocat car je pense que c'est la seule solution 
</t>
  </si>
  <si>
    <t>28/07/2020</t>
  </si>
  <si>
    <t>nani-91392</t>
  </si>
  <si>
    <t xml:space="preserve">Voilà ça fait 10 jours qu' on me balade mon père est decede le 24 mars 2020 pendant le confinement il avait une assurance vie j ai transmis tout les papiers qu' ils ont demandé le dossier est clos au mois de mai 2020 j appelle le 12 juin on me dis qu' il est parti en règlement a la comptabilité mais j ai vraiment du mal à les croient car avant il me demandait des papiers qu' il avait déjà mais je leur disait de vérifier et la oui on les a il faut attendre après on me redemande mon RIB je leur dit qu' il l ont encore il font tout pour pas régler j ai du payer l enterrement de mon père je suis à découvert de 4000 euro j ai beau leur dire toujours rien sur mon compte je vais m en rendre.malade qu' est qu' il vont me demander la prochaine fois aidez moi </t>
  </si>
  <si>
    <t>22/06/2020</t>
  </si>
  <si>
    <t>mm-86507</t>
  </si>
  <si>
    <t>A fuir. Mon épouse et moi avions un contrat d'assurance vie chacun. A force de mauvais conseils nous avons décider de mettre un terme. IL nous fallut 1,5 mois pour récupérer nos fonds, sans explications aucune malgré nos demandes. Et comble nous nous retrouvons avec des frais d'une mensualité de dépot sur chaque compte. sans que nous n'en soyons informés. Donc, fuyez car grands sourires pour déposer de l'argent mais que de l'inertie sans communication pour récupérer son argent</t>
  </si>
  <si>
    <t>29/01/2020</t>
  </si>
  <si>
    <t>feral-85806</t>
  </si>
  <si>
    <t>bonjour
dommage que l'on ne puisse pas mettre moins de une etoile
service client nul et ne réponds pas aux courriers
je 'ai bien reçu un mail m'indiquant que mon courrier obtiendrait une réponse sous 3 mois ça fait 5 mois!!
et quand vous obtenez une réponse c'est sans rapport avec la question posée
il ne me reste plus que le médiateur ou l'avocat pour obtenir des réponses concrètes
peut être qu'il y a une "élite" de conseillers réserve a répondre aux juristes</t>
  </si>
  <si>
    <t>18/01/2020</t>
  </si>
  <si>
    <t>jean25-85598</t>
  </si>
  <si>
    <t xml:space="preserve">Mon contrat est bien suivi jamais de problèmes depuis plus de 10 ans rien à dire de négatif pour ce contrat </t>
  </si>
  <si>
    <t>07/01/2020</t>
  </si>
  <si>
    <t>luca-80451</t>
  </si>
  <si>
    <t>Suite à une demande de rente à vie, impossible d'avoir des précisions sur les prélèvements qui devrait être réalisés. Des réponses stéréotypés.</t>
  </si>
  <si>
    <t>27/10/2019</t>
  </si>
  <si>
    <t>ahbonbougna123-79609</t>
  </si>
  <si>
    <t>assureur au fonctionnement curieux et irresponsable : quand vous désirez récupérer vos fonds, ils sont désagréables au téléphone, puis ensuite ne vous répondent plus du tout !</t>
  </si>
  <si>
    <t>30/09/2019</t>
  </si>
  <si>
    <t>katy-74605</t>
  </si>
  <si>
    <t xml:space="preserve">Lamentable ! A fuire !
Pendant plus de 10 ans nous avons cotisé chez Swisslife, dans le cadre d'une assurance vie, afin de prévoir la couverture des frais d'obsèques lorsque nous devrions faire face au décès de mon papa, titulaire de ce contrat. Décédé depuis le 24 janvier voila 2 mois que mon papa est enterré. Et malgré nos nombreuses relances, nous sommes toujours dans l'attente du virement du capital décès pour nous acquitter des pompes de funèbres. voila 8 semaines durant lesquelles chacun de nos interlocuteurs téphoniques  s'applique a nous répéter la même chanson : tout est en ordre et le virement devrait s'etablir sous 1 a 2 semaines. Mais d'une semaine sur l'autre on nous invite à patienter davantage sans réellement s'engager sur une date buttoir. Voyez chez SwissLife c'est normal. il leur faut plus de 8 semaines pour faire prévaloir les garanties de leur contrat, et vraisemblablement "tout est en ordre" ! Ma patience est mise a dure épreuve, et en résulte ce fâcheux sentiment de se sentir "baladée". Lorsque l'on souscrit a un tel contrat c'est bien justement pour obtenir la garantie d' une certaine tranquillité financière liée aux frais engendrés  lors de ce malheureux événement. A la douleur de la perte d'un être cher s'ajoute aujourd'hui une contrariété dont je me serais bien passée et une facture des pompes de funèbres non acquitée ! la gestion des dossiers est d'autant plus déplorable car au décès de mon papa, bien que nous ayons complété et retourné en bonne et due forme les documents demandés, le contrat, quant a lui n'a pas été clôturé et nous avons continué a être prélevé ! C'est vraiment pas sérieux. et assurément je ne vous recommande pas Swisslife.  
</t>
  </si>
  <si>
    <t>katy-74599</t>
  </si>
  <si>
    <t xml:space="preserve">Lamentable ! A fuire !
Pendant plus de 10 ans nous avons cotisé chez Swisslife, dans le cadre d'une assurance vie, afin de prévoir la couverture des frais d'obsèques lorsque nous devrions faire face au décès de mon papa, titulaire de ce contrat. Décédé depuis le 24 janvier voila 2 mois que mon papa est enterré. Et malgré nos nombreuses relances, nous sommes toujours dans l'attente du virement du capital décès pour nous acquitter des pompes de funèbres. voila 8 semaines durant lesquelles chacun de nos interlocuteurs téléphoniques  s'applique à nous répéter la même chanson : tout est en ordre et le virement devrait s'etablir sous 1 a 2 semaines. Mais d'une semaine sur l'autre on nous invite à patienter davantage sans réellement s'engager sur une date buttoir. Voyez chez SwissLife c'est normal. il leur faut plus de 8 semaines pour faire prévaloir les garanties de leur contrat, et vraisemblablement "tout est en ordre" ! Ma patience est mise a dure épreuve, et en résulte ce fâcheux sentiment de se sentir "baladée". Lorsque l'on souscrit a un tel contrat c'est bien justement pour obtenir la garantie d' une certaine tranquillité financière liée aux frais engendrés  lors de ce malheureux événement. A la douleur de la perte d'un être cher s'ajoute aujourd'hui une contrariété dont je me serais bien passée et une facture des pompes de funèbres non acquittée ! la gestion des dossiers est d'autant plus déplorable car au décès de mon papa, bien que nous ayons complété et retourné en bonne et due forme les documents demandés, le contrat, quant a lui n'a pas été clôturé et nous avons continué a être prélevé ! C'est vraiment pas sérieux. et assurément je ne vous recommande pas Swisslife. </t>
  </si>
  <si>
    <t>syma-70729</t>
  </si>
  <si>
    <t>En attente depuis plusieurs mois du versement de l'assurance vie de ma mère suite à son décès , comment puis-je obliger Swisslife à me verser ce qui m'est du ?</t>
  </si>
  <si>
    <t>29/01/2019</t>
  </si>
  <si>
    <t>ikya-69460</t>
  </si>
  <si>
    <t>Nous nous sentions en confiance, car Swisslife avait pignon sur rue. Le commercial nous a vendu l'excellence prétendue des services et des fonds. Au final, sur le long terme, nous perdons des centaines d'euros sur tous nos contrats. Les frais de gestion et les commissions sur versement annulent tout gain potentiel. Nous sommes déficitaires sur l'intégralité des fonds conseillés, que ce soit en unités de comptes ou en fond euros. Méfiez vous des rendements affichés en grand et faites le calcul en intégrant les frais de gestion et les commissions. Une fois cumulés, ils peuvent représenter 6%!!! Dit autrement, si votre fond est positif de 4% c'est qui est une belle perf, vous perdez en fait 2% par rapport à la somme que vous avez versée. Si vous êtes client chez Swisslife, faites le calcul le de toute urgence : vous cumulez les sommes brutes versées et vous mesurez l'écart de valorisation de votre comte sur la même période. Vous risquez de découvrir un gain proche de zéro, ou plus probablement un déficit. Vous devez payer pour leur donner votre argent.</t>
  </si>
  <si>
    <t>11/01/2019</t>
  </si>
  <si>
    <t>loane-65120</t>
  </si>
  <si>
    <t xml:space="preserve">Malgré une demande de rachat le 22 février d un plan Madelin,aujourd'hui 24 juillet... toujours rien. Après un énième courrier recommandé pour le rachat,ils me disent qu ils ont bien reçu ma demande de duplicata.ios répondent à côté comme ca à chaque fois ! Je ne parle pas du commercial secteur 33 qui a fait des faux en conservant les signatures électroniques. J ai porté plainte contre eux et je les assignes au tribunal pour récupérer mon pognon </t>
  </si>
  <si>
    <t>24/07/2018</t>
  </si>
  <si>
    <t>moumoune-64084</t>
  </si>
  <si>
    <t xml:space="preserve">les conditions générales contractuelles sur le versement du capital décès aux bénéficiaires ne sont pas respectées!!! depuis le mois de Mars j'attend le règlement du capital décès de mon père qui est décédé en Février!!! le dossier est complet j'ai envoyé toutes les pièces par mail ainsi que par courrier avec AR. Toujours pas de réponse à ce jour ni aucun versement!!! c'est une honte!!! </t>
  </si>
  <si>
    <t>30/05/2018</t>
  </si>
  <si>
    <t>orca30-62723</t>
  </si>
  <si>
    <t>Aujourd'hui, Swisslife a fini par payer une assurance vie après casi un an de persévérance. 
Nous avons été mis au courant en mai 2017 de cette assurance vie de notre grand mère décédée en 2002, donc quand même 15 ans après..notre mère, et de part son grand âge, ne souhaitant plus gérer d'argent, a décidé d'y renoncer. 
Là, Swisslife, sur 2 refus écris, nous a signifié que nous n'étions pas bénéficiaires (avec le côté pratique pour eux que la Loi leur permet de ne pas divulguer les clauses bénéficaires), et que notre grand mère, entre autre justification, était décédée avant telle Loi, etc... 
Nous avons donc commencé nos réclamations, médiateur d'assurance, courriels, recommandés à l'assureur, etc (au total 2 sur 4 mois alors qu'ils ont l'obligation de répondre dans les 2 mois...), avec au fil du temps en face des gens silencieux, une certaine ignorance, et avec cette même difficulté qu'ont tous les gens qui témoignent ici, de ne pas avoir d'interlocuteur, de se faire ballader pour enfin, dans notre cas, avoir au final, casi un an après de persévérance, une charmante et compétente interlocutrice avec son mail direct, son tel direct.
Bien qu'on nous ait dit que le dossier était complet, après un long et tortueux parcours téléphonique sur la dernière ligne droite et une vague reconnaissance de nos Droits, cette charmante dame nous rappel pour nous dire (ben que non) complet il ne l'est pas mais que, et bonne nouvelle, ils reconnaissent, nous reconfirme, par écrit, que nous sommes donc bien bénéficiaires.
Enfin tout ça pour dire qu'il faut vraiment être persévérant. Je pense que Swisslife joue beaucoup sur le temps, la patience et qu'à la fin l'abandon de démarche leur va très bien.(prendre l'accent Suisse Ovomaltine pour le lire)
Le fait de laisser un témoignage sur Opinion-assurance a aussi été déclencheur pour qu'ils se bougent un peu plus et je les remercie au passage de nous donner cette possibilité.
En règle générale, ne lachez jamais le morceau, soyez confiant, tout est fait en face pour que vous laissiez tomber, vous épuise d'impatience, d'un côté je remercie biensur Swisslife d'avoir enfin payé mais d'un autre côté, je ne les remecie pas pour toute cette énergie perdue, ces prises de têtes sur des chose qui sont de l'ordre de la transmission, de l'Héritage, avec l'éthique et responsabilité qui leur revient. 
Ayant lu aussi pas mal d'autres témoignages, et biensur de part mon expérience avec eux, il est à reconnaître que Swisslife est un peu léger sur certaine situations, parfois même plus problématiques, et on se demande un peu où on est quand on a affaire à eux. Sur quelle planète PRO vivent-t-ils ?</t>
  </si>
  <si>
    <t>30/03/2018</t>
  </si>
  <si>
    <t>aucun-62663</t>
  </si>
  <si>
    <t>j'ai une assurance vie et je n'arrive pas à récupérer mon argent. j'ai beau envoyé des mails, je n'ai aucune réponse. il n'y a pas de numéro de téléphone pour les joindre. je n'ai plus de contact avec un conseiller. c'est honteux pour prendre l'argent pas de soucis mais pour le rendre c'est la galère. je vais contacter mon assistance juridique si je n'ai rien sous 3 jours.j'habite en Guadeloupe -6 heure de décalage horaire.</t>
  </si>
  <si>
    <t>27/03/2018</t>
  </si>
  <si>
    <t>dj-61503</t>
  </si>
  <si>
    <t xml:space="preserve">SwissLife... tout un mystère !! 
Nous avons reçu début janvier 2018 un courrier qui nous demandais des renseignements suite au de mon père survenue il y à presque 7 ans. Nous avons fournis ces renseignements le jour même par mail depuis plus rien plus de nouvelle et impossible de les joindre ! Les deux numéros de téléphone inscrits sur le courrier son injoignable, nous avons renvoyer un mail et rien non plus ! C'est incompréhensible que ce genre d'organisme d'assurance soit injoignable surtout quant il s'agit du décé d'un proche ! </t>
  </si>
  <si>
    <t>assurop-60398</t>
  </si>
  <si>
    <t>Entreprise irrespectueuse envers ses clients  . Aucune réponse aux courriers recommandés suite à dysfonctionnements dans le prélèvements bancaires . Ne remplit pas son rôle d'assureur .A éviter</t>
  </si>
  <si>
    <t>29/01/2018</t>
  </si>
  <si>
    <t>tannie-56000</t>
  </si>
  <si>
    <t>Assureur à éviter absolument. Impossible d'avoir les garanties qui sont exactement couvertes. Refuse toutes communications avec ses clients. Surtout ne pas prendre les produits de cette société. A fuir...</t>
  </si>
  <si>
    <t>ajg13-74766</t>
  </si>
  <si>
    <t xml:space="preserve">archi mécontent, il se foute de nous,  incorrect, 2 lettres recommandée plusieurs mails, et appel téléphonique   aucune réponse, depuis le 30 décembre 2016 suite au décés de mon époux,  contrat souscrit en 1998 plan vie entière  CAPITAUX ASSURES a ce moment la  en francs  9 000 f  ,  aucun remboursement  j'ai payé pendant 18 ans , et eux ne rembourse pas, ne réponde pas,    c'est honteux   , j'avais 2 contrat pour moi et mon époux , je viens donc de résilier ,  j'attends une réponse  et surtout le capital me revenant et le remboursement du rachat pour le 2eme contrat résilier </t>
  </si>
  <si>
    <t>arpeges22580-51282</t>
  </si>
  <si>
    <t>il faut se battre pour recuperer son capitale en fin de contrat 2 letttres recommandés et toujours rien
contrar souscrit en 1998 a trme 2003 et en 2017 pas de remboursement en vue...impossible de joindre le service gestion
!</t>
  </si>
  <si>
    <t>estanelle-50759</t>
  </si>
  <si>
    <t>Papa nous a quitté le 02 décembre 2016. Nous avons contacté Swisslife le 05 décembre 2016. Suite à notre appel le conseiller m a par mail fait la demande de pièces justificatives . Fait aussitôt . On m annonce un délai de traitement a ce moment là de 3 semaines. Je n ai aucune nouvelles en date du 21 décembre 2016 je téléphone donc ...on m annonce que les documents envoyés par mail le 05 décembre viennent seulement d arriver dans le service gestion!!!!!????? soit plus de 2 semaines pour transiter d'un service à l'autre....on me raccroche au nez car je m'énerve mais n'insulte personne...mais bon....ma mère qui est la bénéficiaire du contrat (je l'aide dans ses démarches) téléphone mardi 27 décembre 2016 pour avoir des nouvelles là on lui annonce qu'il manque un document (document jamais demandé dans la demande du 05 décembre 2016 par mail) mais ça nous nous y attendions...trop facile....elle me téléphone paniquée en me disant il manque un papier swisslife m envoi la demande par courrier....je rappel en demandant a ce que cette demande de papier me soit adressée par mail..je reçoit le mail aussitôt...je regarde les pièces manquantes au dossier ...c est 5 nouveaux documents qu on nous demande...bref...dans cette demande de document on nous demande : Un certificat d'absence d'inscription de dispositions de dernières volontés....Je contact un notaire pour savoir un peu ce que cela veut dire...et là le notaire est très surpris de la demande de la part de swisslife il me dit que ce document n a rien a voir avec une demande de déblocage assurance vie ou obsèques que ce genre de document est demandé par un notaire et non pas par une assurance et que c'est quand il y a des succesions immobilières .....je rappel swisslife je tombe sur une personne qui se moque complétement de ma requête ...j explique quand même ce que le notaire m a répondu la personne de chez swisslife me dit que c est mon problème si je ne souhaite pas fournir cette pièce au dossier ...sachant que ce document qu'il demande coûte 18€ et que swisslife ne me remboursera pas ....bref la conversation tourne vite à bonne journée madame et on me raccroche au nez....avant de me préciser que le délai de traitement du dossier est de 30 jours à réception des dernières pièces...dans le contrat que papa avait signé article 8 on lit paiement sous 48h a réception des pièces...voilà j en arrive à prendre un avocat car je pense tombé sur des gens qui se moquent complétement de nous c'est pourtant une goutte d'eau le capital que nous attendons cela ne concerne pas des millions d'euros...mais comme je dis pour prélever sur le compte les mensualités y a du monde mais quand il faut donner dans l autre sens y a plus personne...de là où est papa aujourd hui il doit être très déçu de la tournure que cela prend!</t>
  </si>
  <si>
    <t>fred-132844</t>
  </si>
  <si>
    <t>Pas de problème quand on verse de l argent par contre quelle lenteur quand il s agit de verser une assurance vie aux héritiers, toutes les excuses sont bonnes (surtout quand ne souscrit pas à un autre contrat)</t>
  </si>
  <si>
    <t>14/09/2021</t>
  </si>
  <si>
    <t>olympe62-130446</t>
  </si>
  <si>
    <t>Bonjour,
je viens mettre en lumière la rapidité avec laquelle Allianz traitera votre demande de rachat partiel sur 1 contrat d'assurance vie sachant que le délai habituel est 10 jours. 
Le 12/07/21, j'adresse 1 courrier avec 1 demande de rachat partiel sur mon contrat d'assurance vie souscrit en 2004.
On me demande de renvoyer 1 lettre signée en raison d'1 différence entre la signature initiale...mesure de sécurité oblige, j'adresse donc à nouveau ma demande manuscrite avec signature, tout celà en RAR le 19/07/21 (avis de réception  reçus 3 jours plus tard).
Depuis le 20 juillet 2021, ma demande de rachat partiel afin de transmettre à mes enfants, dans le cadre la Loi Sarkosy le montant de 31865e n'est toujours pas réglée.
J'invite l'ensemble des lecteurs à prendre note de ces désagréments que je subis.
Je fais part de mon mécontentement via ce Forum et à titre d'information.... 33 jours que j'attends, on me répond quotidiennement traitement en cours.</t>
  </si>
  <si>
    <t>stephane-64100-103575</t>
  </si>
  <si>
    <t>Zero,zero,zero... Bénéficiaire nommé d'une assurance vie, suite au décès du titulaire, l'acte de décès est transmis le 20 décembre2020. le 2 février je réussi a avoir un interlocuteur qui me dit que je vais être rappelé d'ici 5 jours.( l'article L132-23-1 code des assurances stipule que l'assureur a 15 jours pour demander les pièces justificatives aux bénéficiaires lorsqu'il a connaissance de l'acte de décès!)
Surprise je reçois un mail quelques heures plus tard pour une demande de  pièces justificatives qui n'ont rien a voir avec le contrat Une demande de filiation... alors que je suis nommé dans les clauses du contrat. Par contre on ne me demande même pas a justifier de mon identité... bref Allianz veut faire trainer. Je n'ai pas envie de batailler. A fuir ! A fuir! A fuir !
Je vais activer ma protection juridique qui traitera le dossier avec des arguments plus convaincants.
je suis bénéficiaire sur plusieurs contrats, Crédit Agricole, Groupama vie, et Allianz et cet assureur est le seul à agir ainsi.</t>
  </si>
  <si>
    <t>02/02/2021</t>
  </si>
  <si>
    <t>daniel-97568</t>
  </si>
  <si>
    <t>lamentable
Depuis la mort de mon conjoint( 4/05/2020 ), le versement des sommes dues n'est toujours pas complet.
Il manque toujours une pièce même si elles ont été envoyées, ils ne connaissent pas les lois sur les contrats de mariage, ils ne répondent pas au téléphone etc...ra
LAMENTABLE et HONTEUX</t>
  </si>
  <si>
    <t>gerardcronen-40501</t>
  </si>
  <si>
    <t xml:space="preserve">Cette assurance, je confirme est fidèle à sa réputation, tromperie caractérisée. Le lobbying de cette assurance fait qu'elle est intouchable, se moque du code des assurances, de la justice, les expertises médicales sont fantaisistes souvent sur dossier. Il ne faut pas oublier la genèse de cette assurance Allemande. Aucune confiance en Allianz, il faut fuit cette Compagnie un petit tour par la Cour des Comptes devrait remettre les services d'Allianz dans le respect d'autrui ! Nous ne sommes pas tous des pigeons. après mon expérience malheureuse vécue là, il est clair que je ne conseillerai pas cet assureur dans mon entourage!! bien au contraire A FUIR si vous voulez dormir tranquille
</t>
  </si>
  <si>
    <t>genev-91763</t>
  </si>
  <si>
    <t>Bonjour, Je n'arrive pas à obtenir les conditions générales concernant l'assurance vie Idéavie souscrite en 1992. C'est pour savoir s'il y a une limite pour la durée d'engagement de l'assureur car jusqu'ici passée 8 ans elle a été renouvelée par tacite reconduction ce qui voudrait dire que celle-ci est en durée viagère et toujours valable même si on dépassé les 90 ans. Si les CG sont explicitent à ce propos je suis interessée pour en avoir connaissance.</t>
  </si>
  <si>
    <t>zeg-88545</t>
  </si>
  <si>
    <t>aucune empathie aucune réactivité</t>
  </si>
  <si>
    <t>27/03/2020</t>
  </si>
  <si>
    <t>rabu86-61363</t>
  </si>
  <si>
    <t>aucun interet à souscrire ce contrat opaque.passez votre chemin.arbitrages payants, site internet nul,frais de gestion sur  UC élevés.vous n 'aurez aucune difficulté à trouver mieux...</t>
  </si>
  <si>
    <t>14/02/2020</t>
  </si>
  <si>
    <t>sarah07-80107</t>
  </si>
  <si>
    <t xml:space="preserve">Je n'aurai jamais pensé un jour pouvoir dire du mal d'allianz. Mais clairement j'hallucine de la façon dont ils traitent leurs clients. C'est incroyable comme d'un coups d'un seul ils décident de ne plus vous répondre. A croire que bientôt il va me falloir les mettre en demeure pour me répondre et/ou s'occuper de mon dossier correctement. Le pire c'est que vous ne pouvez jamais joindre par téléphone la personne supposée être en charge. Non, on préfère vous laisser appeler le standard pour que les conseillers puissent vous expliquer systématiquement qu'ils sont incompétent et qu'ils ne peuvent accéder au dossier. Mais dites moi, combien de temps pensez vous que je vais rester sage à attendre que vous puissiez faire votre job??? Il y a un moment je vais perdre mes formules de politesses et je vais décider de régler ça autrement que par mail. </t>
  </si>
  <si>
    <t>greco-77682</t>
  </si>
  <si>
    <t xml:space="preserve">Contrat Intinéraires épargne est un contrat à éviter. 
</t>
  </si>
  <si>
    <t>16/07/2019</t>
  </si>
  <si>
    <t>ste-76094</t>
  </si>
  <si>
    <t xml:space="preserve">Encore au top des contrats assurance vie en desherence... Cette assurance ne recherche pas les bénéficiaires des assurances vie, et quand on se signale à eux grâce à un proche du défunt qui a fait toutes les recherches pour nous retrouver et sans lequel on n'aurait jamais été informé d'être bénéficiaire, l'assurance ne fait pas le travail... Cela fait plus d'un mois que j'attends d'être contactée sur le dit contrat et la marche à suivre.... et toujours rien!  Accueil téléphonique très courtois mais rien ne suis derrière... Je me vois donc obligée d'écrire cet avis car très désappointée par ce comportement... La famille du défunt a réussi à me retrouver au bout de plus d'un an de recherches... et cela était pourtant simple pour l'assurance, c'est scandaleux car une loi existe, ils doivent chercher les benéficiaires. </t>
  </si>
  <si>
    <t>20/05/2019</t>
  </si>
  <si>
    <t>sylvie-75717</t>
  </si>
  <si>
    <t>contrat assurance AGF INDEPENDANCE pour ma mère il y a plus de 30 ans prélèvement mensuel de 55 euros environ et actuellement en EHPAD ALZEIMER ET 6 stents  depuis 8/2018 pas suffissant pour percevoir comme prévu la rente de dépendance et suppression de la cotisation comme prévu. Aberration et honteux .attendre  sa mort pour ne rien verser .</t>
  </si>
  <si>
    <t>08/05/2019</t>
  </si>
  <si>
    <t>colerix-69804</t>
  </si>
  <si>
    <t>manque d'informations auprès des assurés. Les documents remis au client ne contiennent que les conditions favorables et n'y apparaissent pas les éléments très défavorables à l'assuré. On découvre le désastre financier quelque temps plus tard. Les conditions de rachat ne sont volontairement pas précisées et pour cause.</t>
  </si>
  <si>
    <t>domdom-28829</t>
  </si>
  <si>
    <t>Rendements annonces non respectes... Au bout de 3 ans, mon capital a fondu au lieu de progresser.. 
J ai donc decide de tout retirer.. leur site et leur service client annonce un paiement entre 5 et 10 jours.. Cela fait plus d un mois et toujours rien</t>
  </si>
  <si>
    <t>madile-65983</t>
  </si>
  <si>
    <t xml:space="preserve">j'attends depuis 4 mois une réponse concernant une reversion pour ma mère.j'ai envoyé 5 mails, 2 lettres recommandées, j'ai téléphoné, je n'ai aucune réponse et aucun versement n'a encore été effectué.
Je pense saisir un avocat, car je ne peux plus rien faire.
</t>
  </si>
  <si>
    <t>04/08/2018</t>
  </si>
  <si>
    <t>. Cette assurance, je confirme est fidèle à sa réputation, tromperie caractérisée. Le lobbying de cette assurance fait qu'elle est intouchable, se moque du code des assurances, de la justice, les expertises médicales sont fantaisistes souvent sur dossier. Il ne faut pas oublier la genèse de cette assurance Allemande. Aucune confiance en Allianz, il faut fuit cette Compagnie un petit tour par la Cour des Comptes devrait remettre les services d'Allianz dans le respect d'autrui ! Nous ne sommes pas tous des pigeons. après mon expérience malheureuse vécue là, il est clair que je ne conseillerai pas cet assureur dans mon entourage!! bien au contraire A FUIR si vous voulez dormir tranquille</t>
  </si>
  <si>
    <t>26/07/2018</t>
  </si>
  <si>
    <t>patchouly-63947</t>
  </si>
  <si>
    <t>Mon père avait une assurance vie chez Allianz à son décès survenu le 16fevrier 2018 un demarchage chez ma mère  agee de 83 ans par un assureur d Allianz  lui a fait signer une demande d'adhésion  sur un contrat yearling(. Unité de compte) le pire placement pour elle le bulletin d'adhésion n à jamais été envoyé nous avons envoyé une lettre de renonciation en argent pas de réponse  et aujourd'hui on reçoit un courrier nous annonçant le placement de l argent sur ce contrat .Nous allons porter plainte pour abus de faiblesse et ne lâcherons rien devant de telles pratiques</t>
  </si>
  <si>
    <t>boregard-63783</t>
  </si>
  <si>
    <t>Allianz est vraiment une société chez qui je ne souscrirais jamais. Déjà 2 ans pour récupérer une assurance vie, quand je téléphone ils me baladent de poste en poste et impossible d'avoir quelqu'un pour des explications. Allianz UNE HONTE</t>
  </si>
  <si>
    <t>04/05/2018</t>
  </si>
  <si>
    <t>lysie-60247</t>
  </si>
  <si>
    <t xml:space="preserve">que des problèmes avec Allianz de vrais boulets quand vous leur donnez un ordre il n'est jamais pris en compte... s'ensuit un dialogue de sourd !! on pourrait dire d'eux votre argent m'appartient et je fais ce que je veux !!!! </t>
  </si>
  <si>
    <t>07/01/2018</t>
  </si>
  <si>
    <t>pyrene-58689</t>
  </si>
  <si>
    <t>Allianz se comporte comme une machine: ne respecte pas la volonté de celle qui a souscrit des contrats 
Mauvaise conseillère 
7 mois pour effectuer un reglement 
Grâce à eux nous payons deux fois des impots 
À fuir absolument si on veut que son patrimoine soit transmis selon nos volontes</t>
  </si>
  <si>
    <t>david0017-57513</t>
  </si>
  <si>
    <t>Ayant souscrit une assurance pour indemnité journalière au prés d'Allianz en 2011, et n'ayant pas eu d'arrêt maladie longue durée jusqu'au mois d'avril de cette année, je pensais que c'était une assurance sérieuse mais non. Car à part prélever, en ce qui concerne de donner les indemnités j'attend encore ! Je suis très mécontent de cette compagnie d'assurance. Aujourd'hui je suis en difficulté financière car Allianz n'a pas tenue ses engagements et que j'avais souscrit cette assurance pour ne pas à avoir de problème de trésorerie en cas d'arrêt maladie longue durée, mais en faite je n'aurais pas cette assurance ça serait pareil!</t>
  </si>
  <si>
    <t>21/09/2017</t>
  </si>
  <si>
    <t>sylluze-57503</t>
  </si>
  <si>
    <t>Impossible de récupérer l'assurance-vie de notre mère décédée il y a plus d'un an. Pourtant mon frère et moi avons fourni tous les documents demandés en recommandé il y a presque deux mois. Depuis,  aucune réponse d'Allianz ! En plus nous n'avons que l'adresse courrier du contrat, pas de numéro de téléphone, ni de mail... Ce n'est ce que ma mère souhaitait pour ses enfants en souscrivant cette assurance-vie !</t>
  </si>
  <si>
    <t>allain-55449</t>
  </si>
  <si>
    <t>ayant dénoué un contrat d'assurance-vie au 1er avril et constaté que sa valeur était plus faible qu'au 1er janvier précédent (ce qui n'est pas possible compte tenu des caractéristiques du contrat modul'épargne), je me suis adressé par tph au service client qui incapable de me renseigner  m'a communiqué un numéro de portable d'un soit disant connaisseur du sujet; injoignable je lui ai laissé mes coordonnées et de surcroît j'ai écrit. A ce jour toujours pas le moindre signe de vie.
je dois ajouter que précédemment j'avais dû passer par le médiateur de l'assurance pour obtenir au bout de près d'un an d'autres éclaircissements.
vous l'avez donc bien  compris c'est un triple zero que je donne à allianz pour sa relation client et sa transparence</t>
  </si>
  <si>
    <t>18/06/2017</t>
  </si>
  <si>
    <t>claude-54690</t>
  </si>
  <si>
    <t>Impossible d'obtenir le versement de l'assurance vie de ma mère décédée il y a 2 mois. Dossier envoyé il y a 1 mois et demi. 3 coups de fil. On doit me rappeler. Mais jamais rien. A fuir.</t>
  </si>
  <si>
    <t>15/05/2017</t>
  </si>
  <si>
    <t>amelie-139203</t>
  </si>
  <si>
    <t>Je viens de téléphoner à BNP pour récupérer mon assurance vie cardif multiplacements 2, pour les démarches à suivre. Maintenant que je suis à la retraite. C'est ce qui était prévu, pour ma retraite, c'est écrit dans mon contrat.  La personne m'a indiqué que BNP allait me prélever 17,2 % sur mon assurance vie, et j'espère à une erreur. Mes  derniers conseillers BNP m'ont certifiée que je n'aurai aucun frais si je clôture mon assurance vie. Le contrat a été ouvert en 2010 et au bout de 8 ans j'ai fait cesser les prélèvements. Je suis extrêmement perdante car retirer 17,2 % de frais sur l'ensemble de mon argent, me parait exagérer tellement c'est énorme. Alors sur 19 382,96 € quand on retire 17,2 % je perds le quart, environ de mon argent. Je n'appelle pas cela des économies. J'ai l'intention de récupérer l'entièreté de mon argent ce qui m'avait été certifié, confirmé encore cette année  (AUCUN FRAIS) par les conseillers BNP. En espérant  que cela soit une erreur.
 La personne m'a indiqué que je perdrai 17,2 % de mon argent. Sincèrement j'espère à une erreur de mon interlocuteur que j'ai eu aujourd'hui le 08/11/2021.</t>
  </si>
  <si>
    <t>08/11/2021</t>
  </si>
  <si>
    <t>gagman-137407</t>
  </si>
  <si>
    <t xml:space="preserve">Très grande difficulté à transmettre les documents sur le site sécurisé. Réponses très sèches et non suivies d'effet lors des contacts téléphoniques ( excepté ce jour, 14/10/21). Pas de rappel téléphonique malgré l'engagement pris de le faire sous 48H. La réponse aurait pu être donnée dès notre premier appel par simple vérification du dossier. </t>
  </si>
  <si>
    <t>14/10/2021</t>
  </si>
  <si>
    <t>joce-124918</t>
  </si>
  <si>
    <t>J ai demandé un rachat partiel bnp m avais dit 10 jours pour debloquer les fonds ça fait 1 mois et rien nul vraiment nul.devait être sur mon compte le 23 juillet et rien. Toujours en cours de traitement  inadmissible qu on puisse pas récupérer son propre argent .</t>
  </si>
  <si>
    <t>espritducap--110442</t>
  </si>
  <si>
    <t>Une véritable honte .
Nous voulons débloquer le compte épargne entreprise de mon mari et depuis 10 jours nous attendons le mail de la liquidation. 
On nous ment en nous disant qu’il est dans nos spams.
Dernier recours , lettre recommandée et poursuite devant les tribunaux s’il le faut et laminage sur LinkedIn pour faire connaître leurs pratiques scandaleuses .</t>
  </si>
  <si>
    <t>joshmabosh-103179</t>
  </si>
  <si>
    <t>Bonjour à tous les bénéficiaires,
Je confirme, CARDIF fait partie des pires. 
Si votre dossier est complet et que le délai légal n'est pas respecté, ne passer même pas par le médiateur. Transmettre vos justificatifs par lettre recommandé avec AR puis une dernière relance par lettre recommandé, menaçant de poursuite devant les tribunaux.
Vous êtes des votre droit, et ils seront condamnés avec article 700 et dommages en intérêts.
Cette procédure fera même que votre dossier sera débloqué avant l'heure.
Seule la contrainte fonctionne avec cet organisme de mauvaise foi, qui fait tout pour faire tourner votre argent. Un lobbying s'impose our faire inverser le rapport de force et astreindre ces sociétés financières à verser votre due sous peine de pénalité automatique.... ....  
La réponse laconique et insipide du robot de Cardif est attendue avec impatience. Que Cardif traite plutôt le dossier que sa @réputation qui semble déjà toute faite.</t>
  </si>
  <si>
    <t>moi-103002</t>
  </si>
  <si>
    <t xml:space="preserve">services calamiteux de cette entreprise bancaire !!!
ma demande de remboursement et de cloture de compte , en attente depuis le mois d'aout n'est toujours pas finalisee .
les premiers contacts telephoniques ont ete geres par un service visiblement limité et peu competant
les echanges par mails d'une lenteur desesperante m'ont conduit a demandé l'aide de mon avocat 
trois mois d'attente pour le calcul des prelevements liberatoires 
versement sans aucune information ni detail d'une somme approximative il y a un mois et toujours aucun detail ni information  </t>
  </si>
  <si>
    <t>melou-99275</t>
  </si>
  <si>
    <t xml:space="preserve">Voilà maintenant 3 mois que j attend un virment de chez cardif , faute de frappe de leur part depuis silence radio 3 mois quon me balade quil relance mon dossier , les conseillers cardif une vraix catastrophe aucune connaissance incapable de vous répondre concrètement. 
Je déconseille fortement cette assurance cardif assurance vie .
Je compte pas en resté là!!! </t>
  </si>
  <si>
    <t>27/10/2020</t>
  </si>
  <si>
    <t>faitdesbriques-99186</t>
  </si>
  <si>
    <t>Étonnant comme les commentaires rassemblés sur Cardif assurance vie peuvent correspondre à ma situation.
Je ne suis qu'au début de ce qui semble être un "parcours du combattant" pour récupérer un capital d'assurance vie et déjà,la même situation se profile. Bénéficiaire identifiée,je n'ai toujours pas reçu de courrier de la part de cet assureur. J'ai contacté l'Agira et je recommande à toutes les personnes mécontentes des services de Cardiff de signaler cet assureur: https://signal.conso.gouv.fr/
Je pense qu'il est important de faire force d'union par apport à ces situations décrites qui sont revoltantés. Nous n'attendons pas qu'un service communication nous apaise. Nous attendons que des engagements promis à nos familles soient tenus et que le professionalisme que nous sommes en droit d'exiger se révèle.</t>
  </si>
  <si>
    <t>jcf20-97202</t>
  </si>
  <si>
    <t xml:space="preserve">Une calamité. Incapables de gérer ou retrouver un dossier.Suite à un changement de banque, et envoi d'un nouveau  SEPA, pour lequel on n'avait inscrit le compte sans joindre un RIB, et après avoir envoyé un chèque accompagné du RIB, envoyé vers le 15 aout on me redemande un nouveau RIB et un nouveau chèque pour régler le 5 octobre
</t>
  </si>
  <si>
    <t>09/09/2020</t>
  </si>
  <si>
    <t>caroline-89195</t>
  </si>
  <si>
    <t xml:space="preserve">Notre père est décédé en mars 2019. Après moultes péripéties et un véritable parcours de combattant, nous sommes arrivés à avoir un interlocuteur qui nous informe le 11 février 2020 que le dossier était complet pour le déblocage de l'assurance vie de notre père et nous précise que le versement sera effectué la semaine suivante.
Sans aucune nouvelle nous adressons à un email le 5 mars 2020 et l'on nous répond que ce dernier est en congés jusqu'au 10 mars et qu'il nous recontactera à son retour.
A ce jour le 27 avril 2020 le dossier est toujours en stand-by et nous vous informons que nous avons décidé de nous rapprocher d'un avocat pour faire valoir nos droits et la mise en application de l'article L132-23-1 du code des assurances.
</t>
  </si>
  <si>
    <t>30/04/2020</t>
  </si>
  <si>
    <t>ronard-89213</t>
  </si>
  <si>
    <t>Le décès de mon beau-père a été déclaré le 27 février à l'agence BNP qui gérait ses comptes et l'assurance-vie, avec fourniture d'un acte de décès, comme préconisé sur le site de Cardif. Un délai indicatif de 3 semaines est donné pour le versement du capital par Cardif. Le 16 mars je relance Cardif par téléphone qui me dit ne rien savoir du dossier, mais va m'envoyer de suite un mail avec une adresse où envoyer des documents. Jamais rien reçu. A partir du début du confinement, plus aucune possibiblité de contact téléphonique. Le 16/04 relance par message sur leur site. Réponse: "envoyez un acte de décès à l'adresse mail suivante:", mais aucune adresse mentionnée. Tout est fait pour gagner du temps et retarder le plus possible le versement du capital ... Le confinement aura bon dos, comme si le télétravail n'existait pas dans les banques et les assurances. Ecoeurant!!</t>
  </si>
  <si>
    <t>28/04/2020</t>
  </si>
  <si>
    <t>fuyez BNP et BNP Cardif en cas de succession ils ont aucune communication entre service, car en effet alors que vous souscrivez pour notre cas un compte de capitalisation à la BNP c'est BNP CADIF qui le gère entre autre lors d'une succession sans aucune communication du service succession BNP... En clair si vous ne connaissez pas les placements du défunt vous n'aurez jamais l'argent!!! Petite précision ces comptes étaient gérés en banque privée BNP pour soit disant un suivi exemplaire... je n'ose imaginer en agence BNP "standard"</t>
  </si>
  <si>
    <t>maguie16-87645</t>
  </si>
  <si>
    <t>Bonjour Ma Mère est décédée le 13 octobre 2019 et j ai informé la BNP le 15 octobre 2019 du décès de celle-ci. J ai contacté Cardif succession assurances vie plusieurs fois et j ai toujours des versions différentes. Ils m ont confirmé avoir reçu tous les éléments le 7 février 2020. J aurais du recevoir le courrier au plus tard le 21 février 2020 pour constituer le dossier. J ai appelé le 25 février 2020 et on m a répondu que mon dossier était toujours en attente. Inadmissible mais nous sommes tributaires de ces gens là. Même pour verser chez le Notaire le compte courant de ma Mère, ils m ont dit qu il fallait 6 à 8 semaines de délai. Ils se foutent réellement de nous. Mon Notaire m a dit que c'était la BNP la plus longue pour verser l argent. Je recommande pas du tout cette banque.</t>
  </si>
  <si>
    <t>didier1961-87282</t>
  </si>
  <si>
    <t>Un vrai parcours du combattant 5 mois pour débloquer une assurance vie suite au décès de ma mère 
Traitement du dossier trop long 
Une vrai galère 
Seul satisfaction l accueil assez courtois au telephone
Incompétence rare .</t>
  </si>
  <si>
    <t>18/02/2020</t>
  </si>
  <si>
    <t>morgane12-80049</t>
  </si>
  <si>
    <t>Cela fait plus d'un mois que j'attends le versement du rachat partiel de mon assurance vie, Cardif ayant perdu les pièces jointes, que dis-je, AGRAFÉES à mon courrier de demande d'ordre ! Après des appels et un recommandé, j'en suis au même point : pas de versement et aucune idée de ce que sont devenues les pièces que j'ai transmises qui sont tout de même sensibles</t>
  </si>
  <si>
    <t>15/10/2019</t>
  </si>
  <si>
    <t>vivalavida91-79912</t>
  </si>
  <si>
    <t xml:space="preserve">Bonjour, mon père décédé le 27 juillet 2019, avait souscrit une assurance vie chez Cardif Bnp, toutes les pièces pour le règlement ont été transmises et retransmises....aucun règlement à ce jour.Quand on téléphone le service donné très peu de renseignements ou inexacts.Par mail, le service n'accuse pas réception même si c'est eux qui vous demande de leur transférer les documents pour accélérer le processus.Par coirrier avec AR, pas mieux </t>
  </si>
  <si>
    <t>valer78-78791</t>
  </si>
  <si>
    <t xml:space="preserve">Bonjour, je suis très mécontent du service. J'ai envoyé un recommandé demandant le rachat total de mon assurance vie reçu le 2 juillet. Depuis, quelques échanges avec ma banque, mais aucune procédure en cours.
Entre le recommandé perdu, la lenteur du dossier, je ne suis pas satisfait du service. </t>
  </si>
  <si>
    <t>29/08/2019</t>
  </si>
  <si>
    <t>aa-78281</t>
  </si>
  <si>
    <t>A FUIR ABSOLUMENT depuis le 29 juin 2019 j attends un rachat de contrat. Le dossier est complet mais apparemment pour virer les fonds ça  a l air très compliqué pour cette filiale bnpp</t>
  </si>
  <si>
    <t>08/08/2019</t>
  </si>
  <si>
    <t>marie9590-77619</t>
  </si>
  <si>
    <t xml:space="preserve">Bonjour, l'été dernier 2018 j'ai souscrit auprès de ma banque la BNP Paribas un contrat d'assurance vie auprès de la CARDIF. Le 6 juin dernier pour diverses raisons personnelles j'ai demandé auprès de ma conseillère BNP de faire un rachat total de mon assurance vie CARDIF (donc de suspendre définitivement les versements mensuels !!) , mais a lheure d'haujourd'hui J AI TOUJOURS RIEN DE CHEZ EUX !!!!! Ma conseillère les a apellé à maintes reprises (dont la dernière fois le 4 juillet dernier en ma présence !!) , envoyé des mails et moi aussi et j ai toujours rien !! Ils ont eu même le culot de m'adresser dernièrement (le 12 juilet 2019)une lettre recommandée AR me demandant de leur payer la dernière mensualité . Mais c'est quoi cette assurance vie minable qui ne fait jamais attention à ce que leur dit leur client ???  C'est une honte de faire trainer les gens ainsi, c'est une honte aussi qu'il faille attendre des semaines pour avoir des réponses de leur part !!!!! Sachez que j'ai besoin en URGENCE de l'argent que je vous ai déjà versé depuis L ANNEE DERNIERE ALORS ARRETER DE FAIRE TRAINER LES CHOSES COMME CA C EST MINABLE ET POUR UNE FOIS FAITES LES CHOSES CORRECTEMENT EN ME VERSANT RAPIDEMENT CE QUE VOUS ME DEVEZ  !!!! Je suis vraiment très mécontente de vos services et si j'avais su l 'année dernière j'aurais JAMAIS SOUSCRIT D ASSURANCE VIE CHEZ VOUS !!!!!! LA CARDIF EST A FUIR ABSOLUMENT , SERVICE CLIENT MINABLE , ASSURANCE MINABLE !!!!!!! </t>
  </si>
  <si>
    <t>fflnz-76000</t>
  </si>
  <si>
    <t>Demande de rachat total de mon contrat d'assurance vie envoyée le 18/04/2019, réceptionnée le 19/04/2019 par CARDIF. CARDIF a choisi comme date de valeur pour les unités de compte la date du 13/05/2019 ! (comme par hasard après une correction de 5% des marches) En plus CARDIF a continué à prélever les frais sur les unités de compte après la date de réception de la lettre de rachat ! J'ai fait une demande à leur service client pour obtenir une explication. J'attends la réponse avec impatience pour me positionner sur cette assureur.</t>
  </si>
  <si>
    <t>alexgto62-75494</t>
  </si>
  <si>
    <t>Demande de rachat envoyée le 16 avril, le 30 avril, le dossier n'est toujours pas en cours de traitement, à croire que la compagnie est restée au XIXeme siècle!</t>
  </si>
  <si>
    <t>30/04/2019</t>
  </si>
  <si>
    <t>adventice-75317</t>
  </si>
  <si>
    <t>Insupportable Compagnie d'assurance en lien avec mon ancienne banque BNPParibas</t>
  </si>
  <si>
    <t>gilbert-46114</t>
  </si>
  <si>
    <t>L'année dernière  j'avais pour avoir des informations sur mon contrat. Réponse évasive et on me raccroche au nez. Je renoiuvelle ma demande par courrier, pas de réponse. Nouveau courrier 3 mois plus, pas de réponse. J'envoie un mail au service réclamation qui m'a aimablement contacté mais ne retrouve pas trace de mes courriers.</t>
  </si>
  <si>
    <t>07/02/2019</t>
  </si>
  <si>
    <t>pons-68174</t>
  </si>
  <si>
    <t xml:space="preserve">Encore un avis très négatif sur Cardif. 
Ma grand mére a souscrit une assurance vie auprès d'eux. 
Elle est décédée le 30/05/2018 et depuis nous sommes dans l'impasse. Après un courrier recommandé, l'envoi en multiples exemplaires de l'acte de notoriété et même du testament olographe qu'ils ont tenu à avoir, c'est le néant.
Il semble que le problème soit sur le décès de ma mère. Ils font trainer pour çà. Ils refusent de communiquer les clauses bénéficiaires tant au notaire, qu'au héritier. 
J'ai saisi l'AGIRA et je leur ai demandé la saisine du médiateur des assurances, voir de la commission de contrôle de l'assurance. 
Rien ne les arrête pour conserver les fonds. 
A fuir. 
Dans la même succession, on a eu affaire à l'AFER et là des qu'ils ont eu l'acte de notoriété, les fonds ont été versés en 3 semaines. 
Cardif, je vais saisir la justice, je ne vois pas d'autres choix devant une telle négligence, voire incompétence. </t>
  </si>
  <si>
    <t>cedo-68111</t>
  </si>
  <si>
    <t>Impossibilité d'effectuer un rachat total de mon assurance cardif "BNP Paribas Plan Croissance Liberté".
Je téléphone au conseiller pour demander les modalités d'une demande de retrait total. 
et envoie un courrier en recommandé avec les justificatifs demandés le 30/7/2018.
Réponse par courrier 3 mois après (soit le 26/10/2018) : 
Dossier incomplet: "Signature sur la demande différente de la signature initiale du contrat". 
Nous vous retournons la totalité de votre dossier.
Scandaleux. 
Je vais contacter un service juridique pour savoir comment donner suite à une telle fumisterie.</t>
  </si>
  <si>
    <t>nicoco-66999</t>
  </si>
  <si>
    <t xml:space="preserve">Cardif à fuir absolument. J'ai perdu mon père qui avait une assurance depuis une dizaine d'année. C'est déjà une situation difficile mais en plus le service client est catastrophique et d'une lenteur inadmissible. </t>
  </si>
  <si>
    <t>20/09/2018</t>
  </si>
  <si>
    <t>wolfang-amadeus-65578</t>
  </si>
  <si>
    <t>Délai de traitement des demandes</t>
  </si>
  <si>
    <t>tom5025-31548</t>
  </si>
  <si>
    <t>J'avais souscrit une assurance prévoyance versant un capital en cas de décès.
J'envoie des courriers de changement de coordonnées bancaires, jamais d'action de leur part. 
Finalement, j'envoie un courrier de résiliation, et hop, prélèvement le mois suivant sur mon compte clos...
Ras le bol.</t>
  </si>
  <si>
    <t>06/07/2018</t>
  </si>
  <si>
    <t>brigittetoulon-38947</t>
  </si>
  <si>
    <t xml:space="preserve">Bonjour à tous et toutes un petit rappel assurance vie la BNP fuyez vite 7mois pour avoir le assurance vie de mon conjoint décédé aussi ils sont placés dans une autre banque de plus ci vous récupérer votre argent et que vous avez un conflit comme ils ont la banque ctlm vous êtes mort pour un crédit ce qui vient de m arriver heureusement j'ai pu avoir mon crédit par une autre banque mais vraiment ce sont de vrais chacal alors que j ai eu un crédit chez eux </t>
  </si>
  <si>
    <t>btylafee-64212</t>
  </si>
  <si>
    <t>service succession en dessous de tout. grosses difficultés pour récupérer le capital dû</t>
  </si>
  <si>
    <t>26/05/2018</t>
  </si>
  <si>
    <t>bahasca85-62543</t>
  </si>
  <si>
    <t>J'ai fait une demande auprès de Cardif le 27/12/2017 concernant une assurance vie contractée au nom de ma mère en date du 02/12/1995 afin de savoir si le montant de cette assurance avait été versé à mon père ( celui-ci étant le bénéficiaire) lors du décès de celle-ci le 25/02/2010.J'ai en main toutes les pièces justificatives et les ai transmises à Cardif. N'ayant pas reçu de réponse j'ai envoyé un courrier en recommandé le 03/02/2018.
A ce jour, aucune réponse.
J'ai déjà eu affaire à Cardif concernant une assurance habitation sur un immeuble appartenant à mes parents et il m'a fallut faire intervenir le médiateur pour avoir gain de cause. Je connais donc leur façon d'agir.
Je n'hésiterai pas , de nouveau, à faire appel à celui-ci si nécessaire.</t>
  </si>
  <si>
    <t>21/03/2018</t>
  </si>
  <si>
    <t>tom56-59784</t>
  </si>
  <si>
    <t>J'ai demandé la clôture de mon contrat d'assurance vie (Multiplus perspective), il y a 2 mois, en vue de faire un achat immobilier. A ce jour, après de multiples contacts téléphoniques et écrits, on me répond que je ne pourrai pas avoir le remboursement de MON argent avant mi janvier, car les remboursements de décembre sont clos..... vous n'avez qu'à mieux lire votre contrat....dixit la conseillère clientèle de Strasbourg qui est d'une amabilité à faire peur et d'un professionnalisme douteux.... peut être normal en cette fin  d'année et d'attribution des primes. 
Oui je suis en colère car je confie mon argent, à cette entreprise et en retour aucune considération si ce n'est qu'une forme de désinvolture inacceptable.
Toujours est t'il que Cardif a utilisé toutes formes d'artifices (document client soit disant mal rempli, non reçu...) afin de ne pas procéder à mon remboursement.
Au regard des autres avis que j'ai pu lire sur ce blog, j'ai une grosse crainte sur le remboursement dans les délais légaux (2 mois, et il reste 2 jours) de mon contrat.... cette façon de faire a un nom que je ne prononcerai pas aujourd'hui....  
Il y a un gros risque que mon achat immobilier ne se fasse pas à cause de BNP Cardif.....mais ils s'en foutent et aujourd'hui ils me mettent dans le pétrin....mais là aussi ce n'est pas leur problème et surtout pas celui de leur pseudo conseiller clientèle hyper zélée. 
 Un conseil, fuyez cette entreprise....</t>
  </si>
  <si>
    <t>18/12/2017</t>
  </si>
  <si>
    <t>mazarin64-59291</t>
  </si>
  <si>
    <t>Décès en juillet 2016. Acte de notoriété en décembre 2016. Toujours pas aujourd'hui de règlement de la succession pourtant très simple.
Nous sommes scandalisés par l'attitude de Cardif qui ne fournit aucune explication, aucun document comptable, aucun état des comptes et qui profite de l'argent des défunts illégalement. Et ne daigne pas répondre au lnotaire qui a établi la succession. Nous ne sommes pas prêts de faire de la pub pour la BNP. Leur mode de fonctionnement est honteux.</t>
  </si>
  <si>
    <t>cris-59026</t>
  </si>
  <si>
    <t xml:space="preserve">Ma maman est décédée le 1er janvier de cette année. Le contrat a été liquidée avec un capital brut inferieur de 1000 euros à celui indiqué sur la lettre d'information 2016. Malgré mes multiples courriers et appels téléphoniques, à ce jour, aucune réponse à cette question. </t>
  </si>
  <si>
    <t>affligee-56671</t>
  </si>
  <si>
    <t>C est une honte pour le règlement des successions Attention aucune compétence.J'ai du attendre trois mois pour être réglée  Ils sont incapables d établir un virement SEPA sur l union européenne Ils mentent en affirmant que le règlement est effectué tout se passe avec le standard . Finalement après recommandés j ai reçu l'argent sur un compte français j ai effectué moi même le virement sur l Espagne  le samedi et le lundi j étais créditée.  Ils ont donc profité de 3 mois de plus de cet argent illégalement. Ne pas recommander CARDIF</t>
  </si>
  <si>
    <t>15/08/2017</t>
  </si>
  <si>
    <t>sl-56229</t>
  </si>
  <si>
    <t>Bonjour ma maman a souscrit une assurance-vie cardif par le biais d'un prêt en 2004 au nom de mon papa ma maman à ce jour étant décédé mon père souhaiterais résilier son contrat  ils ont répondu qu'il ne toucherait pas d'argent suite à la résiliation de contrat</t>
  </si>
  <si>
    <t>24/07/2017</t>
  </si>
  <si>
    <t>ninkasi69-55355</t>
  </si>
  <si>
    <t>Plus promptent à prendre votre argent qu'à vous le restituer et d'une incompétence notoire.
Passez votre chemin et choisissez des banques avec de vrais professionnels.</t>
  </si>
  <si>
    <t>14/06/2017</t>
  </si>
  <si>
    <t>pchmartin-54694</t>
  </si>
  <si>
    <t xml:space="preserve">Bonjour,  J'ai envoyé ma demande de clôture de mon  PERP Cardif en février car j'ai pris ma retraite le 1er Mars. A ce jour, le PERP a disparu de mes comptes BNP mais je n'ai reçu ni versement, ni calcul de versement, ni même accusé de reception. Le conseiller contacté au téléphone ce jour n'a su dire que "votre dossier est en cours de traitement sans aucune autre précision" .. Déjà que la performance du PERP est désastreuse, si en plus il faut se battre pour obtenir le versement de la rente ! </t>
  </si>
  <si>
    <t>isaisa17-54692</t>
  </si>
  <si>
    <t xml:space="preserve">Je suis maleheureusement beneficiare suite au deces de ma maman de deux assurances vies chez Cardif. J'ai lu des tas de mauvais commentaires sur le remboursement. A croire que les gens ne savent se plaindre que ca ne fonctionne pas et que personne ne sait dire quand ca fonctionne. 
Mon dossier a ete traité en moins d'un moi. Je n'ai juste eu à donner les pieces reclamées. On m'a conseillé et ecouté. Le service client est super pro et d'une rare amabilité. BRAVO      </t>
  </si>
  <si>
    <t>catherine-54400</t>
  </si>
  <si>
    <t xml:space="preserve">Ma mère étant décès depuis le 3 mars 2017 , CARDIF  traine des pieds pour le remboursement de cette assurance vie, de plus la BNP cautionne car celle-ci continue de vous faire signé des assurances vie et je ne comprends pas pourquoi cette banque ( qui ne sera jamais la mienne ceux-ci dit) ne fait rien.
J’ai reçu des documents avec des erreurs dans mon nom de famille et mon notaire me demande faire faire les rectifications qui s’imposent sur le  dossier que j’ai reçu. 
 Fuyez cette assurance vie et la BNP
</t>
  </si>
  <si>
    <t>saudar-53455</t>
  </si>
  <si>
    <t>A FUIR...
Je suis bénéficiaire d'une assurance vie pour laquelle j'ai accompagné ma mère lors de la souscription 17 ans auparavant. décédée depuis sep 2016 Cardif nous balade, le notaire comme nous (2 héritiers). Malgré la procuration donnée au notaire, Cardif ne lui répond pas et persiste à nous demander x fois les mêmes documents. Outre la performance déplorable du placement pendant 17 années et la lenteur exaspérante du traitement, cette "société" refuse la moindre réponse sur le dossier et fais très attention à ne rien nous communiquer sur ses délais de traitement à prévoir.</t>
  </si>
  <si>
    <t>21/03/2017</t>
  </si>
  <si>
    <t>bardis-53144</t>
  </si>
  <si>
    <t>A fuir ... le délai pour les rachats partiels des assurances-vie est complétement scandaleux, cela traine, aucune information, multiplication des courriers, aucun respect des clients ... pendant que les dettes des personnes s'accumulent car les rachats n'arrivent pas ...  un mépris total des assurés.</t>
  </si>
  <si>
    <t>10/03/2017</t>
  </si>
  <si>
    <t>charles-tenot-52036</t>
  </si>
  <si>
    <t>Scandale dans le traitement d'une liquidation de PERP
Ma mère est décédée depuis 1 an, et ça fait donc 1 an que je me bats pour récupérer les sommes dues. D'abord ils perdent les courriers et demandent de les renvoyer, ce que nous faisons avec mon frère. Cela fait maintenant 4/5 mois qu'on nous promets de bientot nous payer les sommes dues, qu'on me dit qu'on va me rappeler sans le faire. Bref un scandale, je n'ai jamais vu un tel manque de respect dans le traitement du client. Je suis a deux doigt de faire un recours juridique.</t>
  </si>
  <si>
    <t>04/02/2017</t>
  </si>
  <si>
    <t>bea-hello-49965</t>
  </si>
  <si>
    <t>CARDIFF ASSURANCE VIE DEMARCHE AU  TELEPHONE EN PRETEXTANT NE PAS ETRE CARDIFF PRELEVE SANS AUTORISATION SIGNEE</t>
  </si>
  <si>
    <t>06/12/2016</t>
  </si>
  <si>
    <t>alexvl-137394</t>
  </si>
  <si>
    <t>Pire groupe, 2 mois que je suis en procédure pour un rachat total et c'est toujours en cours! Aucune réactivité, impossible d'avoir des réponses rapides même avec l'aide d'un conseillé. J'ai eu affaire à plusieurs groupe et celui là est de loin le pire de tous.</t>
  </si>
  <si>
    <t>stsaud-66039</t>
  </si>
  <si>
    <t>Ayant été possesseur de 3 contrats (77 ans ) à l'origine  Contrats LA FRANCE de près de 30ans rachat 1 puis 2eme partiel et mi aout rachat total Xaelidia euros ( changé en cours par ' forçing' commerciale  de limoges, jamais revue ni manifestée ) annoncé par Altaprofits 15j recommandé fait de suite, après de nombreux courriels appels au gestionnaire et Generali clients privé, vient seulement ce jour d'avoir courriel du montant , pas fonds sur mon compte annoncé aau mieux lundi soit 6 semaines après, frais de hausse avion agios à la banque je vous en passe et des meilleurs ( preuves courriels etc... gardé au chaud ) en attendant des réponses, car j'ai déjà demandé un geste commercial au vu des préjudices subis. D Renaudie</t>
  </si>
  <si>
    <t>prevenant--103693</t>
  </si>
  <si>
    <t>Sur 6 ans avec 6 contrats différents que des problèmes et dédain face à Leurs dissimulations en contrats mixtes à frais précomptés très opaques et défavorables pour clientèle^^</t>
  </si>
  <si>
    <t>gh59-103164</t>
  </si>
  <si>
    <t xml:space="preserve">Ils ont été formé à tricher sur les dates de contrats et effet de garantie pour empêcher la rétractation et aussi à faire signer les modifications contrats par une autre personne de la famille mari ou épouse avec compte commun le concubin concubine peut signer pour l’autre pas de compte commun c’est interdit que choisir m’a dit </t>
  </si>
  <si>
    <t>24/01/2021</t>
  </si>
  <si>
    <t>nini-102064</t>
  </si>
  <si>
    <t>Que dire de cette assurance, rien de bon ... Après avoir cotisé pendant 8 ans, le rachat de mon contrat est désastreux, avec une perte de 2000€. Je me suis fait avoir en beauté, je n'ai
rien vu venir... Je leurs ai envoyé une lettre de réclamation et bien sûr ils ont réponses à tout. Je m'en veux de mettre fait avoir ainsi. J'attendais avec impatience d'avoir mon capital, car ayant une petite retraite, je comptais beaucoup dessus, hélas très déçue lorsque j'ai reçu le courrier avec le montant...
Je ne peux que dire, fuyez Générali!!!</t>
  </si>
  <si>
    <t>gh59--91769</t>
  </si>
  <si>
    <t xml:space="preserve">Contactez le médiateur de l’assurance de paris en cas de conflits avec generali les coordonnées sont sur internet envoyez tout en recommandé avec le conflit concerné le contrat et toutes les traces écrites que vous avez envoyé avec generali et leurs réponses(les photocopies)au médiateur pour éviter la perte de tps et qui est bénéfique pour cette compagnie d’assurance </t>
  </si>
  <si>
    <t>nicolas5010-98360</t>
  </si>
  <si>
    <t>Ma mère malade et handicapée au décès de mon père a eu la visite d'un agent Générali, elle a signé 6 contrats, habitation, vie, retraite, prévoyance, décès... au décès de notre mère au début mars l'agent et repassé pour faire signer des documents pour récupérer l'argent placé, 8 mois après toujours rien si ce n'est des lettres de relance de sociétés de recouvrement avec menace de saisie sur salaire si on ne paye pas!  
 Déjà l'assurance décès était liée à un prestataire funéraire ignoble qui a tenté de prélever auprès de la banque la totalité des obsèques alors que 90% été pris en charge!
 Maintenant nous n'avons aucune information sur les sommes versées par ma mère, aucune connaissance des pertes ni une date pour clore cette sombre histoire alors que ma mère pensait faire au mieux!
La maison ayant été vendu toujours pas de remboursement du trop perçu!
Vraiment à fuir!!</t>
  </si>
  <si>
    <t>perber45-89293</t>
  </si>
  <si>
    <t xml:space="preserve">Dire certaine vérité dérange, 
Dire aujourd'hui que l'assurance vie ne rapporte plus rien c'est rendre service aux consommateurs, c'est aussi dangereux que de jouer en bourse. Dire qu'il faudra au minimum 5 ans pour récupérer la perte du capital. c'est dire la vérité </t>
  </si>
  <si>
    <t>05/05/2020</t>
  </si>
  <si>
    <t>ranediop-88702</t>
  </si>
  <si>
    <t xml:space="preserve">Une étoile a  l'absence de 0 étoile 
A fuir
Pour vendre le conseiller peut être bavard et très gentil mais une fois le contrat signé il disparaît dans la nature   .
</t>
  </si>
  <si>
    <t>05/04/2020</t>
  </si>
  <si>
    <t>gu948-51104</t>
  </si>
  <si>
    <t>ils ne répondent à rien.</t>
  </si>
  <si>
    <t>07/02/2020</t>
  </si>
  <si>
    <t>jice-82206</t>
  </si>
  <si>
    <t>Le service client ne vous rappel pas malgré plusieurs demandes en ligne, prise en otage de somme d'argent importante, informations service client eronnées,                                ....</t>
  </si>
  <si>
    <t>nvatel-80772</t>
  </si>
  <si>
    <t>-Plus de 2 mois après l'envoi d'un dossier complet, le règlement d'une assurance vie n'est toujours pas fait (alors qu'avec maaf tout a été fait en 2 semaines pour le même décès) !
-Leur numéro de tél n'est pas marqué sur les papiers !
-On a réussi à trouver leur numéro mais à chaque appel on reçoit une réponse vague.
En tant que professionnel dans l'organisation de grandes entreprises, je perçois très nettement que Generali est très mal organisée et ne sait pas se servir de son système d'information. L'accueil des clients est assez médiocre, de surcroît.</t>
  </si>
  <si>
    <t>marine-77193</t>
  </si>
  <si>
    <t>Tout comme mon habitation ça fait plus de 8ans que j'ai une épargne assurance vie chez Generali.
Quand j'ai vue mon conseiller hier à 18h30, il m'a montré que mon épargne atteinte était bien supérieure à celle investi. Merci et comme promis, je vous met de bons avis !!</t>
  </si>
  <si>
    <t>28/06/2019</t>
  </si>
  <si>
    <t>annisette-76687</t>
  </si>
  <si>
    <t>Je ne suis pas contente car mon papa avait une assurance vie chez generali et lors de son décès impossible de récupérer celle ci meme en fournissant tous les papiers. Et je ne peux avoir personne de chez vous. Je pense que vous faites ça pour récupérer les assurances pour ne pas à avoir à les rembourser.</t>
  </si>
  <si>
    <t>12/06/2019</t>
  </si>
  <si>
    <t>johan-74999</t>
  </si>
  <si>
    <t>Incompétent, ne surtout pas confier votre portefeuille d'assurance vie en gestion piloté à GENERALI et cela quelle que soit l'option choisie. Ayant pris "prudent" 70 % en unités de compte, lorsque la bourse (CAC 40) perd 17 % vous perdez 19 %, lorsque le CAC 40 reprend 16 % vous gagniez même pas 7 %, donc quoi qu'il arrive vous êtes toujours perdant sauf GENERALI et votre banque. Des nuls incapables de se prémunir contre une baisse, et charger pour une hausse. Une ligne tracker sur indice CAC 40 (une seule ligne) aurait fait mieux. Ne confiez pas vos économies à cet organisme.</t>
  </si>
  <si>
    <t>11/04/2019</t>
  </si>
  <si>
    <t>piboul-69532</t>
  </si>
  <si>
    <t>Mon espace client a été piraté, Générali se dédouane totalement en disant que c'est ma boîte mail qui a été piratée ! Une faille dans leur système. L'argent n'est pas en sécurité.
Quelqu'un a -t-il eu ce genre de problème ?</t>
  </si>
  <si>
    <t>19/12/2018</t>
  </si>
  <si>
    <t>jh-66014</t>
  </si>
  <si>
    <t>Dommage qu'il n'y ait pas zéro étoile.....bref assurance vie vendue comme donnant droit à des réductions d'impôts au Luxembourg, avec beaucoup d'intérêts bla bla bla, au final produit boursier. Non seulement c'est de la mauvaise foi mais on peut carrèment dire c'est des marchands de tapis
Je déconseille, vivement cette fichue date anniversaire que je quitte cette entreprise</t>
  </si>
  <si>
    <t>jojotiti-63618</t>
  </si>
  <si>
    <t>Mauvais à la mise en place du contrat qui avait trainée plusieurs semaines, cette société confirme son niveau en pratiquant des frais de gestion exorbitants et un service à la clientèle déplorable tant ils ne répondent pas aux questions posées par mail mais pas plus oralement, au téléphone. Le conseiller fait soit disant suivre à sa hiérarchie les questions auxquelles il ne sait pas répondre, mais elle n'apporte jamais la réponse. Ça fait 3 mois que je voudrais des renseignements sur l'augmentation inimaginable des frais de gestion (+ 80% de 2016 à 2017). Fuyez cette compagnie!</t>
  </si>
  <si>
    <t>25/05/2018</t>
  </si>
  <si>
    <t>sylvie720-62117</t>
  </si>
  <si>
    <t>services client catastrophique plus de 10 minutes d'attente à chaque fois .un représentant est passé pour clôturer mon dossier afin de récupérer l'argent.
documents non transmis au siège .plusieurs contacts avec le services client , il leur manque toujours un document(jamais reçu).... pour démarcher ils sont très forts pour payer beaucoup moins. conseil  ne mettez jamais les pied chez eux</t>
  </si>
  <si>
    <t>08/03/2018</t>
  </si>
  <si>
    <t>dan1961-61729</t>
  </si>
  <si>
    <t>Assurance décès a fond perdu souscrite en 2005,capital:200000€,périmés:57€ mensuel,aujourd'hui,13 ans plus tard:capital:240000€,primes:200€mensuel,je me suis empressé de résilier ce contrat conseille par mon agent,certainement plus intéressé par les commissions que par ses clients et en ai pris un autre identique a la gmf:garantie:250000€,primes:70€ mensuel,cherchez l'erreur!</t>
  </si>
  <si>
    <t>25/02/2018</t>
  </si>
  <si>
    <t>kiki-59932</t>
  </si>
  <si>
    <t xml:space="preserve">assurance vie en déshérence pas de recherche </t>
  </si>
  <si>
    <t>24/12/2017</t>
  </si>
  <si>
    <t>christelle95-59534</t>
  </si>
  <si>
    <t>J'ai souscrit une assurance épargne chez Generali, impossible de récupérer mon argent. Après 22 ans de cotisation, surtout ne prenez pas cette assurance!!!!!!!!!!!!!!!!!
J'ai souscrit une assurance épargne chez Generali, impossible de récupérer mon argent. Après 22 ans de cotisation, surtout ne prenez pas cette assurance!!!!!!!</t>
  </si>
  <si>
    <t>js13-58780</t>
  </si>
  <si>
    <t>assurance vie "La Capitalisation Libre" souscrite en 1999.
demande de liquidation pour financer un achat le 19 Sept 2017.
LRAR le 26 Octobre accuse de réception le 31 Octobre.
courriels avec réponses par robot URN 0240 0100 5100 0014 6640 le 01/11/17.
lundi 13 Novembre toujours aucune nouvelles: ni courrier, ni tel., ni message.
Jacques Sempé
ref client 11.703</t>
  </si>
  <si>
    <t>covadis-55759</t>
  </si>
  <si>
    <t xml:space="preserve">GENERALI: l'étude notariale qui gère cette assurance vie souscrite par ma mère décédée depuis neuf mois est confrontée à une lenteur systématique: trois mois pour obtenir les informations sur les dates de versements et autres nécessaires au traitement du dossier et à l'obtention d'un quitus des impôts...puis silence total, pas d'avancement du dossier, les lettres recommandées envoyées par l'étude se succèdent, puis intervention d'un huissier pour sommation etc. Pas de coopération du chargé de clientèle. 
Manque total de compétences ou mauvaise volonté...? 
N'invite pas à recommander, plutôt à contacter les associations de consommateurs et à faire paraitre des articles dans les journaux. Très mauvaise impression. Nous attendons encore le versement des sommes dues, auxquelles devront s'ajouter des pénalités de retard. 
</t>
  </si>
  <si>
    <t>02/07/2017</t>
  </si>
  <si>
    <t>pilet-55036</t>
  </si>
  <si>
    <t>une galére pour faire un retrait partiel sur un contrat on téléphone on nous dit cest virer le vendredi on regarde sur le compte pas de virement on retéléphone on dit le virement est partit le lundi pour etre plus confirmer je retélephone le jour méme on me dit votre virement part le mercredi et en plus mon assureur me disias il faut compter entre 8 a 10 jou on en est loing sa comence a m'enerver</t>
  </si>
  <si>
    <t>31/05/2017</t>
  </si>
  <si>
    <t>yohann29-53138</t>
  </si>
  <si>
    <t>Frais exorbitants, j'ai donc racheter mon contrat avant les 8 ans et j'ai perdu beaucoup d'argent. J'avais beaucoup de contrats chez eux. Je vais tout retirer</t>
  </si>
  <si>
    <t>thierryl-51176</t>
  </si>
  <si>
    <t>Suite au décès de ma grand mère, j'ai l'impression que Generali trouve tous les prétextes afin de ne pas débloquer les fonds alors que le dossier est complet depuis plus d'un mois.</t>
  </si>
  <si>
    <t>11/01/2017</t>
  </si>
  <si>
    <t>fmartel-49769</t>
  </si>
  <si>
    <t xml:space="preserve">Bonjour, j'ai souscrits en 2012 au contrat LA RETRAITE de chez Generali . En Octobre 2016 Generali a envoyé une lettre de modification de contrat impossible à comprendre.
Ils ont décidé unilatéralement de modifier le barème du taux de conversion et bien sur à leur avantage !
J'ai demandé par ecrit , par téléphone des explications concrètes , après 40 jours d'attente sans aucune réponse... j'ai décidé de transférer mon contrat.
C 'est juste inadmissible de n'avoir aucun service client pour répondre à nos attentes.
</t>
  </si>
  <si>
    <t>seb01-136373</t>
  </si>
  <si>
    <t xml:space="preserve">La durée du virement de complément de salaire devrait être plus courte 10 /12 jours ouvrés c est très long surtout quand on a des échéances bancaires cordialement </t>
  </si>
  <si>
    <t>MGP</t>
  </si>
  <si>
    <t>prevoyance</t>
  </si>
  <si>
    <t>07/10/2021</t>
  </si>
  <si>
    <t>helene-104618</t>
  </si>
  <si>
    <t xml:space="preserve">Le service client est facilement joignable. Il est réactif et à l'écoute. Les démarches en ligne sont rapides et simples.
Je recommande cette assurance.
</t>
  </si>
  <si>
    <t>anne-135792</t>
  </si>
  <si>
    <t>je suis très satisfaite de mes contrats avec la mgp. Très satisfaite également avec mon assurance perte de salaire. L'inscription et la gestion sur le site mgp est rapide, le traitement des demandes se fait également rapidement. Lorsque je dois contacter un conseiller l'attente n'est vraiment pas longue et j'obtiens immédiatement une réponse.</t>
  </si>
  <si>
    <t>xwendekar-133889</t>
  </si>
  <si>
    <t xml:space="preserve">Bonjour. Merci à toute l’équipe de la MGP, pour leur réactivité, leur amabilité et leur professionnalisme. Je suis actuellement en Congé de Longue Maladie avec 3 enfants, et la MGP m’a toujours assisté et à été très réactive quant au versement du complément de perte de salaire. Un vif merci à vous tous, heureusement que vous êtes là, POUR NOUS dans les moments de coups durs. Merci infiniment ! </t>
  </si>
  <si>
    <t>teddy-133103</t>
  </si>
  <si>
    <t>Très bonne conseillère pour mon entretien téléphonique à la date d'aujourd'hui vers 15h00.
vous pouvez lui offrir une augmentation car cette dame est très pro! 
Teddy PABION.</t>
  </si>
  <si>
    <t>alycia--132913</t>
  </si>
  <si>
    <t xml:space="preserve">Dossier traité dans le délais des 15 jours, ce qui est plutôt rapide. Chaque appel téléphonique pour renseignement ou pour suivre l'avancement du dossier sest bien passé. Personnel a l'écoute et désirant de renseigner au mieux. </t>
  </si>
  <si>
    <t>jeremy220177-132212</t>
  </si>
  <si>
    <t xml:space="preserve">Dommage que le montant des cotisations à doubler en 2-3 ans ce qui est un peu incompréhensible. Surtout que nous savons pas pourquoi aucune explication rien. 
Il y a eu un bug durant tout l’été ce qui fait que nous étions payer 3 semaines après, pas facile à gérer quand on a une famille nombreuse. 
Sinon dans l’ensemble la MGP fait son boulot j’ai toujours reçu mes remboursements.
Cordialement </t>
  </si>
  <si>
    <t>10/09/2021</t>
  </si>
  <si>
    <t>cedric-76-131034</t>
  </si>
  <si>
    <t>Mutuelle d'assurance très professionnelle avec des conseillers toujours à l'écoute ?? je recommande très vivement à tous mes collègues du ministère de l'intérieur et des forces de l'ordre en général, la MGP</t>
  </si>
  <si>
    <t>celiam-130222</t>
  </si>
  <si>
    <t>Je suis très satisfaite de la gestion de mon dossier de prévoyance. La proposition a été conforme à mes besoins, et la gestion du "sinistre" efficace et rapide.</t>
  </si>
  <si>
    <t>30/08/2021</t>
  </si>
  <si>
    <t>stef452510-129057</t>
  </si>
  <si>
    <t>Je suis en congé de longue durée. J’envoie tous les mois mon bulletin de paie dans le cadre de ma garantie complément de traitement. Une conseillère m’a appelé ce mois de juillet pour me dire que mon bulletin de salaire n’apparaissait pas en pièce jointe. En effet j’utilisais le site internet de la MGP. Cette dernière m’a conseillé d’effectuer mes démarches via l’application mobile, ce que je ne savais pas. Depuis je n’utilise que l’application, et en plus il est très simple de suivre ses remboursements cgss et mutuelle entre autre. Merci d’avoir faciliter les diverses démarches avec l’application mobile.</t>
  </si>
  <si>
    <t>fct0169-125201</t>
  </si>
  <si>
    <t>Dans l'ensemble ravis de cette prévoyance, le rapport qualité/prix est tout à fait convenable.
Les bémols sont le temps d'attente lors d'appel téléphonique, et un suivi des demandes sur le site pas assez précis à mon gout. Sinon toujours satisfait et toujours agréablement accueilli et écouté par tous les collaborateur de la MGP.Ma satisfaction générale fait que je recommande régulièrement la MGP.</t>
  </si>
  <si>
    <t>mimi-124257</t>
  </si>
  <si>
    <t>L’Interlocutrice était très réactive et compétente.
J’ai eu les renseignements demandés rapidement.
Je n’ai actuellement pas eu à bénéficié des services de mon assurance prévoyance.</t>
  </si>
  <si>
    <t>22/07/2021</t>
  </si>
  <si>
    <t>sindh-108987</t>
  </si>
  <si>
    <t>j ai toujours été satisfait de la MGP? Je la conseille à tous.
Adhérent à la Mutuelle de la police Nationale depuis plus de 50 ans (février 1971) je n ai jamais regretté mon chois.</t>
  </si>
  <si>
    <t>navis31-108974</t>
  </si>
  <si>
    <t xml:space="preserve">J'ai une garantie de base donc je ne paye pas cher, en plus je n'ai pas d'enfants, mais ça suffit amplement lorsqu'on n'a aucune pathologie ni problème de santé particulier. Assurée à hauteur de ce que je vais pour pas cher </t>
  </si>
  <si>
    <t>vincent-108643</t>
  </si>
  <si>
    <t xml:space="preserve">Forcément nous aimerions toujours payer moins, mais je suis entièrement satisfait de vos prestations et surtout de votre service client réactif et vraiment très agréable à chaque contact </t>
  </si>
  <si>
    <t>olivianoel-108628</t>
  </si>
  <si>
    <t xml:space="preserve">Je suis entièrement satisfaite, rapide et efficace ! Les conseillers sont à l'écoute et répondent rapidement à nos besoins ! Le prix de la cotisation est correcte pour les multitudes de services proposés. 
</t>
  </si>
  <si>
    <t>sabamani10-108176</t>
  </si>
  <si>
    <t>Très bien accueilli MGP super merci a tous besoin MGP
 J'accuse réception de votre attestation de sécurité sociale ainsi que celle de votre conjointe. . 
Bien cordialement</t>
  </si>
  <si>
    <t>klaq-108099</t>
  </si>
  <si>
    <t xml:space="preserve">Conseillère au téléphone  rapide 
Aimable et réactive 
Paiement des frais médicaux  rapide 
Simplicité de contact et de traitements 
Je recommande la MGP </t>
  </si>
  <si>
    <t>bibimars-108008</t>
  </si>
  <si>
    <t>Personnels disponibles et compétents, temps d attente au téléphone très correct.
Le site internet de la MGP est bien conçu et assez simple d emploi.
Concernant les devis, parfois SANTE CLAIR est un peu long.</t>
  </si>
  <si>
    <t>baba--107939</t>
  </si>
  <si>
    <t xml:space="preserve">Très bonne inter action 
 À pue me conseille comme je le désirais 
Répond dans les plus bref délais 
Satisfaction total de l échange téléphonique     </t>
  </si>
  <si>
    <t>mecit-107661</t>
  </si>
  <si>
    <t xml:space="preserve">Très professionnel et sérieux depuis presque 10 ans que je suis merci MGP je le recommande vivement à tout le monde. Dès remboursement fait à temps et en heure </t>
  </si>
  <si>
    <t>mike-107642</t>
  </si>
  <si>
    <t>Bonjour 
Concernant la mutuelle les prix semblent raisonnable mais certains remboursements sont encore peu important tel que l orthodonties 
Les lunettes ou encore les semelles orthopédiques.</t>
  </si>
  <si>
    <t>mathieu-106064</t>
  </si>
  <si>
    <t xml:space="preserve">Pas assez bien remboursé, trop chère et délai de remboursement trop long.
De plus en 2021 la plupart des mutuelles remboursent le jour de carence la mutuelle interiale police le rembourse également et beaucoup d'Agents sont attentifs à cette demande quand la MGP va elle se moderniser? 
Bonne journée </t>
  </si>
  <si>
    <t>lou-105994</t>
  </si>
  <si>
    <t>Une bonne assurance je suis satisfaite des services proposés les conseillers(ères) sont agréable au téléphone et répondent activement au demandes ????</t>
  </si>
  <si>
    <t>436937-104603</t>
  </si>
  <si>
    <t>Bonjour à toutes et à tous.
adhérent MGp depuis de très nombreuses année, j'ai opté pour une couverture perte de salaire en 2014. Je suis employée de la fonction publique territoriale (police municipale) à cette époque j'ai cotisé 32 euros par mois jusqu'en 2019 où la cotisation était de 36 euros (augmentation encore assez raisonnable)
Or en 2020, la cotisation est passée à 45 euros, soit 9 euros de plus pour les mêmes garanties. Et là en 2021 la cotisation est tout simplement passée à 57 euros !!!!!!!!!
La cotisation à augmentée de près de 25% en 1 an !!
Après avoir essayé d'avoir des explications sur le site de la MGP sans avoir eu de réponse à mes questions sur cette augmentation, j'ai fini par les avoir par fil. Et là quelle n'a pas été ma stupeur lorsque mon interlocuteur m'a dit tout simplement que c'était normal, et que cette augmentation a été mise en avant sur le magazine de la mutuelle, j'aurais du le lire !!!!!! . Il me semblait que ce type d'augmentation devait être notifié au souscripteur, puis si cela ne lui convient pas il peux résilier.
Je trouve un peu limite cette façon de faire, surtout que la résiliation ne peut intervenir qu'en octobre !!!!!! 
Je suis déçu;</t>
  </si>
  <si>
    <t>mcc-104193</t>
  </si>
  <si>
    <t>j'ai apprécié les échanges téléphoniques avec le conseiller pour faire le point sur mes besoins. Les tarifs sont compétitifs et le délai de carence est moindre par rapport aux concurrents contactés. Pas de questionnaire médical pour la prise en charge. Je suis très satisfaite de mon choix.</t>
  </si>
  <si>
    <t>paulo825-94158</t>
  </si>
  <si>
    <t>Depuis que je suis à la mgp je suis bien remboursé pour la plupart de mes frais en comparaison d'une autre mutuelle chez qui j'avais pourtant le même niveau de prestation. Le service client est joignable facilement et toujours à l'écoute. Je ne regrette pas d'avoir changé. Il est vrai que j'y perds un peu sur certains postes mais des garanties complémentaires existent</t>
  </si>
  <si>
    <t>nadya73230-91213</t>
  </si>
  <si>
    <t>J'ai été très bien conseillée, concernant ma demande. Il y a eu également une vérification des documents qui ont été transmis via l'application La Mgp</t>
  </si>
  <si>
    <t>17/06/2020</t>
  </si>
  <si>
    <t>flore-89939</t>
  </si>
  <si>
    <t>J'apprécie la réactivité de cette mutuelle et sa compréhension dans les moments difficiles.Ce serait peut être intérréssant d'augmenter les forfaits " médecines alternatives"</t>
  </si>
  <si>
    <t>stef74-66272</t>
  </si>
  <si>
    <t xml:space="preserve">Depuis janvier 2018 j'attends mon indemnisation de complément demi traitement. 
Je reçois des courriers contradictoires de la part du service prévoyance. Et me demande des documents qui n'existe pas. Depuis 2014 la MGP n'est plus la mutuelle qu'elle était. Après 44 ans de cotisation voila ou j'en suis. Je vais être dans l'obligation de faire appel à mon avocat pour régler ce problème. C'est abusé !!! 8 mois que j'attends !!! </t>
  </si>
  <si>
    <t>27/08/2018</t>
  </si>
  <si>
    <t>brassart-d-129379</t>
  </si>
  <si>
    <t>RAS. Jai connu la CARAC car mon mari était un ancien combattant. Le placement que nous avions alors fait a été très satisfaisant et nous a bien aidés dans la gestion de notre patrimoine. Aujourd'hui, après le décès de mon mari, je fais confiance en la CARAC et j' ai fait un nouveau placement</t>
  </si>
  <si>
    <t>Carac</t>
  </si>
  <si>
    <t>buchet-m-126144</t>
  </si>
  <si>
    <t>La Carac est une institution à but non lucratif qui place vraiment ses membres au cœur des décisions. Les placements sont réfléchis et avec un bon rendement. L’espace numérique permet de faire beaucoup de choses en ligne mais les conseillers sont également très disponibles et à l’écoute.</t>
  </si>
  <si>
    <t>fossard-g-125577</t>
  </si>
  <si>
    <t>Souscription des nouveau produits Patrimoine et Generation tres penible. Pas de formulaire disponible pour le transfert d'un compte epargne EUROS vers ces nouveaux comptes, obligeant a faire des versements d'ouverture de 200 euros ou 1000 euros. Les comptes Generation devrait authoriser un gestion Libre et non etre limite a 3 options de gestion.</t>
  </si>
  <si>
    <t>16/07/2021</t>
  </si>
  <si>
    <t>louisa75-88963</t>
  </si>
  <si>
    <t>Très bien accueilli et renseigné personnel souriant et à l'écoute</t>
  </si>
  <si>
    <t>chloe-86256</t>
  </si>
  <si>
    <t>Quand je vois les commentaires!je me demande quand nous allons avoir la succession de ma grand mère!(papier renvoyé il y a plus 1mois et demi!)
Que faut-il faire exactement?car jai déjà appelé et je suis déjà déplacée a l'agence qui est a une heure de route de chez moi!</t>
  </si>
  <si>
    <t>phil-79493</t>
  </si>
  <si>
    <t xml:space="preserve">Adhérent de la CARAC depuis 1987 sous le numéro 378922, notre père avait constitué auprès de la CARAC un capital réservé qui devait revenir à ses deux enfants à son décès. Décédé le 9 juin dans sa 92ème année, nous avons adressé à la CARAC le certificat de décès quelques jours après. Au 26 septembre, malgré de multiples appels téléphoniques, l'envoi de lettres simples et recommandées avec les documents usuels, la CARAC, contrairement à d'autres compagnies où le sujet a été traité rapidement, n'a pas daigné respecter ses engagements sans jamais nous avoir adressé leurs condoléances. Ainsi, en plus de la souffrance de perdre notre père, nous devons supporter de la CARAC un comportement indigne, en violation des engagements pris au titre de leur Retraite Mutualiste du Combattant. Notre père a versé son sang pour notre pays, a pensé que la CARAC protégerait ses enfants au moment où il partirait, et il a été trompé par cette compagnie qui déshonore le mutualisme. En 4 mois, un seul appel: pour savoir si nous voulions leur laisser en gestion le capital nous revenant. Depuis: silence radio. Une caricature.
Depuis le 26 septembre pas de son ni d'image.
Aucun courrier 
La CARAC joue l'épuisement Sans condoléances </t>
  </si>
  <si>
    <t>03/10/2019</t>
  </si>
  <si>
    <t>claudine-79587</t>
  </si>
  <si>
    <t>Encore une société qui gère les assurances vie au détriment des ayants droits. Ma mère étant décédée le 24/04/2019, j 'ai demandé à la CARAC dans le cadre de la succession le versement de 10 223€ de l'assurance vie. Depuis je suis baladé au téléphone et par courrier, entre commerciaux et hôtesses d'accueil qui n'ont pas le pouvoir d'agir. Au 30/09/2019, après mon dernier appel toujours pas de virement. Je suis extrêmement contrariée par ces méthodes qui semblent voulues et orchestrées sachant que cette petite somme ne va pas mettre en péril les finances de la CARAC. Je vais mettre tout en oeuvre afin de mettre en garde les candidats épargnants.Je suis très en colère.</t>
  </si>
  <si>
    <t>mary78-78290</t>
  </si>
  <si>
    <t>Une CATASTROPHE</t>
  </si>
  <si>
    <t>vero-74509</t>
  </si>
  <si>
    <t xml:space="preserve">Bonjour, 
mon père étant décédé le 22.12.2018 j a' été dans l'obligation d'attendre deux mois pour que le dossier soit instruit par vos services: Et encore...L'agence de Mulhouse n'a cessé de faire des relances!!Fin de matinée je viens d'avoir une personne de la Carac qui me dit que certes le  dossier est complet depuis le 25.03 mais il mettra à nouveau 40 jours minimum pour être instruit.
Je pense que cela reste une blague!!En effet comme le prévoit le code des Assurances le versement du capital vie doit être effectué sous un délai d'un mois sous peine de devoir verser des intérêts:
Je pense que je suis durablement convaincue de ne rien  placer chez vous et vais certainement informer les consommateurs de vos méthodes par le biais de divers magazines et canaux de communication à notre disposition.
</t>
  </si>
  <si>
    <t>stef-69878</t>
  </si>
  <si>
    <t>Nul.dossier assurance vie toujours pas traite un an après  un deces.pas de courrier ni de rappel malgré mes sollicitations.</t>
  </si>
  <si>
    <t>verocaro-58642</t>
  </si>
  <si>
    <t xml:space="preserve">Bonjour ,
Très mécontente de la Carac au niveau du versement du capital sur un contrat d’assuranie vie .
La Carac est injoignable elle nous a d’ailleurs jamais contacté suite au décès de leur assuré.
Aujourd’hui c’est toujours silence radio malgré 2 LRAR .
Je ne recommande certainement pas pour l’assurance vie </t>
  </si>
  <si>
    <t>katy49-138801</t>
  </si>
  <si>
    <t>A fuir, très grand manque de professionnalisme. Les garanties prévoyances ne sont jamais versées a temps (hors délai 12 jours). Il faut téléphoner tous les mois pour avoir un versement.Souvent injoignable et quand c'est possible, le conseiller ne peut pas vous renseigner. Les réclamations par mail ne sont pas traitées.Prix très élevés pour le service rendu. Dès que possible, je change.</t>
  </si>
  <si>
    <t>Intériale</t>
  </si>
  <si>
    <t>03/11/2021</t>
  </si>
  <si>
    <t>sylvie-59494</t>
  </si>
  <si>
    <t>Souci avec cette prévoyance INTERIALE. Tous les virements ont bien été fait jusqu'ici mais ce mois ci, on me demande de fournir un arrêté de mi-temps thérapeutique établi par le comité médical, mais celui, avec le Covid, ne fonctionne pas. Tout est mis en stand Bye. 
Si je ne fourni pas cet arrêté, les virements ne seront plus effectués. Je trouve cela inadmissible, chaque mois, je leur adresse une attestation de la mairie prouvant que je suis à mi-temps thérapeutique et les fiches de paie le prouve également. 
Ils exagèrent, ils me demande un document que je ne peux pas fournir et cela est vraiment indépendant de ma volonté, vu la situation exceptionnelle que nous vivons tous en ce moment. De plus les cotisations ont augmenté de 7€, ce qui fait un total de 84€ pour l'année 2021 !</t>
  </si>
  <si>
    <t>tt-99188</t>
  </si>
  <si>
    <t>Bonjour, Depuis 23 ans chez Intériale avec cotisations élevées (maintien de salaire). J'ai été 5 ans en CLD (3ans PT payé par ma commune 2ans DT payé à 50% commune et Intériale) Dans 6 mois à la retraite. Au 01/10 je passe en disponibilité d'office pour raisons de santé dans l'attente d'une décision pour retraite. Ma commune me verse un DT. Intériale par 2 fois au téléphone me dit qu'ils me verseront le DT. Ce jour je reçois un courrier me disant le contraire. J'ai dépassé les 1080 jours qui tiennent compte des jours payés également à PT par ma commune (texte à l'appui). Si je comprend bien Intériale ne verse jamais au delà des 730 jours.En effet Intériale parle de 1080 jours payés mais ne verse le DT que sur 730 jours (2ans). Je cottise pour que ce soit ma commune qui me prenne en charge. Où est l'erreur? 23 ans de cotisations pour en arriver là à 6 mois de ma retraite. Je continue à payer (maintien de salaire)!!!! J'attend un retour d'Intériale. Merci</t>
  </si>
  <si>
    <t>zouhair2019-88893</t>
  </si>
  <si>
    <t>Bonjour,
En attente d'indemnisation du maintien de salaire pour la période de Août 2019 à Décembre 2019 envoie de tout les documents via l'application mais apparemment jamais reçu 
Interiale m'envoie un questionnaire santé en courrier simple que je renvoie en recommandé Ar réceptionné le 24/03/2020 interiale m'indique qu'il n'ont pas de trace de mon questionnaire il disent d'attendre on va me recontacté scandaleux dès mois d'attente vraiment à bout</t>
  </si>
  <si>
    <t>15/04/2020</t>
  </si>
  <si>
    <t>suktanka-86499</t>
  </si>
  <si>
    <t xml:space="preserve">J'ai contacté INTERIALE un mois avant de choisir une reprise d'activité en mi-temps thérapeutique. J'ai exposé avec précision ma situation pour savoir si je pouvais bénéficier de la garantie "perte de primes". A deux reprises les "conseillers" m'ont confirmé que j'étais couvert.
A l'issue du mi-temps (3 mois) j'ai monté un dossier puis aucune réponse pendant des mois. A chaque appel une réponse différente. Puis, à force de courriers le président de la Mutuelle a refusé la prestation (900 euros quand même), tout en reconnaissant un "défaut d'information". Généreusement il m'a offert un mois de cotisation, mais le compte n'y est pas.
Une fausse information n'est pas "un défaut d'information". J'ai été trompé, je me suis engagé dans un mi-temps avec de fausses informations : le devoir de conseil n'a pas été respecté.
Le médiateur des mutuelles a été saisi, la justice le sera le cas échéant. Je serai curieux de lire l'analyse de la Mutuelle INTERIALE, je l'invite a venir éclairer les adhérents et ceux qui pourraient être tentés par la présentation flatteuse que cette mutuelle fait de ses services ...
Cordialement
Suktanka
suktanka
Message(s) : 19
Inscription : 03 Février 2018, 18:34
</t>
  </si>
  <si>
    <t>foulke-86126</t>
  </si>
  <si>
    <t xml:space="preserve">mon CLD est renouvelé pour la 4e année depuis fin novembre avec un arrêté qui est chez eux leurs mains depuis fin novembre. 
J'ai du les rappeler mi-décembre pour avoir mon complément salaire reçu début janvier. </t>
  </si>
  <si>
    <t>funktionr-85722</t>
  </si>
  <si>
    <t xml:space="preserve">Si vous souhaitez prendre Interiale dans le cadre de votre maintien de salaire (fonction publique territoriale pour moi) , fuyez les comme la peste.
En arrêt maladie pour la 1ère fois depuis 20 ans, j'ai pu tester la prévoyance selon intériale 
Après 3 mois de versements, Interiale vous envoie par courrier simple un dossier médical à faire remplir par votre medecin. 
Dès l'envoi de ce dossier par Interiale (croisez les doigts que la poste ne dysfonctionne pas) tous vos versements sont stoppés et quand vous les appelez ils vous répondent que votre dossier est entre les mains du médecin conseil, qu'ils sont incapables de vous dire quel est le délai de traitement (quand vous demandez une réponse sur le délai, l'agent d'accueil vous déclare que "je n'en sais rien est une réponse". En ce qui me concerne j'en serai bientôt à 3 mois de compléments de salaire non payés. 
</t>
  </si>
  <si>
    <t>16/01/2020</t>
  </si>
  <si>
    <t>danieleblack-85619</t>
  </si>
  <si>
    <t xml:space="preserve">je n'ai jamais eu de problème depuis plus de 20 ans mais depuis 3 mois, je cumule incompétence sur incompétence et un refus obstiné d'avoir en ligne un responsable ou un conseiller. J'ai demandé la radiation de la prévoyance on me radie de la santé ! je refais la lettre sous la dictée d'un agent d'accueil de plateforme, on me radie et de la prévoyance et de la santé. J'appelle en décembre on me me réponds dans un 1er temps panne informatique. J'appelle de nouveau aujourd'hui 8 janvier, de nouveau panne informatique! </t>
  </si>
  <si>
    <t>nini-81671</t>
  </si>
  <si>
    <t xml:space="preserve">Inadmissible! j'attends toujours le remboursement de ma journée de carence depuis le mois de juillet!!! A chaque fois, que j'ai un interlocuteur on me dit qu'ils font remonter ma demande en urgence mais je n'ai aucune réponse jusqu'à maintenant. Je pense sérieusement à changer de mutuelle.
</t>
  </si>
  <si>
    <t>06/12/2019</t>
  </si>
  <si>
    <t>carine-77590</t>
  </si>
  <si>
    <t xml:space="preserve">Remboursement maintien de salaire qui se fait avec des semaines de retard mettant les usagers dans la précarité financière 
Demande de documents pour retarder les paiements alors que les cotisations sont encaissées sans délai
Service téléphonique pas toujours joignable
J envisage de quitter cette mutuelle une fois retablie et a l issue de mon contrat </t>
  </si>
  <si>
    <t>13/07/2019</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</si>
</sst>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B2" s="2" t="s">
        <v>11</v>
      </c>
      <c r="C2" s="2" t="s">
        <v>12</v>
      </c>
      <c r="D2" s="2" t="s">
        <v>13</v>
      </c>
      <c r="E2" s="2" t="s">
        <v>14</v>
      </c>
      <c r="F2" s="2" t="s">
        <v>15</v>
      </c>
      <c r="G2" s="2" t="s">
        <v>16</v>
      </c>
      <c r="H2" s="2" t="s">
        <v>17</v>
      </c>
      <c r="I2" s="2" t="str">
        <f>IFERROR(__xludf.DUMMYFUNCTION("GOOGLETRANSLATE(C2,""fr"",""en"")"),"Customer of +25 years with no claim except that of a burglary in Nov 2018. It has been +3 months that my file still hangs out ... it is the first time I did not expect this kind of treatment")</f>
        <v>Customer of +25 years with no claim except that of a burglary in Nov 2018. It has been +3 months that my file still hangs out ... it is the first time I did not expect this kind of treatment</v>
      </c>
    </row>
    <row r="3">
      <c r="B3" s="2" t="s">
        <v>18</v>
      </c>
      <c r="C3" s="2" t="s">
        <v>19</v>
      </c>
      <c r="D3" s="2" t="s">
        <v>13</v>
      </c>
      <c r="E3" s="2" t="s">
        <v>14</v>
      </c>
      <c r="F3" s="2" t="s">
        <v>15</v>
      </c>
      <c r="G3" s="2" t="s">
        <v>20</v>
      </c>
      <c r="H3" s="2" t="s">
        <v>21</v>
      </c>
      <c r="I3" s="2" t="str">
        <f>IFERROR(__xludf.DUMMYFUNCTION("GOOGLETRANSLATE(C3,""fr"",""en"")"),"Assured and then deleted my insurance for computer reasons. The house suddenly became too large to be assured while the surface (the plans had been communicated) had not varied. I was only dealing with dishes ... It's the fault of computer science ...")</f>
        <v>Assured and then deleted my insurance for computer reasons. The house suddenly became too large to be assured while the surface (the plans had been communicated) had not varied. I was only dealing with dishes ... It's the fault of computer science ...</v>
      </c>
    </row>
    <row r="4">
      <c r="B4" s="2" t="s">
        <v>22</v>
      </c>
      <c r="C4" s="2" t="s">
        <v>23</v>
      </c>
      <c r="D4" s="2" t="s">
        <v>13</v>
      </c>
      <c r="E4" s="2" t="s">
        <v>14</v>
      </c>
      <c r="F4" s="2" t="s">
        <v>15</v>
      </c>
      <c r="G4" s="2" t="s">
        <v>20</v>
      </c>
      <c r="H4" s="2" t="s">
        <v>21</v>
      </c>
      <c r="I4" s="2" t="str">
        <f>IFERROR(__xludf.DUMMYFUNCTION("GOOGLETRANSLATE(C4,""fr"",""en"")"),"I have been assured at the Macif for almost a year for my home insurance and am determined to leave very quickly
Following a sinister arrived yesterday, I try to contacted them since this morning and I am exactly 89 minutes of waiting except an answering"&amp;" machine who tells me that my call is taken into account, no one at the end of the son. I dare not even imagine if I was in distress")</f>
        <v>I have been assured at the Macif for almost a year for my home insurance and am determined to leave very quickly
Following a sinister arrived yesterday, I try to contacted them since this morning and I am exactly 89 minutes of waiting except an answering machine who tells me that my call is taken into account, no one at the end of the son. I dare not even imagine if I was in distress</v>
      </c>
    </row>
    <row r="5">
      <c r="B5" s="2" t="s">
        <v>24</v>
      </c>
      <c r="C5" s="2" t="s">
        <v>25</v>
      </c>
      <c r="D5" s="2" t="s">
        <v>13</v>
      </c>
      <c r="E5" s="2" t="s">
        <v>14</v>
      </c>
      <c r="F5" s="2" t="s">
        <v>15</v>
      </c>
      <c r="G5" s="2" t="s">
        <v>26</v>
      </c>
      <c r="H5" s="2" t="s">
        <v>27</v>
      </c>
      <c r="I5" s="2" t="str">
        <f>IFERROR(__xludf.DUMMYFUNCTION("GOOGLETRANSLATE(C5,""fr"",""en"")"),"Insured at the Macif for 19 years, my insurance has been terminated due to too strong claims (some damage to water in the past three years - made from a neighbor - and whose reimbursement by the Macif is incommensurate with compensation collected for 19 y"&amp;"ears ..). I never received the recommended (sent without ar), so I found myself without insurance and my family for 7 months without knowing it (it is by making a phone call on another subject that I have it learned...). I made a complaint and the respons"&amp;"e was an end of not receiving in administrative form.")</f>
        <v>Insured at the Macif for 19 years, my insurance has been terminated due to too strong claims (some damage to water in the past three years - made from a neighbor - and whose reimbursement by the Macif is incommensurate with compensation collected for 19 years ..). I never received the recommended (sent without ar), so I found myself without insurance and my family for 7 months without knowing it (it is by making a phone call on another subject that I have it learned...). I made a complaint and the response was an end of not receiving in administrative form.</v>
      </c>
    </row>
    <row r="6">
      <c r="B6" s="2" t="s">
        <v>28</v>
      </c>
      <c r="C6" s="2" t="s">
        <v>29</v>
      </c>
      <c r="D6" s="2" t="s">
        <v>13</v>
      </c>
      <c r="E6" s="2" t="s">
        <v>14</v>
      </c>
      <c r="F6" s="2" t="s">
        <v>15</v>
      </c>
      <c r="G6" s="2" t="s">
        <v>30</v>
      </c>
      <c r="H6" s="2" t="s">
        <v>31</v>
      </c>
      <c r="I6" s="2" t="str">
        <f>IFERROR(__xludf.DUMMYFUNCTION("GOOGLETRANSLATE(C6,""fr"",""en"")"),"Insurer really to avoid refuses to compensate us following a combriolating after a long wait very disappointed on your part and your way of processing the files")</f>
        <v>Insurer really to avoid refuses to compensate us following a combriolating after a long wait very disappointed on your part and your way of processing the files</v>
      </c>
    </row>
    <row r="7">
      <c r="B7" s="2" t="s">
        <v>32</v>
      </c>
      <c r="C7" s="2" t="s">
        <v>33</v>
      </c>
      <c r="D7" s="2" t="s">
        <v>13</v>
      </c>
      <c r="E7" s="2" t="s">
        <v>14</v>
      </c>
      <c r="F7" s="2" t="s">
        <v>15</v>
      </c>
      <c r="G7" s="2" t="s">
        <v>30</v>
      </c>
      <c r="H7" s="2" t="s">
        <v>31</v>
      </c>
      <c r="I7" s="2" t="str">
        <f>IFERROR(__xludf.DUMMYFUNCTION("GOOGLETRANSLATE(C7,""fr"",""en"")"),"Intervention deleted at the request of the Internet user.")</f>
        <v>Intervention deleted at the request of the Internet user.</v>
      </c>
    </row>
    <row r="8">
      <c r="B8" s="2" t="s">
        <v>34</v>
      </c>
      <c r="C8" s="2" t="s">
        <v>35</v>
      </c>
      <c r="D8" s="2" t="s">
        <v>13</v>
      </c>
      <c r="E8" s="2" t="s">
        <v>14</v>
      </c>
      <c r="F8" s="2" t="s">
        <v>15</v>
      </c>
      <c r="G8" s="2" t="s">
        <v>36</v>
      </c>
      <c r="H8" s="2" t="s">
        <v>31</v>
      </c>
      <c r="I8" s="2" t="str">
        <f>IFERROR(__xludf.DUMMYFUNCTION("GOOGLETRANSLATE(C8,""fr"",""en"")"),"Good evening Madames, Monsieur,
I come respectfully, keep you informed of an incident that there was following my call around 3:58 p.m. in the number 0969394939,
I had a young lady, not attentive, who was in a hurry, annoyed, and who was very badly e"&amp;"ducated, no respect or knowing how to live.
First of all, she asks me for my member number, I answer her that I was not at home and that I am by car, she answers me it's like the social security number your social security number you know it, Then I give"&amp;" her my name first name, she does not even want to look for and answers me sir and koffi I am full, and she tells me she does not wish to have my address, because the policy of the Macif is The member number, and that I only have to recall it as soon as I"&amp;" have this number, I answered him by telling him you think that I have my free insurance, you treat them like that she did not want me Leaving to speak I don't end up raising the tone by telling him to hang up if I couldn't explain to me.
If this is cust"&amp;"omer value, do not worry about us as soon as possible we will leave, we will resilute, car home, civil liability and legal protection
Bravo customer value, bravo")</f>
        <v>Good evening Madames, Monsieur,
I come respectfully, keep you informed of an incident that there was following my call around 3:58 p.m. in the number 0969394939,
I had a young lady, not attentive, who was in a hurry, annoyed, and who was very badly educated, no respect or knowing how to live.
First of all, she asks me for my member number, I answer her that I was not at home and that I am by car, she answers me it's like the social security number your social security number you know it, Then I give her my name first name, she does not even want to look for and answers me sir and koffi I am full, and she tells me she does not wish to have my address, because the policy of the Macif is The member number, and that I only have to recall it as soon as I have this number, I answered him by telling him you think that I have my free insurance, you treat them like that she did not want me Leaving to speak I don't end up raising the tone by telling him to hang up if I couldn't explain to me.
If this is customer value, do not worry about us as soon as possible we will leave, we will resilute, car home, civil liability and legal protection
Bravo customer value, bravo</v>
      </c>
    </row>
    <row r="9">
      <c r="B9" s="2" t="s">
        <v>37</v>
      </c>
      <c r="C9" s="2" t="s">
        <v>38</v>
      </c>
      <c r="D9" s="2" t="s">
        <v>13</v>
      </c>
      <c r="E9" s="2" t="s">
        <v>14</v>
      </c>
      <c r="F9" s="2" t="s">
        <v>15</v>
      </c>
      <c r="G9" s="2" t="s">
        <v>39</v>
      </c>
      <c r="H9" s="2" t="s">
        <v>31</v>
      </c>
      <c r="I9" s="2" t="str">
        <f>IFERROR(__xludf.DUMMYFUNCTION("GOOGLETRANSLATE(C9,""fr"",""en"")"),"My son, victim of infiltration in his apartment has been waiting for more than 1 year a refund granted by the expert and no news. ""Solidarity is our strength"" is the adage of the Macif. Frankly scandalous!")</f>
        <v>My son, victim of infiltration in his apartment has been waiting for more than 1 year a refund granted by the expert and no news. "Solidarity is our strength" is the adage of the Macif. Frankly scandalous!</v>
      </c>
    </row>
    <row r="10">
      <c r="B10" s="2" t="s">
        <v>40</v>
      </c>
      <c r="C10" s="2" t="s">
        <v>41</v>
      </c>
      <c r="D10" s="2" t="s">
        <v>13</v>
      </c>
      <c r="E10" s="2" t="s">
        <v>14</v>
      </c>
      <c r="F10" s="2" t="s">
        <v>15</v>
      </c>
      <c r="G10" s="2" t="s">
        <v>42</v>
      </c>
      <c r="H10" s="2" t="s">
        <v>31</v>
      </c>
      <c r="I10" s="2" t="str">
        <f>IFERROR(__xludf.DUMMYFUNCTION("GOOGLETRANSLATE(C10,""fr"",""en"")")," Fire in a commercial premises")</f>
        <v> Fire in a commercial premises</v>
      </c>
    </row>
    <row r="11">
      <c r="B11" s="2" t="s">
        <v>43</v>
      </c>
      <c r="C11" s="2" t="s">
        <v>44</v>
      </c>
      <c r="D11" s="2" t="s">
        <v>13</v>
      </c>
      <c r="E11" s="2" t="s">
        <v>14</v>
      </c>
      <c r="F11" s="2" t="s">
        <v>15</v>
      </c>
      <c r="G11" s="2" t="s">
        <v>45</v>
      </c>
      <c r="H11" s="2" t="s">
        <v>46</v>
      </c>
      <c r="I11" s="2" t="str">
        <f>IFERROR(__xludf.DUMMYFUNCTION("GOOGLETRANSLATE(C11,""fr"",""en"")"),"Hello, I was very disappointed by the Macif, with them r. I chose another insurer, but my contract ending on January 1, 2019, the Macif must give me back a sum calculated in Prrata. On September 17 I receive a letter telling me that in the next I would ha"&amp;"ve the check. A week ago I relaunched them but I still have no response.")</f>
        <v>Hello, I was very disappointed by the Macif, with them r. I chose another insurer, but my contract ending on January 1, 2019, the Macif must give me back a sum calculated in Prrata. On September 17 I receive a letter telling me that in the next I would have the check. A week ago I relaunched them but I still have no response.</v>
      </c>
    </row>
    <row r="12">
      <c r="B12" s="2" t="s">
        <v>47</v>
      </c>
      <c r="C12" s="2" t="s">
        <v>48</v>
      </c>
      <c r="D12" s="2" t="s">
        <v>13</v>
      </c>
      <c r="E12" s="2" t="s">
        <v>14</v>
      </c>
      <c r="F12" s="2" t="s">
        <v>15</v>
      </c>
      <c r="G12" s="2" t="s">
        <v>49</v>
      </c>
      <c r="H12" s="2" t="s">
        <v>46</v>
      </c>
      <c r="I12" s="2" t="str">
        <f>IFERROR(__xludf.DUMMYFUNCTION("GOOGLETRANSLATE(C12,""fr"",""en"")"),"To flee at will.
I have declared a water damage because there is a leak in a built -in pipe which serves all the building which means that the leak does not come from my home because several inhabitants have the same leak. The Macif asks me to repair t"&amp;"he leak before the processing of my file knowing that the whole building is concerned and it is the lessor who will take care of it because he is aware of it.
A water damage file not reimbursed and has been lying around for a long time.
No communicati"&amp;"on on the progress of your file and no one.
Advisers who take the insured of heights knowing that they live thanks to our contributions.
An expert who takes you for crooks who does not want to work at all.
My apartment is in a deplorable condition be"&amp;"cause I wait for Miss Macif to take the time to process my file when she has a little time.
I am seriously thinking of terminating all my contracts from their home.
")</f>
        <v>To flee at will.
I have declared a water damage because there is a leak in a built -in pipe which serves all the building which means that the leak does not come from my home because several inhabitants have the same leak. The Macif asks me to repair the leak before the processing of my file knowing that the whole building is concerned and it is the lessor who will take care of it because he is aware of it.
A water damage file not reimbursed and has been lying around for a long time.
No communication on the progress of your file and no one.
Advisers who take the insured of heights knowing that they live thanks to our contributions.
An expert who takes you for crooks who does not want to work at all.
My apartment is in a deplorable condition because I wait for Miss Macif to take the time to process my file when she has a little time.
I am seriously thinking of terminating all my contracts from their home.
</v>
      </c>
    </row>
    <row r="13">
      <c r="B13" s="2" t="s">
        <v>50</v>
      </c>
      <c r="C13" s="2" t="s">
        <v>51</v>
      </c>
      <c r="D13" s="2" t="s">
        <v>13</v>
      </c>
      <c r="E13" s="2" t="s">
        <v>14</v>
      </c>
      <c r="F13" s="2" t="s">
        <v>15</v>
      </c>
      <c r="G13" s="2" t="s">
        <v>52</v>
      </c>
      <c r="H13" s="2" t="s">
        <v>46</v>
      </c>
      <c r="I13" s="2" t="str">
        <f>IFERROR(__xludf.DUMMYFUNCTION("GOOGLETRANSLATE(C13,""fr"",""en"")"),"Insured for 38 years at the Macif, I declared on January 19, 2018 a disaster of water damage; After exchanging correspondence and numerous reminders, the Macif designates their expert, which itself requires expertise to a leak research company, after 6 mo"&amp;"nths; The latter only intervenes that it is paid; As I am tired of mopping the leak for 6 months, I settle the leak search invoice so as not to delay the intervention more and immediately transmit this invoice to Macif (who commanded the expertise). For 4"&amp;" months I have been relaunching the Macif by specifying that I was taking the external repair and internal damage at my charge (however covered by the contract) but that I wanted the reimbursement of the leak search. Since then, following multiple reminde"&amp;"rs, it has been 3 times that the Macif asks me to send them the invoice and the report of the leak search, which I do immediately (each time) by joining the correspondence of Macif commanding this Expertise, but not the slightest news of reimbursement or "&amp;"compensation. Really very disappointed to be forced to use other ways than amiable against a company which advocates support in aversity, and which does not even respect its terms of contract.")</f>
        <v>Insured for 38 years at the Macif, I declared on January 19, 2018 a disaster of water damage; After exchanging correspondence and numerous reminders, the Macif designates their expert, which itself requires expertise to a leak research company, after 6 months; The latter only intervenes that it is paid; As I am tired of mopping the leak for 6 months, I settle the leak search invoice so as not to delay the intervention more and immediately transmit this invoice to Macif (who commanded the expertise). For 4 months I have been relaunching the Macif by specifying that I was taking the external repair and internal damage at my charge (however covered by the contract) but that I wanted the reimbursement of the leak search. Since then, following multiple reminders, it has been 3 times that the Macif asks me to send them the invoice and the report of the leak search, which I do immediately (each time) by joining the correspondence of Macif commanding this Expertise, but not the slightest news of reimbursement or compensation. Really very disappointed to be forced to use other ways than amiable against a company which advocates support in aversity, and which does not even respect its terms of contract.</v>
      </c>
    </row>
    <row r="14">
      <c r="B14" s="2" t="s">
        <v>53</v>
      </c>
      <c r="C14" s="2" t="s">
        <v>54</v>
      </c>
      <c r="D14" s="2" t="s">
        <v>13</v>
      </c>
      <c r="E14" s="2" t="s">
        <v>14</v>
      </c>
      <c r="F14" s="2" t="s">
        <v>15</v>
      </c>
      <c r="G14" s="2" t="s">
        <v>55</v>
      </c>
      <c r="H14" s="2" t="s">
        <v>46</v>
      </c>
      <c r="I14" s="2" t="str">
        <f>IFERROR(__xludf.DUMMYFUNCTION("GOOGLETRANSLATE(C14,""fr"",""en"")"),"Personally I had a water damage in my old accommodation in December, or the insurer assured me when declaring the claim that it was well taken care of, it is in October, still nothing, In latest news, they want to take care of more, I have seen no insurer"&amp;"s or experts, no one went there ... The assurance of my former owner does not take care of either, C ' is for my apple! Here is ...")</f>
        <v>Personally I had a water damage in my old accommodation in December, or the insurer assured me when declaring the claim that it was well taken care of, it is in October, still nothing, In latest news, they want to take care of more, I have seen no insurers or experts, no one went there ... The assurance of my former owner does not take care of either, C ' is for my apple! Here is ...</v>
      </c>
    </row>
    <row r="15">
      <c r="B15" s="2" t="s">
        <v>56</v>
      </c>
      <c r="C15" s="2" t="s">
        <v>57</v>
      </c>
      <c r="D15" s="2" t="s">
        <v>13</v>
      </c>
      <c r="E15" s="2" t="s">
        <v>14</v>
      </c>
      <c r="F15" s="2" t="s">
        <v>15</v>
      </c>
      <c r="G15" s="2" t="s">
        <v>58</v>
      </c>
      <c r="H15" s="2" t="s">
        <v>59</v>
      </c>
      <c r="I15" s="2" t="str">
        <f>IFERROR(__xludf.DUMMYFUNCTION("GOOGLETRANSLATE(C15,""fr"",""en"")"),"I will terminate all my Macif contracts at their next deadline.
In question, the difficulty in ensuring a new house.
 without consideration for old customers.")</f>
        <v>I will terminate all my Macif contracts at their next deadline.
In question, the difficulty in ensuring a new house.
 without consideration for old customers.</v>
      </c>
    </row>
    <row r="16">
      <c r="B16" s="2" t="s">
        <v>60</v>
      </c>
      <c r="C16" s="2" t="s">
        <v>61</v>
      </c>
      <c r="D16" s="2" t="s">
        <v>13</v>
      </c>
      <c r="E16" s="2" t="s">
        <v>14</v>
      </c>
      <c r="F16" s="2" t="s">
        <v>15</v>
      </c>
      <c r="G16" s="2" t="s">
        <v>62</v>
      </c>
      <c r="H16" s="2" t="s">
        <v>59</v>
      </c>
      <c r="I16" s="2" t="str">
        <f>IFERROR(__xludf.DUMMYFUNCTION("GOOGLETRANSLATE(C16,""fr"",""en"")"),"At the end of May, I record a claim with me. After having mandated an expert who himself mandated a company for a leak search, the insurer sends me a letter which tells me to be compensated on my account in an amount of more than 700 euros. (07/27).
I ta"&amp;"ke this opportunity to buy pipe equipment, degreaser tray, sand, etc ...
On September 14 (2 months after), I am told that the money received is used to pay the company that came to me to do a leak search.
The Macif puts me in a catastrophic situation be"&amp;"cause we are talking about several hundred euros. But maybe for an insurer this sum represents nothing, for an employee we speak of half a minimum wage. During the period of 3rd tax of taxation, follower tax that follows and housing, I let you imagine my "&amp;"situation ....")</f>
        <v>At the end of May, I record a claim with me. After having mandated an expert who himself mandated a company for a leak search, the insurer sends me a letter which tells me to be compensated on my account in an amount of more than 700 euros. (07/27).
I take this opportunity to buy pipe equipment, degreaser tray, sand, etc ...
On September 14 (2 months after), I am told that the money received is used to pay the company that came to me to do a leak search.
The Macif puts me in a catastrophic situation because we are talking about several hundred euros. But maybe for an insurer this sum represents nothing, for an employee we speak of half a minimum wage. During the period of 3rd tax of taxation, follower tax that follows and housing, I let you imagine my situation ....</v>
      </c>
    </row>
    <row r="17">
      <c r="B17" s="2" t="s">
        <v>63</v>
      </c>
      <c r="C17" s="2" t="s">
        <v>64</v>
      </c>
      <c r="D17" s="2" t="s">
        <v>13</v>
      </c>
      <c r="E17" s="2" t="s">
        <v>14</v>
      </c>
      <c r="F17" s="2" t="s">
        <v>15</v>
      </c>
      <c r="G17" s="2" t="s">
        <v>65</v>
      </c>
      <c r="H17" s="2" t="s">
        <v>66</v>
      </c>
      <c r="I17" s="2" t="str">
        <f>IFERROR(__xludf.DUMMYFUNCTION("GOOGLETRANSLATE(C17,""fr"",""en"")"),"Client for 32 years the loyalty does not pay ...
A flight with break-in from 1st floor window with high boot drilling in the basement. Flight of all my jewelry, money ... More all the clothes of my son and my husband. Even before the expert of the expert"&amp;" sent me a letter of not supported because the 1st floor shutters were not locked; The ground floor shutters were closed. The damage is very important, hence certainly their categorical refusal to take care of nothing ... If you are at home a advice go se"&amp;"e elsewhere .... if you do not have much, we suggest you have repaired Your window ...
They even questioned the veracity of the facts when then I received a document from the judge who attests that the criminals had been imprisoned! Document sent to the "&amp;"insurer but do not want to return to their decision.")</f>
        <v>Client for 32 years the loyalty does not pay ...
A flight with break-in from 1st floor window with high boot drilling in the basement. Flight of all my jewelry, money ... More all the clothes of my son and my husband. Even before the expert of the expert sent me a letter of not supported because the 1st floor shutters were not locked; The ground floor shutters were closed. The damage is very important, hence certainly their categorical refusal to take care of nothing ... If you are at home a advice go see elsewhere .... if you do not have much, we suggest you have repaired Your window ...
They even questioned the veracity of the facts when then I received a document from the judge who attests that the criminals had been imprisoned! Document sent to the insurer but do not want to return to their decision.</v>
      </c>
    </row>
    <row r="18">
      <c r="B18" s="2" t="s">
        <v>67</v>
      </c>
      <c r="C18" s="2" t="s">
        <v>68</v>
      </c>
      <c r="D18" s="2" t="s">
        <v>13</v>
      </c>
      <c r="E18" s="2" t="s">
        <v>14</v>
      </c>
      <c r="F18" s="2" t="s">
        <v>15</v>
      </c>
      <c r="G18" s="2" t="s">
        <v>69</v>
      </c>
      <c r="H18" s="2" t="s">
        <v>70</v>
      </c>
      <c r="I18" s="2" t="str">
        <f>IFERROR(__xludf.DUMMYFUNCTION("GOOGLETRANSLATE(C18,""fr"",""en"")"),"Macif client for my accommodation for 10 years I gave around 12,000 euros in subscription.
Victim of a burglary in the evening of June 21, we immediately contacted the assistance to declare the claim. The next day no trace of our file. The next day after"&amp;" a new call still no opening of a file. The disaster was opened on June 25 after 4 calls.
The expert who came to make our loss after reading our contract advises us to change because the clauses are really deplorable.
An iPad at 1000 € which barely 6 "&amp;"months loses 20%! A PS4 bought at Christmas the same.
We have lost 10,000 euros in equipment.
In all, the expert figures compensation at € 4,200 for the entire equipment.
I am disgusted and furious against this insurance I trust and who rolled in the"&amp;" flour telling myself that I was well protected.")</f>
        <v>Macif client for my accommodation for 10 years I gave around 12,000 euros in subscription.
Victim of a burglary in the evening of June 21, we immediately contacted the assistance to declare the claim. The next day no trace of our file. The next day after a new call still no opening of a file. The disaster was opened on June 25 after 4 calls.
The expert who came to make our loss after reading our contract advises us to change because the clauses are really deplorable.
An iPad at 1000 € which barely 6 months loses 20%! A PS4 bought at Christmas the same.
We have lost 10,000 euros in equipment.
In all, the expert figures compensation at € 4,200 for the entire equipment.
I am disgusted and furious against this insurance I trust and who rolled in the flour telling myself that I was well protected.</v>
      </c>
    </row>
    <row r="19">
      <c r="B19" s="2" t="s">
        <v>71</v>
      </c>
      <c r="C19" s="2" t="s">
        <v>72</v>
      </c>
      <c r="D19" s="2" t="s">
        <v>13</v>
      </c>
      <c r="E19" s="2" t="s">
        <v>14</v>
      </c>
      <c r="F19" s="2" t="s">
        <v>15</v>
      </c>
      <c r="G19" s="2" t="s">
        <v>73</v>
      </c>
      <c r="H19" s="2" t="s">
        <v>74</v>
      </c>
      <c r="I19" s="2" t="str">
        <f>IFERROR(__xludf.DUMMYFUNCTION("GOOGLETRANSLATE(C19,""fr"",""en"")"),"Very disappointed to learn the day of a disaster that the contract did not cover this particular case and to note that my word has no value in front of the decision of the Macif.
My decision is to terminate my Macif contracts: 3 vehicles and 2 houses and"&amp;" reflection in progress to empty my life insurance contracts.
The word of a member trusting Macif for 32 years has no value in the ears of a Macif official who in this case has not even deigned to speak to me.")</f>
        <v>Very disappointed to learn the day of a disaster that the contract did not cover this particular case and to note that my word has no value in front of the decision of the Macif.
My decision is to terminate my Macif contracts: 3 vehicles and 2 houses and reflection in progress to empty my life insurance contracts.
The word of a member trusting Macif for 32 years has no value in the ears of a Macif official who in this case has not even deigned to speak to me.</v>
      </c>
    </row>
    <row r="20">
      <c r="B20" s="2" t="s">
        <v>75</v>
      </c>
      <c r="C20" s="2" t="s">
        <v>76</v>
      </c>
      <c r="D20" s="2" t="s">
        <v>13</v>
      </c>
      <c r="E20" s="2" t="s">
        <v>14</v>
      </c>
      <c r="F20" s="2" t="s">
        <v>15</v>
      </c>
      <c r="G20" s="2" t="s">
        <v>77</v>
      </c>
      <c r="H20" s="2" t="s">
        <v>74</v>
      </c>
      <c r="I20" s="2" t="str">
        <f>IFERROR(__xludf.DUMMYFUNCTION("GOOGLETRANSLATE(C20,""fr"",""en"")"),"Unjusting on the phone, no complaints monitoring.")</f>
        <v>Unjusting on the phone, no complaints monitoring.</v>
      </c>
    </row>
    <row r="21" ht="15.75" customHeight="1">
      <c r="B21" s="2" t="s">
        <v>78</v>
      </c>
      <c r="C21" s="2" t="s">
        <v>79</v>
      </c>
      <c r="D21" s="2" t="s">
        <v>13</v>
      </c>
      <c r="E21" s="2" t="s">
        <v>14</v>
      </c>
      <c r="F21" s="2" t="s">
        <v>15</v>
      </c>
      <c r="G21" s="2" t="s">
        <v>80</v>
      </c>
      <c r="H21" s="2" t="s">
        <v>81</v>
      </c>
      <c r="I21" s="2" t="str">
        <f>IFERROR(__xludf.DUMMYFUNCTION("GOOGLETRANSLATE(C21,""fr"",""en"")"),"Insured for 39 years with the Macif, this insurer has refused the care for 4 months of a claim on the pretext that I live a 5 parts instead of 4 while my contract specifies that I have owned this 4 rooms since 22 years old.
I paid the franchise of 120 eu"&amp;"ros.
After several recommended and 2 formal notice remained in vain I terminated all the contracts in progress today and I will assign the Macif in justice. Insurer starting to flee")</f>
        <v>Insured for 39 years with the Macif, this insurer has refused the care for 4 months of a claim on the pretext that I live a 5 parts instead of 4 while my contract specifies that I have owned this 4 rooms since 22 years old.
I paid the franchise of 120 euros.
After several recommended and 2 formal notice remained in vain I terminated all the contracts in progress today and I will assign the Macif in justice. Insurer starting to flee</v>
      </c>
    </row>
    <row r="22" ht="15.75" customHeight="1">
      <c r="B22" s="2" t="s">
        <v>82</v>
      </c>
      <c r="C22" s="2" t="s">
        <v>83</v>
      </c>
      <c r="D22" s="2" t="s">
        <v>13</v>
      </c>
      <c r="E22" s="2" t="s">
        <v>14</v>
      </c>
      <c r="F22" s="2" t="s">
        <v>15</v>
      </c>
      <c r="G22" s="2" t="s">
        <v>84</v>
      </c>
      <c r="H22" s="2" t="s">
        <v>85</v>
      </c>
      <c r="I22" s="2" t="str">
        <f>IFERROR(__xludf.DUMMYFUNCTION("GOOGLETRANSLATE(C22,""fr"",""en"")"),"Water damage due to frost, the designated expert (Polyxpert) passes and announces an amount of reimbursement of € 3000 paid within 10 days. He tells us to do the work immediately and a few days later, the Macif refuses care. The expert returned his jacket"&amp;" ....
The Macif does not want to hear anything .... Impossible to chat with expert or Macif .... we are asked to do a counter-expertise.")</f>
        <v>Water damage due to frost, the designated expert (Polyxpert) passes and announces an amount of reimbursement of € 3000 paid within 10 days. He tells us to do the work immediately and a few days later, the Macif refuses care. The expert returned his jacket ....
The Macif does not want to hear anything .... Impossible to chat with expert or Macif .... we are asked to do a counter-expertise.</v>
      </c>
    </row>
    <row r="23" ht="15.75" customHeight="1">
      <c r="B23" s="2" t="s">
        <v>86</v>
      </c>
      <c r="C23" s="2" t="s">
        <v>87</v>
      </c>
      <c r="D23" s="2" t="s">
        <v>13</v>
      </c>
      <c r="E23" s="2" t="s">
        <v>14</v>
      </c>
      <c r="F23" s="2" t="s">
        <v>15</v>
      </c>
      <c r="G23" s="2" t="s">
        <v>88</v>
      </c>
      <c r="H23" s="2" t="s">
        <v>85</v>
      </c>
      <c r="I23" s="2" t="str">
        <f>IFERROR(__xludf.DUMMYFUNCTION("GOOGLETRANSLATE(C23,""fr"",""en"")"),"Following a burglary, the Macif refuses to reimburse us with the damage and the flights ... broken window broken glass ... It is incomprehensible..nus windows are all of very good quality 2800 € per window obviously not enough for Lamacif ... The glass br"&amp;"eakage is reimbursed by all repair insurance for us € 600 US reimbursement ....")</f>
        <v>Following a burglary, the Macif refuses to reimburse us with the damage and the flights ... broken window broken glass ... It is incomprehensible..nus windows are all of very good quality 2800 € per window obviously not enough for Lamacif ... The glass breakage is reimbursed by all repair insurance for us € 600 US reimbursement ....</v>
      </c>
    </row>
    <row r="24" ht="15.75" customHeight="1">
      <c r="B24" s="2" t="s">
        <v>89</v>
      </c>
      <c r="C24" s="2" t="s">
        <v>90</v>
      </c>
      <c r="D24" s="2" t="s">
        <v>13</v>
      </c>
      <c r="E24" s="2" t="s">
        <v>14</v>
      </c>
      <c r="F24" s="2" t="s">
        <v>15</v>
      </c>
      <c r="G24" s="2" t="s">
        <v>91</v>
      </c>
      <c r="H24" s="2" t="s">
        <v>92</v>
      </c>
      <c r="I24" s="2" t="str">
        <f>IFERROR(__xludf.DUMMYFUNCTION("GOOGLETRANSLATE(C24,""fr"",""en"")"),"No answer or late response regarding messaging. Claim 07/31/2017 File still in progress")</f>
        <v>No answer or late response regarding messaging. Claim 07/31/2017 File still in progress</v>
      </c>
    </row>
    <row r="25" ht="15.75" customHeight="1">
      <c r="B25" s="2" t="s">
        <v>93</v>
      </c>
      <c r="C25" s="2" t="s">
        <v>94</v>
      </c>
      <c r="D25" s="2" t="s">
        <v>13</v>
      </c>
      <c r="E25" s="2" t="s">
        <v>14</v>
      </c>
      <c r="F25" s="2" t="s">
        <v>15</v>
      </c>
      <c r="G25" s="2" t="s">
        <v>95</v>
      </c>
      <c r="H25" s="2" t="s">
        <v>96</v>
      </c>
      <c r="I25" s="2" t="str">
        <f>IFERROR(__xludf.DUMMYFUNCTION("GOOGLETRANSLATE(C25,""fr"",""en"")"),"Water damage declared on August 7 and October 25 still no news concerning reimbursement or not even if it is specified that the soil damage is supported and well not quoted too expensive ...
2 experts have passed and an approved Macif plumber who put an "&amp;"appointment never came?! Disappeared despite my calls and my messages
In short, pitiful for a small water damage of a simple shower!
I terminate next March")</f>
        <v>Water damage declared on August 7 and October 25 still no news concerning reimbursement or not even if it is specified that the soil damage is supported and well not quoted too expensive ...
2 experts have passed and an approved Macif plumber who put an appointment never came?! Disappeared despite my calls and my messages
In short, pitiful for a small water damage of a simple shower!
I terminate next March</v>
      </c>
    </row>
    <row r="26" ht="15.75" customHeight="1">
      <c r="B26" s="2" t="s">
        <v>97</v>
      </c>
      <c r="C26" s="2" t="s">
        <v>98</v>
      </c>
      <c r="D26" s="2" t="s">
        <v>13</v>
      </c>
      <c r="E26" s="2" t="s">
        <v>14</v>
      </c>
      <c r="F26" s="2" t="s">
        <v>15</v>
      </c>
      <c r="G26" s="2" t="s">
        <v>99</v>
      </c>
      <c r="H26" s="2" t="s">
        <v>96</v>
      </c>
      <c r="I26" s="2" t="str">
        <f>IFERROR(__xludf.DUMMYFUNCTION("GOOGLETRANSLATE(C26,""fr"",""en"")"),"Agency of Bobigny in 93 you call them for information your impression that you disturb them I do not know where he and recruit on the other hand I moved to the agency he had a daughter his")</f>
        <v>Agency of Bobigny in 93 you call them for information your impression that you disturb them I do not know where he and recruit on the other hand I moved to the agency he had a daughter his</v>
      </c>
    </row>
    <row r="27" ht="15.75" customHeight="1">
      <c r="B27" s="2" t="s">
        <v>100</v>
      </c>
      <c r="C27" s="2" t="s">
        <v>101</v>
      </c>
      <c r="D27" s="2" t="s">
        <v>13</v>
      </c>
      <c r="E27" s="2" t="s">
        <v>14</v>
      </c>
      <c r="F27" s="2" t="s">
        <v>15</v>
      </c>
      <c r="G27" s="2" t="s">
        <v>102</v>
      </c>
      <c r="H27" s="2" t="s">
        <v>96</v>
      </c>
      <c r="I27" s="2" t="str">
        <f>IFERROR(__xludf.DUMMYFUNCTION("GOOGLETRANSLATE(C27,""fr"",""en"")"),"Null legal advice I call for information. I say to me wait I inquire and after xxxxxx mn I am answered/ I did not find it must be called the judge ???")</f>
        <v>Null legal advice I call for information. I say to me wait I inquire and after xxxxxx mn I am answered/ I did not find it must be called the judge ???</v>
      </c>
    </row>
    <row r="28" ht="15.75" customHeight="1">
      <c r="B28" s="2" t="s">
        <v>103</v>
      </c>
      <c r="C28" s="2" t="s">
        <v>104</v>
      </c>
      <c r="D28" s="2" t="s">
        <v>13</v>
      </c>
      <c r="E28" s="2" t="s">
        <v>14</v>
      </c>
      <c r="F28" s="2" t="s">
        <v>15</v>
      </c>
      <c r="G28" s="2" t="s">
        <v>105</v>
      </c>
      <c r="H28" s="2" t="s">
        <v>106</v>
      </c>
      <c r="I28" s="2" t="str">
        <f>IFERROR(__xludf.DUMMYFUNCTION("GOOGLETRANSLATE(C28,""fr"",""en"")"),"I am very very decreased from the lasting of a disaster occurred on January 12 to be quiet I called on the masonry company approved The Macif The works are a real caster. So I called Compiegne repeatedly for their report my
Meching I was not really l"&amp;"istening to support I was felt that we
returned the situation against me, that I was a liar and until I told me that I was
Not insured for my fence. My file began to move when I went to see
A adviser to the agency of Dieppe This adviser calls Judith an"&amp;"d thanks to her an expert went to note the damage he concluded that it was deflorable that my wall had to be redone more than 4meters on 3 rows of agglos it should be the B.A.B.A for a mason. Today we are September 15 and I am still at the same point I am"&amp;" waiting for I wait I am waiting for the situation to unlock last weekend I almost lost my pet in extremis because I do not have a fence .I thought of being in good hands with my insurer I fall from above. Today with competition a company that does not kn"&amp;"ow how to satisfy its customers can very quickly be at the bottom of the abyss, it is the customer who turns business. I have no more hope of much it's been 8 months that it lasts. I owe a big thank you to my advisor she did everything possible to satisfy"&amp;" me and unlock the file and as in everything it is always those who are at the top who do not assure who fall asleep on their laurels after they are etum Lesclients will see elsewhere
An advisor to the Dieppe agency This advisor calls Judith she"&amp;" knew how to listen to me
And thanks to her an expert came to see the damage he told me that it was dress
")</f>
        <v>I am very very decreased from the lasting of a disaster occurred on January 12 to be quiet I called on the masonry company approved The Macif The works are a real caster. So I called Compiegne repeatedly for their report my
Meching I was not really listening to support I was felt that we
returned the situation against me, that I was a liar and until I told me that I was
Not insured for my fence. My file began to move when I went to see
A adviser to the agency of Dieppe This adviser calls Judith and thanks to her an expert went to note the damage he concluded that it was deflorable that my wall had to be redone more than 4meters on 3 rows of agglos it should be the B.A.B.A for a mason. Today we are September 15 and I am still at the same point I am waiting for I wait I am waiting for the situation to unlock last weekend I almost lost my pet in extremis because I do not have a fence .I thought of being in good hands with my insurer I fall from above. Today with competition a company that does not know how to satisfy its customers can very quickly be at the bottom of the abyss, it is the customer who turns business. I have no more hope of much it's been 8 months that it lasts. I owe a big thank you to my advisor she did everything possible to satisfy me and unlock the file and as in everything it is always those who are at the top who do not assure who fall asleep on their laurels after they are etum Lesclients will see elsewhere
An advisor to the Dieppe agency This advisor calls Judith she knew how to listen to me
And thanks to her an expert came to see the damage he told me that it was dress
</v>
      </c>
    </row>
    <row r="29" ht="15.75" customHeight="1">
      <c r="B29" s="2" t="s">
        <v>107</v>
      </c>
      <c r="C29" s="2" t="s">
        <v>108</v>
      </c>
      <c r="D29" s="2" t="s">
        <v>13</v>
      </c>
      <c r="E29" s="2" t="s">
        <v>14</v>
      </c>
      <c r="F29" s="2" t="s">
        <v>15</v>
      </c>
      <c r="G29" s="2" t="s">
        <v>109</v>
      </c>
      <c r="H29" s="2" t="s">
        <v>110</v>
      </c>
      <c r="I29" s="2" t="str">
        <f>IFERROR(__xludf.DUMMYFUNCTION("GOOGLETRANSLATE(C29,""fr"",""en"")"),"A member for over 30 years, I have called on the Macif following a burglary.
 I immediately declared this claim by phone. In the flow of information and steps to be taken in emergency, I forgot to confirm the claim by registered letter within 2 days. T"&amp;"oo happy with this forgetfulness La Macif let me know that she would not take care of anything. I had to make an explanatory letter to assert my rights to compensation.
The Macif oriented me on the Mag33 company for securing the forced door. To do this"&amp;", the Mag33 worker did damage in the masonry supervision that he was unable to repair properly afterwards.
The installation of the door was done with multiple setbacks.
1st meeting: the door was completely different from the original one and in my o"&amp;"pinion impractical sense.
So I refused it.
2nd appointment: the proposed door was honey and varnished color. The professional assured me that she could not be repainted in the right color.
I pass the details to you. I refused it.
3rd appointment: "&amp;"the door is laid several months after my burglary because of this expectation, I accept several differences: door threshold provided to be embedded in the tiles which is not embedded, window of the transparent door instead of opaque, door handle much smal"&amp;"ler than that of original and poses of the old damaged handle.
In addition, certain details are concerned about the continuation of the work, damage to the supervision, BA13 plates posed approximately, especially since I have a limited quantity of tape"&amp;"stry identical to the old and therefore the impossibility of me allow a failure.
Appointment is made to perform sanding in one day, laying the plates joints, plates painting and the installation of the wallpaper with the times of the different drying ."&amp;"..
See you finally canceled by Mag33 a week before the intervention.
 6 months after my burglary, saturated unpleasant surprises of Mag33 and fearing to hear from it, I decide to end the interventions of this company.
I contact the Macif to get w"&amp;"hat to do or have the work done later by another company of my choice.
The expert contacted me by phone after sending me an agreement by email. I draw its attention to a clause that would allow the Macif to claim a franchise. The expert then points out"&amp;" to me that on the panel of agreement it is stipulated in all letters that the franchise of my contract is 0 € and that there is therefore no worries.
For this observation, we agreed so that I can perceive a compensation of € 504 for this sinister.
"&amp;"Shortly after I receive a letter from the Macif which agrees to pay me € 504 but which announces a franchise of € 120 ...
We had to read the small lines of the contract ...
What should I conclude from this whole story?
That you should never hav"&amp;"e confidence in the Macif under penalty of big disappointments?
WHERE
That I was the victim of an unfortunate competition of circumstances which will be quickly resolved by not making me pay the deposit of € 120 (admit that for a reputation it is no"&amp;"t expensive)
You will not fail to inform readers of the conclusion of this story.
To all useful purposes my reference to be remembered is:
172843544/WIG004/WIG004
")</f>
        <v>A member for over 30 years, I have called on the Macif following a burglary.
 I immediately declared this claim by phone. In the flow of information and steps to be taken in emergency, I forgot to confirm the claim by registered letter within 2 days. Too happy with this forgetfulness La Macif let me know that she would not take care of anything. I had to make an explanatory letter to assert my rights to compensation.
The Macif oriented me on the Mag33 company for securing the forced door. To do this, the Mag33 worker did damage in the masonry supervision that he was unable to repair properly afterwards.
The installation of the door was done with multiple setbacks.
1st meeting: the door was completely different from the original one and in my opinion impractical sense.
So I refused it.
2nd appointment: the proposed door was honey and varnished color. The professional assured me that she could not be repainted in the right color.
I pass the details to you. I refused it.
3rd appointment: the door is laid several months after my burglary because of this expectation, I accept several differences: door threshold provided to be embedded in the tiles which is not embedded, window of the transparent door instead of opaque, door handle much smaller than that of original and poses of the old damaged handle.
In addition, certain details are concerned about the continuation of the work, damage to the supervision, BA13 plates posed approximately, especially since I have a limited quantity of tapestry identical to the old and therefore the impossibility of me allow a failure.
Appointment is made to perform sanding in one day, laying the plates joints, plates painting and the installation of the wallpaper with the times of the different drying ...
See you finally canceled by Mag33 a week before the intervention.
 6 months after my burglary, saturated unpleasant surprises of Mag33 and fearing to hear from it, I decide to end the interventions of this company.
I contact the Macif to get what to do or have the work done later by another company of my choice.
The expert contacted me by phone after sending me an agreement by email. I draw its attention to a clause that would allow the Macif to claim a franchise. The expert then points out to me that on the panel of agreement it is stipulated in all letters that the franchise of my contract is 0 € and that there is therefore no worries.
For this observation, we agreed so that I can perceive a compensation of € 504 for this sinister.
Shortly after I receive a letter from the Macif which agrees to pay me € 504 but which announces a franchise of € 120 ...
We had to read the small lines of the contract ...
What should I conclude from this whole story?
That you should never have confidence in the Macif under penalty of big disappointments?
WHERE
That I was the victim of an unfortunate competition of circumstances which will be quickly resolved by not making me pay the deposit of € 120 (admit that for a reputation it is not expensive)
You will not fail to inform readers of the conclusion of this story.
To all useful purposes my reference to be remembered is:
172843544/WIG004/WIG004
</v>
      </c>
    </row>
    <row r="30" ht="15.75" customHeight="1">
      <c r="B30" s="2" t="s">
        <v>111</v>
      </c>
      <c r="C30" s="2" t="s">
        <v>112</v>
      </c>
      <c r="D30" s="2" t="s">
        <v>13</v>
      </c>
      <c r="E30" s="2" t="s">
        <v>14</v>
      </c>
      <c r="F30" s="2" t="s">
        <v>15</v>
      </c>
      <c r="G30" s="2" t="s">
        <v>113</v>
      </c>
      <c r="H30" s="2" t="s">
        <v>110</v>
      </c>
      <c r="I30" s="2" t="str">
        <f>IFERROR(__xludf.DUMMYFUNCTION("GOOGLETRANSLATE(C30,""fr"",""en"")"),"Following a lightning loss, I contact the Macif for claim, declaration OK, but an expert must contact me within 10 days, 14 days after no news.
I contact the expert who asks me for the bills, something done in the minute and he tells me we contact you in"&amp;" a week.
No news after 8 days, I recall no trace of my bills, return once again and they must contact me in a week.
If my house would have been uninhabitable I will have camping in the garden. inadmissible for a service provider that we pay for that")</f>
        <v>Following a lightning loss, I contact the Macif for claim, declaration OK, but an expert must contact me within 10 days, 14 days after no news.
I contact the expert who asks me for the bills, something done in the minute and he tells me we contact you in a week.
No news after 8 days, I recall no trace of my bills, return once again and they must contact me in a week.
If my house would have been uninhabitable I will have camping in the garden. inadmissible for a service provider that we pay for that</v>
      </c>
    </row>
    <row r="31" ht="15.75" customHeight="1">
      <c r="B31" s="2" t="s">
        <v>114</v>
      </c>
      <c r="C31" s="2" t="s">
        <v>115</v>
      </c>
      <c r="D31" s="2" t="s">
        <v>13</v>
      </c>
      <c r="E31" s="2" t="s">
        <v>14</v>
      </c>
      <c r="F31" s="2" t="s">
        <v>15</v>
      </c>
      <c r="G31" s="2" t="s">
        <v>116</v>
      </c>
      <c r="H31" s="2" t="s">
        <v>110</v>
      </c>
      <c r="I31" s="2" t="str">
        <f>IFERROR(__xludf.DUMMYFUNCTION("GOOGLETRANSLATE(C31,""fr"",""en"")"),"A member for almost 20 years, customer relations during a recent burglary has been more than negative. In the end, during the only event that the
Macif had to manage the result is zero. Rather than showing you that you are not just a number but a custome"&amp;"r and that you deserve to be followed, the Macif shines by leaving you this feeling of being stolen from you a second time every year. So I change insurance ....")</f>
        <v>A member for almost 20 years, customer relations during a recent burglary has been more than negative. In the end, during the only event that the
Macif had to manage the result is zero. Rather than showing you that you are not just a number but a customer and that you deserve to be followed, the Macif shines by leaving you this feeling of being stolen from you a second time every year. So I change insurance ....</v>
      </c>
    </row>
    <row r="32" ht="15.75" customHeight="1">
      <c r="B32" s="2" t="s">
        <v>117</v>
      </c>
      <c r="C32" s="2" t="s">
        <v>118</v>
      </c>
      <c r="D32" s="2" t="s">
        <v>13</v>
      </c>
      <c r="E32" s="2" t="s">
        <v>14</v>
      </c>
      <c r="F32" s="2" t="s">
        <v>15</v>
      </c>
      <c r="G32" s="2" t="s">
        <v>119</v>
      </c>
      <c r="H32" s="2" t="s">
        <v>120</v>
      </c>
      <c r="I32" s="2" t="str">
        <f>IFERROR(__xludf.DUMMYFUNCTION("GOOGLETRANSLATE(C32,""fr"",""en"")"),"Hello,
I was the victim of a fire at the home I rent, and I must say that the Macif was below everything.
I was entitled to three nights at the hotel because I can no longer live in the home, but then I had to call another service, after several people,"&amp;" I understand that I have to pay my rent from the home And that I advance the rent of my rehousing ... Impossible for me, so I stayed with friends. After the expert's passage, the owner had to manage alone to make several quotes with different companies, "&amp;"a galley. She had to put forward the work and be made on invoice. For my damage, I was compensated after six months, and I had to relaunch the Macif several times, moreover I perceived a ridiculous sum for a washing machine and a dryer, with compensation "&amp;"I could not even not buy one of the two. I wrote to the Macif by sending them a check for the amount of allowances and explaining my feelings to them. The Macif cashed the check.
I am more traumatized by the behavior of the Macif than by the fire.")</f>
        <v>Hello,
I was the victim of a fire at the home I rent, and I must say that the Macif was below everything.
I was entitled to three nights at the hotel because I can no longer live in the home, but then I had to call another service, after several people, I understand that I have to pay my rent from the home And that I advance the rent of my rehousing ... Impossible for me, so I stayed with friends. After the expert's passage, the owner had to manage alone to make several quotes with different companies, a galley. She had to put forward the work and be made on invoice. For my damage, I was compensated after six months, and I had to relaunch the Macif several times, moreover I perceived a ridiculous sum for a washing machine and a dryer, with compensation I could not even not buy one of the two. I wrote to the Macif by sending them a check for the amount of allowances and explaining my feelings to them. The Macif cashed the check.
I am more traumatized by the behavior of the Macif than by the fire.</v>
      </c>
    </row>
    <row r="33" ht="15.75" customHeight="1">
      <c r="B33" s="2" t="s">
        <v>121</v>
      </c>
      <c r="C33" s="2" t="s">
        <v>122</v>
      </c>
      <c r="D33" s="2" t="s">
        <v>13</v>
      </c>
      <c r="E33" s="2" t="s">
        <v>14</v>
      </c>
      <c r="F33" s="2" t="s">
        <v>15</v>
      </c>
      <c r="G33" s="2" t="s">
        <v>123</v>
      </c>
      <c r="H33" s="2" t="s">
        <v>120</v>
      </c>
      <c r="I33" s="2" t="str">
        <f>IFERROR(__xludf.DUMMYFUNCTION("GOOGLETRANSLATE(C33,""fr"",""en"")"),"Very kind and competent employees, both in agency and by telephone. Very correct price, and in the event of a claim no worries, contact by expert very quickly and go to the same as asking more.")</f>
        <v>Very kind and competent employees, both in agency and by telephone. Very correct price, and in the event of a claim no worries, contact by expert very quickly and go to the same as asking more.</v>
      </c>
    </row>
    <row r="34" ht="15.75" customHeight="1">
      <c r="B34" s="2" t="s">
        <v>124</v>
      </c>
      <c r="C34" s="2" t="s">
        <v>125</v>
      </c>
      <c r="D34" s="2" t="s">
        <v>13</v>
      </c>
      <c r="E34" s="2" t="s">
        <v>14</v>
      </c>
      <c r="F34" s="2" t="s">
        <v>15</v>
      </c>
      <c r="G34" s="2" t="s">
        <v>126</v>
      </c>
      <c r="H34" s="2" t="s">
        <v>127</v>
      </c>
      <c r="I34" s="2" t="str">
        <f>IFERROR(__xludf.DUMMYFUNCTION("GOOGLETRANSLATE(C34,""fr"",""en"")"),"Forty years of insurance without any accident or problem of theft of damage houses secondary residences, cars, motorcycles, etc., or other incident requires ensuring real estate in Corsica or I have my main residence but insured by my wife to Another comp"&amp;"any since it owns the Corsica which as everyone knows is not the French Premier Republic requires no response on the second site requires no response call I must enter by email the site is useless for a Ask in Corsica but you have to know nothing indicate"&amp;"s it email does not revive my mails passage to the Macif office in Bastia to be said that if there is no answer it is that it is that is negative we don't care about the member at the Macif. Conclusion Change of insurer envisaged for me and all those in m"&amp;"y family and insurance taken in competition.")</f>
        <v>Forty years of insurance without any accident or problem of theft of damage houses secondary residences, cars, motorcycles, etc., or other incident requires ensuring real estate in Corsica or I have my main residence but insured by my wife to Another company since it owns the Corsica which as everyone knows is not the French Premier Republic requires no response on the second site requires no response call I must enter by email the site is useless for a Ask in Corsica but you have to know nothing indicates it email does not revive my mails passage to the Macif office in Bastia to be said that if there is no answer it is that it is that is negative we don't care about the member at the Macif. Conclusion Change of insurer envisaged for me and all those in my family and insurance taken in competition.</v>
      </c>
    </row>
    <row r="35" ht="15.75" customHeight="1">
      <c r="B35" s="2" t="s">
        <v>128</v>
      </c>
      <c r="C35" s="2" t="s">
        <v>129</v>
      </c>
      <c r="D35" s="2" t="s">
        <v>13</v>
      </c>
      <c r="E35" s="2" t="s">
        <v>14</v>
      </c>
      <c r="F35" s="2" t="s">
        <v>15</v>
      </c>
      <c r="G35" s="2" t="s">
        <v>130</v>
      </c>
      <c r="H35" s="2" t="s">
        <v>131</v>
      </c>
      <c r="I35" s="2" t="str">
        <f>IFERROR(__xludf.DUMMYFUNCTION("GOOGLETRANSLATE(C35,""fr"",""en"")"),"always present")</f>
        <v>always present</v>
      </c>
    </row>
    <row r="36" ht="15.75" customHeight="1">
      <c r="B36" s="2" t="s">
        <v>132</v>
      </c>
      <c r="C36" s="2" t="s">
        <v>133</v>
      </c>
      <c r="D36" s="2" t="s">
        <v>13</v>
      </c>
      <c r="E36" s="2" t="s">
        <v>14</v>
      </c>
      <c r="F36" s="2" t="s">
        <v>15</v>
      </c>
      <c r="G36" s="2" t="s">
        <v>134</v>
      </c>
      <c r="H36" s="2" t="s">
        <v>131</v>
      </c>
      <c r="I36" s="2" t="str">
        <f>IFERROR(__xludf.DUMMYFUNCTION("GOOGLETRANSLATE(C36,""fr"",""en"")"),"Insured for more than 20 years with this insurer, he no longer ensures the management and repair of damage due to bad weather on old contracts.")</f>
        <v>Insured for more than 20 years with this insurer, he no longer ensures the management and repair of damage due to bad weather on old contracts.</v>
      </c>
    </row>
    <row r="37" ht="15.75" customHeight="1">
      <c r="B37" s="2" t="s">
        <v>135</v>
      </c>
      <c r="C37" s="2" t="s">
        <v>136</v>
      </c>
      <c r="D37" s="2" t="s">
        <v>13</v>
      </c>
      <c r="E37" s="2" t="s">
        <v>14</v>
      </c>
      <c r="F37" s="2" t="s">
        <v>15</v>
      </c>
      <c r="G37" s="2" t="s">
        <v>137</v>
      </c>
      <c r="H37" s="2" t="s">
        <v>138</v>
      </c>
      <c r="I37" s="2" t="str">
        <f>IFERROR(__xludf.DUMMYFUNCTION("GOOGLETRANSLATE(C37,""fr"",""en"")"),"In 25 years not a claim. Had to ask for a simple certificate then the most nobody. Neither on Facebook nor at such. Welcome worthy of the platforms at the other end of the world. It becomes a refusal to deliver in document. Legal ???")</f>
        <v>In 25 years not a claim. Had to ask for a simple certificate then the most nobody. Neither on Facebook nor at such. Welcome worthy of the platforms at the other end of the world. It becomes a refusal to deliver in document. Legal ???</v>
      </c>
    </row>
    <row r="38" ht="15.75" customHeight="1">
      <c r="B38" s="2" t="s">
        <v>139</v>
      </c>
      <c r="C38" s="2" t="s">
        <v>140</v>
      </c>
      <c r="D38" s="2" t="s">
        <v>13</v>
      </c>
      <c r="E38" s="2" t="s">
        <v>14</v>
      </c>
      <c r="F38" s="2" t="s">
        <v>15</v>
      </c>
      <c r="G38" s="2" t="s">
        <v>141</v>
      </c>
      <c r="H38" s="2" t="s">
        <v>138</v>
      </c>
      <c r="I38" s="2" t="str">
        <f>IFERROR(__xludf.DUMMYFUNCTION("GOOGLETRANSLATE(C38,""fr"",""en"")"),"It's unfortunate but you have to lie my daughter was robbed in Barcelona but as she was there for her studies (that 3 months) they did not want to reimburse in fact you have to be on vacation we are supposedly to insure 90 days Abroad and it was 15 days ."&amp;".... Another insurance that plays on words .... not serious ....")</f>
        <v>It's unfortunate but you have to lie my daughter was robbed in Barcelona but as she was there for her studies (that 3 months) they did not want to reimburse in fact you have to be on vacation we are supposedly to insure 90 days Abroad and it was 15 days ..... Another insurance that plays on words .... not serious ....</v>
      </c>
    </row>
    <row r="39" ht="15.75" customHeight="1">
      <c r="B39" s="2" t="s">
        <v>142</v>
      </c>
      <c r="C39" s="2" t="s">
        <v>143</v>
      </c>
      <c r="D39" s="2" t="s">
        <v>13</v>
      </c>
      <c r="E39" s="2" t="s">
        <v>14</v>
      </c>
      <c r="F39" s="2" t="s">
        <v>15</v>
      </c>
      <c r="G39" s="2" t="s">
        <v>144</v>
      </c>
      <c r="H39" s="2" t="s">
        <v>145</v>
      </c>
      <c r="I39" s="2" t="str">
        <f>IFERROR(__xludf.DUMMYFUNCTION("GOOGLETRANSLATE(C39,""fr"",""en"")"),"I recommend the Macif as soon as I have the opportunity.")</f>
        <v>I recommend the Macif as soon as I have the opportunity.</v>
      </c>
    </row>
    <row r="40" ht="15.75" customHeight="1">
      <c r="B40" s="2" t="s">
        <v>146</v>
      </c>
      <c r="C40" s="2" t="s">
        <v>147</v>
      </c>
      <c r="D40" s="2" t="s">
        <v>13</v>
      </c>
      <c r="E40" s="2" t="s">
        <v>14</v>
      </c>
      <c r="F40" s="2" t="s">
        <v>15</v>
      </c>
      <c r="G40" s="2" t="s">
        <v>148</v>
      </c>
      <c r="H40" s="2" t="s">
        <v>145</v>
      </c>
      <c r="I40" s="2" t="str">
        <f>IFERROR(__xludf.DUMMYFUNCTION("GOOGLETRANSLATE(C40,""fr"",""en"")"),"I have been insured at the Macif for over 25 years. Today, a victim of water damage from my upper neighbor, I desperately try to join the Macif so that I am facing a simple water damage form. I am starting by asking me to recall later, at the second call,"&amp;" I am hung up on the nose, in the 3rd, 4th and 5th call I refuse to process my request and I am asked to recall later or the next day. What a shame of treaty thus his insured and I would even say what incompetence in the face of a simple request! When I a"&amp;"sk to speak with a manager, we refuse to pass it to me and even give me a name, most likely for fear that their superior discover the incompetence of their employees.")</f>
        <v>I have been insured at the Macif for over 25 years. Today, a victim of water damage from my upper neighbor, I desperately try to join the Macif so that I am facing a simple water damage form. I am starting by asking me to recall later, at the second call, I am hung up on the nose, in the 3rd, 4th and 5th call I refuse to process my request and I am asked to recall later or the next day. What a shame of treaty thus his insured and I would even say what incompetence in the face of a simple request! When I ask to speak with a manager, we refuse to pass it to me and even give me a name, most likely for fear that their superior discover the incompetence of their employees.</v>
      </c>
    </row>
    <row r="41" ht="15.75" customHeight="1">
      <c r="B41" s="2" t="s">
        <v>149</v>
      </c>
      <c r="C41" s="2" t="s">
        <v>150</v>
      </c>
      <c r="D41" s="2" t="s">
        <v>151</v>
      </c>
      <c r="E41" s="2" t="s">
        <v>14</v>
      </c>
      <c r="F41" s="2" t="s">
        <v>15</v>
      </c>
      <c r="G41" s="2" t="s">
        <v>152</v>
      </c>
      <c r="H41" s="2" t="s">
        <v>153</v>
      </c>
      <c r="I41" s="2" t="str">
        <f>IFERROR(__xludf.DUMMYFUNCTION("GOOGLETRANSLATE(C41,""fr"",""en"")"),"Very disappointed because I have just received a recommended that I am announcing the termination of my contract for alterations of commercial relations that I do not understand
On what the maif is based to terminate contracts but I am very very disappoi"&amp;"nted")</f>
        <v>Very disappointed because I have just received a recommended that I am announcing the termination of my contract for alterations of commercial relations that I do not understand
On what the maif is based to terminate contracts but I am very very disappointed</v>
      </c>
    </row>
    <row r="42" ht="15.75" customHeight="1">
      <c r="B42" s="2" t="s">
        <v>154</v>
      </c>
      <c r="C42" s="2" t="s">
        <v>155</v>
      </c>
      <c r="D42" s="2" t="s">
        <v>151</v>
      </c>
      <c r="E42" s="2" t="s">
        <v>14</v>
      </c>
      <c r="F42" s="2" t="s">
        <v>15</v>
      </c>
      <c r="G42" s="2" t="s">
        <v>156</v>
      </c>
      <c r="H42" s="2" t="s">
        <v>153</v>
      </c>
      <c r="I42" s="2" t="str">
        <f>IFERROR(__xludf.DUMMYFUNCTION("GOOGLETRANSLATE(C42,""fr"",""en"")"),"After 27 years with Maif I see that for a broken window door because of an air current, my insurer does not react and leave me without news. Indeed, I contacted a worker who intervened during the day to establish a quote and order the windows only the mai"&amp;"f still does not respond after 15 days without window and the cold which is more important. This is the award to be faithful to Maif without disaster. You have the right to pay 27 years but be careful the day you have to ask them, no one from cordial at t"&amp;"he end of the wire. I strongly advise against paying a month with them, besides I leave for safer and cheaper.")</f>
        <v>After 27 years with Maif I see that for a broken window door because of an air current, my insurer does not react and leave me without news. Indeed, I contacted a worker who intervened during the day to establish a quote and order the windows only the maif still does not respond after 15 days without window and the cold which is more important. This is the award to be faithful to Maif without disaster. You have the right to pay 27 years but be careful the day you have to ask them, no one from cordial at the end of the wire. I strongly advise against paying a month with them, besides I leave for safer and cheaper.</v>
      </c>
    </row>
    <row r="43" ht="15.75" customHeight="1">
      <c r="B43" s="2" t="s">
        <v>157</v>
      </c>
      <c r="C43" s="2" t="s">
        <v>158</v>
      </c>
      <c r="D43" s="2" t="s">
        <v>151</v>
      </c>
      <c r="E43" s="2" t="s">
        <v>14</v>
      </c>
      <c r="F43" s="2" t="s">
        <v>15</v>
      </c>
      <c r="G43" s="2" t="s">
        <v>159</v>
      </c>
      <c r="H43" s="2" t="s">
        <v>160</v>
      </c>
      <c r="I43" s="2" t="str">
        <f>IFERROR(__xludf.DUMMYFUNCTION("GOOGLETRANSLATE(C43,""fr"",""en"")"),"Total lack of responsiveness, impossible to know despite several calls for 2 weeks. Does not properly defend his insured, nor to satisfy them")</f>
        <v>Total lack of responsiveness, impossible to know despite several calls for 2 weeks. Does not properly defend his insured, nor to satisfy them</v>
      </c>
    </row>
    <row r="44" ht="15.75" customHeight="1">
      <c r="B44" s="2" t="s">
        <v>161</v>
      </c>
      <c r="C44" s="2" t="s">
        <v>162</v>
      </c>
      <c r="D44" s="2" t="s">
        <v>151</v>
      </c>
      <c r="E44" s="2" t="s">
        <v>14</v>
      </c>
      <c r="F44" s="2" t="s">
        <v>15</v>
      </c>
      <c r="G44" s="2" t="s">
        <v>163</v>
      </c>
      <c r="H44" s="2" t="s">
        <v>164</v>
      </c>
      <c r="I44" s="2" t="str">
        <f>IFERROR(__xludf.DUMMYFUNCTION("GOOGLETRANSLATE(C44,""fr"",""en"")"),"I have a legal assistance contract with MAIF. I ask questions about the dismissal procedure of a house employee and after 5 questions, the person at the end of the line tells me that I have to contact a lawyer. Hubuesque, if I have subscribed to legal ass"&amp;"istance, it is precisely for MAIF to take into account my approach as a whole.
In short if you need nothing, you can call them !!!!")</f>
        <v>I have a legal assistance contract with MAIF. I ask questions about the dismissal procedure of a house employee and after 5 questions, the person at the end of the line tells me that I have to contact a lawyer. Hubuesque, if I have subscribed to legal assistance, it is precisely for MAIF to take into account my approach as a whole.
In short if you need nothing, you can call them !!!!</v>
      </c>
    </row>
    <row r="45" ht="15.75" customHeight="1">
      <c r="B45" s="2" t="s">
        <v>165</v>
      </c>
      <c r="C45" s="2" t="s">
        <v>166</v>
      </c>
      <c r="D45" s="2" t="s">
        <v>151</v>
      </c>
      <c r="E45" s="2" t="s">
        <v>14</v>
      </c>
      <c r="F45" s="2" t="s">
        <v>15</v>
      </c>
      <c r="G45" s="2" t="s">
        <v>167</v>
      </c>
      <c r="H45" s="2" t="s">
        <v>168</v>
      </c>
      <c r="I45" s="2" t="str">
        <f>IFERROR(__xludf.DUMMYFUNCTION("GOOGLETRANSLATE(C45,""fr"",""en"")"),"MAIF is efficient in car insurance. For the home to flee: I lived and still live a nightmare. Our neighbors multiply illegal work and claims. We have condemned these people there but nothing stops them. The interview I had with the activist (a sort of int"&amp;"ernal mediator Maif) told me how did you do so as not to fart the lead? And ultimately, wear and tear, dozens of reminders, bailiff's findings, the legal costs that we had to pay, partly because of the inertia of the insurance that never wanted to send An"&amp;" expert to assess all the work undertaken by our neighbors .... What I understood is that you push you to the end is a tactic of Maif. Indeed, after dozens and dozen threads, Couriels etc ... You will drop the request for reimbursement. It is a shame, all"&amp;" the more so that in my case, I even proposed to desire any actions against the MAIF in exchange for a meager evaluation of work which obviously does not take into account the disastrous consequences of the lack of maif protection ...")</f>
        <v>MAIF is efficient in car insurance. For the home to flee: I lived and still live a nightmare. Our neighbors multiply illegal work and claims. We have condemned these people there but nothing stops them. The interview I had with the activist (a sort of internal mediator Maif) told me how did you do so as not to fart the lead? And ultimately, wear and tear, dozens of reminders, bailiff's findings, the legal costs that we had to pay, partly because of the inertia of the insurance that never wanted to send An expert to assess all the work undertaken by our neighbors .... What I understood is that you push you to the end is a tactic of Maif. Indeed, after dozens and dozen threads, Couriels etc ... You will drop the request for reimbursement. It is a shame, all the more so that in my case, I even proposed to desire any actions against the MAIF in exchange for a meager evaluation of work which obviously does not take into account the disastrous consequences of the lack of maif protection ...</v>
      </c>
    </row>
    <row r="46" ht="15.75" customHeight="1">
      <c r="B46" s="2" t="s">
        <v>169</v>
      </c>
      <c r="C46" s="2" t="s">
        <v>170</v>
      </c>
      <c r="D46" s="2" t="s">
        <v>151</v>
      </c>
      <c r="E46" s="2" t="s">
        <v>14</v>
      </c>
      <c r="F46" s="2" t="s">
        <v>15</v>
      </c>
      <c r="G46" s="2" t="s">
        <v>171</v>
      </c>
      <c r="H46" s="2" t="s">
        <v>172</v>
      </c>
      <c r="I46" s="2" t="str">
        <f>IFERROR(__xludf.DUMMYFUNCTION("GOOGLETRANSLATE(C46,""fr"",""en"")"),"I have been a maif member for almost 30 years for contracts, housing, vehicles, ... without ever a responsible disaster. Very disappointed with their way of processing a loss file with third parties in question, by lack of listening, responses, considerat"&amp;"ion and constructive solutions. The expertise conclusions are partial and unsuitable with a proposed compensation that does not make it possible to redo the work. I wonder about the interest and free will of this insurance company which prefers to listen "&amp;"to the ""caca"" of neighborhood relayed by an expert who goes beyond his function, to do the work requested, that is to say, to note The damage and quantify them all. Why does MAIF persist in not recognizing inappropriate comments of experts (which in add"&amp;"ition to being unreliable do not understand contracts), not to recognize ""oversights"", yet factually justified in the field and by photo ? Why harm the interests of their members, especially with a third party in question? Why minimize compensation that"&amp;" does not allow reconstruction work by probably forcing us to seize justice? Convinced of listening, this company has a mutualist only the name and is only in the low -level trade, without physical interlocutor.")</f>
        <v>I have been a maif member for almost 30 years for contracts, housing, vehicles, ... without ever a responsible disaster. Very disappointed with their way of processing a loss file with third parties in question, by lack of listening, responses, consideration and constructive solutions. The expertise conclusions are partial and unsuitable with a proposed compensation that does not make it possible to redo the work. I wonder about the interest and free will of this insurance company which prefers to listen to the "caca" of neighborhood relayed by an expert who goes beyond his function, to do the work requested, that is to say, to note The damage and quantify them all. Why does MAIF persist in not recognizing inappropriate comments of experts (which in addition to being unreliable do not understand contracts), not to recognize "oversights", yet factually justified in the field and by photo ? Why harm the interests of their members, especially with a third party in question? Why minimize compensation that does not allow reconstruction work by probably forcing us to seize justice? Convinced of listening, this company has a mutualist only the name and is only in the low -level trade, without physical interlocutor.</v>
      </c>
    </row>
    <row r="47" ht="15.75" customHeight="1">
      <c r="B47" s="2" t="s">
        <v>173</v>
      </c>
      <c r="C47" s="2" t="s">
        <v>174</v>
      </c>
      <c r="D47" s="2" t="s">
        <v>151</v>
      </c>
      <c r="E47" s="2" t="s">
        <v>14</v>
      </c>
      <c r="F47" s="2" t="s">
        <v>15</v>
      </c>
      <c r="G47" s="2" t="s">
        <v>175</v>
      </c>
      <c r="H47" s="2" t="s">
        <v>172</v>
      </c>
      <c r="I47" s="2" t="str">
        <f>IFERROR(__xludf.DUMMYFUNCTION("GOOGLETRANSLATE(C47,""fr"",""en"")"),"I have been a Maif member for almost 40 years for contracts, housing, vehicles, domestic accidents, without ever a responsible disaster. I am disappointed with their way and approach to process a file of current fire, by lack of listening, responses, cons"&amp;"ideration and constructive solutions. The conclusions of expertise for the identical reconstruction are unsuitable for an ancient house in size stone, and they know it perfectly, with a proposed compensation not allowing to redo the work identically by a "&amp;"building professional at Minimal price and this in a declared manner. The amount of the claim seems not very important and I do not understand why Maif persists in not recognizing inappropriate remarks of experts, oversights, intimidating maneuvers, her a"&amp;"wkwardness which is 'Accumulate, a certain arrogance and errors of appreciation which reinforce my spirit of questioning and a feeling of will to harm the interests of their members. They are convinced to do good, to listen, but they do not derogate from "&amp;"a destructive approach, undermining the morale of his members, already traumatized by a disaster where they almost lost their house, and their life. I ask myself questions if we had lost our house and our life. And yet, I try to help them as much as possi"&amp;"ble by bringing professionals of the old building, documenting myself and providing explanations and simple solutions, without the will of the escalation, but with the idea of ​​not getting open Or do the work by an unscrupulous and unconcolared and witho"&amp;"ut invoice craftsman. I do not find the mutualist spirit, the sense of responsibility and the relational quality towards victims, necessarily bruised and affected by taking us as simple customers who have nothing to say with lower minds.")</f>
        <v>I have been a Maif member for almost 40 years for contracts, housing, vehicles, domestic accidents, without ever a responsible disaster. I am disappointed with their way and approach to process a file of current fire, by lack of listening, responses, consideration and constructive solutions. The conclusions of expertise for the identical reconstruction are unsuitable for an ancient house in size stone, and they know it perfectly, with a proposed compensation not allowing to redo the work identically by a building professional at Minimal price and this in a declared manner. The amount of the claim seems not very important and I do not understand why Maif persists in not recognizing inappropriate remarks of experts, oversights, intimidating maneuvers, her awkwardness which is 'Accumulate, a certain arrogance and errors of appreciation which reinforce my spirit of questioning and a feeling of will to harm the interests of their members. They are convinced to do good, to listen, but they do not derogate from a destructive approach, undermining the morale of his members, already traumatized by a disaster where they almost lost their house, and their life. I ask myself questions if we had lost our house and our life. And yet, I try to help them as much as possible by bringing professionals of the old building, documenting myself and providing explanations and simple solutions, without the will of the escalation, but with the idea of ​​not getting open Or do the work by an unscrupulous and unconcolared and without invoice craftsman. I do not find the mutualist spirit, the sense of responsibility and the relational quality towards victims, necessarily bruised and affected by taking us as simple customers who have nothing to say with lower minds.</v>
      </c>
    </row>
    <row r="48" ht="15.75" customHeight="1">
      <c r="B48" s="2" t="s">
        <v>176</v>
      </c>
      <c r="C48" s="2" t="s">
        <v>177</v>
      </c>
      <c r="D48" s="2" t="s">
        <v>151</v>
      </c>
      <c r="E48" s="2" t="s">
        <v>14</v>
      </c>
      <c r="F48" s="2" t="s">
        <v>15</v>
      </c>
      <c r="G48" s="2" t="s">
        <v>178</v>
      </c>
      <c r="H48" s="2" t="s">
        <v>179</v>
      </c>
      <c r="I48" s="2" t="str">
        <f>IFERROR(__xludf.DUMMYFUNCTION("GOOGLETRANSLATE(C48,""fr"",""en"")"),"I was robbed at the end of November 2020
The maif asked me to bring the maximum of evidence yc photos ... She diligent an expert then compensation reached the height of my expectations because for certain objects I did not have any evidence
Porter safet"&amp;"y was immediately reimbursed.
For locksmith and carpentry, the reimbursement was at the exact height of the quote provided by the private locksmith.
Contact with the MAIF service was excellent and very attentive to our problems. I thank them very much.
"&amp;"
F. Jolivet")</f>
        <v>I was robbed at the end of November 2020
The maif asked me to bring the maximum of evidence yc photos ... She diligent an expert then compensation reached the height of my expectations because for certain objects I did not have any evidence
Porter safety was immediately reimbursed.
For locksmith and carpentry, the reimbursement was at the exact height of the quote provided by the private locksmith.
Contact with the MAIF service was excellent and very attentive to our problems. I thank them very much.
F. Jolivet</v>
      </c>
    </row>
    <row r="49" ht="15.75" customHeight="1">
      <c r="B49" s="2" t="s">
        <v>180</v>
      </c>
      <c r="C49" s="2" t="s">
        <v>181</v>
      </c>
      <c r="D49" s="2" t="s">
        <v>151</v>
      </c>
      <c r="E49" s="2" t="s">
        <v>14</v>
      </c>
      <c r="F49" s="2" t="s">
        <v>15</v>
      </c>
      <c r="G49" s="2" t="s">
        <v>182</v>
      </c>
      <c r="H49" s="2" t="s">
        <v>179</v>
      </c>
      <c r="I49" s="2" t="str">
        <f>IFERROR(__xludf.DUMMYFUNCTION("GOOGLETRANSLATE(C49,""fr"",""en"")"),"In Maif for 11 years, I have contributed several thousand euros. I was robbed 1 month ago and the MAIF has almost reimbursed anything but has a deductible. No help either for the locksmith. In short, we have lost everything and the maif pushes us more.")</f>
        <v>In Maif for 11 years, I have contributed several thousand euros. I was robbed 1 month ago and the MAIF has almost reimbursed anything but has a deductible. No help either for the locksmith. In short, we have lost everything and the maif pushes us more.</v>
      </c>
    </row>
    <row r="50" ht="15.75" customHeight="1">
      <c r="B50" s="2" t="s">
        <v>183</v>
      </c>
      <c r="C50" s="2" t="s">
        <v>184</v>
      </c>
      <c r="D50" s="2" t="s">
        <v>151</v>
      </c>
      <c r="E50" s="2" t="s">
        <v>14</v>
      </c>
      <c r="F50" s="2" t="s">
        <v>15</v>
      </c>
      <c r="G50" s="2" t="s">
        <v>185</v>
      </c>
      <c r="H50" s="2" t="s">
        <v>179</v>
      </c>
      <c r="I50" s="2" t="str">
        <f>IFERROR(__xludf.DUMMYFUNCTION("GOOGLETRANSLATE(C50,""fr"",""en"")"),"I declared a maif disaster concerning damage and degradations in a rental.
After multiple written and oral attempts in order to unravel a simple situation, made inextricable by this insurer claiming to be mutualist, he closed the file.
The MAIF, despite"&amp;" the subscription of landlords, always finds a reason not to take the incident into account, with the support of experts and agents.
Insured for over 40 years, this mutualist insurer deals with his insured with contempt, and is a total incorrection.
Cal"&amp;"ls give nothing, never having the same person on the phone, with different interpretations and very often contradictory.
Not wanting to detail the incompetence of MAIF in this area, I think that in view of the contributions requested, which are very high"&amp;", these are not justified.
I have lost all confidence in relationships, claims management, as well as the loss of their share of administrative files and insurance contract.
As a result, I decided to change insurer, the latter offers superior guarantees"&amp;" and a much lower premium.
I consider that the management of this disaster has not been dealt with in compliance with the general conditions provided for in the contract and the supporting documents that we can produce.
MAIF is a completely disconnected"&amp;" insurance of its role, and works against its mutualists.
So I strongly advise to flee this insurance as many members have already done.
Notation = 00.")</f>
        <v>I declared a maif disaster concerning damage and degradations in a rental.
After multiple written and oral attempts in order to unravel a simple situation, made inextricable by this insurer claiming to be mutualist, he closed the file.
The MAIF, despite the subscription of landlords, always finds a reason not to take the incident into account, with the support of experts and agents.
Insured for over 40 years, this mutualist insurer deals with his insured with contempt, and is a total incorrection.
Calls give nothing, never having the same person on the phone, with different interpretations and very often contradictory.
Not wanting to detail the incompetence of MAIF in this area, I think that in view of the contributions requested, which are very high, these are not justified.
I have lost all confidence in relationships, claims management, as well as the loss of their share of administrative files and insurance contract.
As a result, I decided to change insurer, the latter offers superior guarantees and a much lower premium.
I consider that the management of this disaster has not been dealt with in compliance with the general conditions provided for in the contract and the supporting documents that we can produce.
MAIF is a completely disconnected insurance of its role, and works against its mutualists.
So I strongly advise to flee this insurance as many members have already done.
Notation = 00.</v>
      </c>
    </row>
    <row r="51" ht="15.75" customHeight="1">
      <c r="B51" s="2" t="s">
        <v>186</v>
      </c>
      <c r="C51" s="2" t="s">
        <v>187</v>
      </c>
      <c r="D51" s="2" t="s">
        <v>151</v>
      </c>
      <c r="E51" s="2" t="s">
        <v>14</v>
      </c>
      <c r="F51" s="2" t="s">
        <v>15</v>
      </c>
      <c r="G51" s="2" t="s">
        <v>188</v>
      </c>
      <c r="H51" s="2" t="s">
        <v>179</v>
      </c>
      <c r="I51" s="2" t="str">
        <f>IFERROR(__xludf.DUMMYFUNCTION("GOOGLETRANSLATE(C51,""fr"",""en"")"),"MAIF legal insurance is only triggered for litigation greater than € 675
I had a dispute with a merchant site of € 756.
Maif therefore assisted me quite naturally.
I had already initiated an approach with the merchant site to be reimbursed for the lega"&amp;"l title of non -compliance.
The merchant site made me a partial refund of € 301.
Well, the legal assistance of MAIF has subtracted 756 e - € 301
                            ")</f>
        <v>MAIF legal insurance is only triggered for litigation greater than € 675
I had a dispute with a merchant site of € 756.
Maif therefore assisted me quite naturally.
I had already initiated an approach with the merchant site to be reimbursed for the legal title of non -compliance.
The merchant site made me a partial refund of € 301.
Well, the legal assistance of MAIF has subtracted 756 e - € 301
                            </v>
      </c>
    </row>
    <row r="52" ht="15.75" customHeight="1">
      <c r="B52" s="2" t="s">
        <v>189</v>
      </c>
      <c r="C52" s="2" t="s">
        <v>190</v>
      </c>
      <c r="D52" s="2" t="s">
        <v>151</v>
      </c>
      <c r="E52" s="2" t="s">
        <v>14</v>
      </c>
      <c r="F52" s="2" t="s">
        <v>15</v>
      </c>
      <c r="G52" s="2" t="s">
        <v>188</v>
      </c>
      <c r="H52" s="2" t="s">
        <v>179</v>
      </c>
      <c r="I52" s="2" t="str">
        <f>IFERROR(__xludf.DUMMYFUNCTION("GOOGLETRANSLATE(C52,""fr"",""en"")"),"Hello, more than 4 months after a disaster (and 4 reminders), and one month after the passage of the expert who had highlighted the fact that winds of more than 96 km/h and a land full of water had Was the cause of the fall of 1 tree in our garden on the "&amp;"neighbor's property, we had no return from the MAIF more quick to advertise on TV than to insure their customers !!! what a pity !!! On the other hand the staff are nice on the phone and always replies that everything is fine in the best of worlds but tha"&amp;"t the trees are not covered by insurance even in case of natural disasters ..... we could say Blah, blah blah. .1000 hassle for maif")</f>
        <v>Hello, more than 4 months after a disaster (and 4 reminders), and one month after the passage of the expert who had highlighted the fact that winds of more than 96 km/h and a land full of water had Was the cause of the fall of 1 tree in our garden on the neighbor's property, we had no return from the MAIF more quick to advertise on TV than to insure their customers !!! what a pity !!! On the other hand the staff are nice on the phone and always replies that everything is fine in the best of worlds but that the trees are not covered by insurance even in case of natural disasters ..... we could say Blah, blah blah. .1000 hassle for maif</v>
      </c>
    </row>
    <row r="53" ht="15.75" customHeight="1">
      <c r="B53" s="2" t="s">
        <v>191</v>
      </c>
      <c r="C53" s="2" t="s">
        <v>192</v>
      </c>
      <c r="D53" s="2" t="s">
        <v>151</v>
      </c>
      <c r="E53" s="2" t="s">
        <v>14</v>
      </c>
      <c r="F53" s="2" t="s">
        <v>15</v>
      </c>
      <c r="G53" s="2" t="s">
        <v>193</v>
      </c>
      <c r="H53" s="2" t="s">
        <v>194</v>
      </c>
      <c r="I53" s="2" t="str">
        <f>IFERROR(__xludf.DUMMYFUNCTION("GOOGLETRANSLATE(C53,""fr"",""en"")"),"Water damage has not been adjusted for 7 years. An expert who draws all the prices of the work down and who mentions in his report that leaks would persist from my neighbor from above without having visited his apartment. After meeting my neighbor, the la"&amp;"tter clearly indicated that there were no leaks. An expert who refuses to answer me when I ask him questions about the rehousing conditions 4 days before the start of the work. A complaint service that does not contact me. What more can be said ?")</f>
        <v>Water damage has not been adjusted for 7 years. An expert who draws all the prices of the work down and who mentions in his report that leaks would persist from my neighbor from above without having visited his apartment. After meeting my neighbor, the latter clearly indicated that there were no leaks. An expert who refuses to answer me when I ask him questions about the rehousing conditions 4 days before the start of the work. A complaint service that does not contact me. What more can be said ?</v>
      </c>
    </row>
    <row r="54" ht="15.75" customHeight="1">
      <c r="B54" s="2" t="s">
        <v>195</v>
      </c>
      <c r="C54" s="2" t="s">
        <v>196</v>
      </c>
      <c r="D54" s="2" t="s">
        <v>151</v>
      </c>
      <c r="E54" s="2" t="s">
        <v>14</v>
      </c>
      <c r="F54" s="2" t="s">
        <v>15</v>
      </c>
      <c r="G54" s="2" t="s">
        <v>197</v>
      </c>
      <c r="H54" s="2" t="s">
        <v>194</v>
      </c>
      <c r="I54" s="2" t="str">
        <f>IFERROR(__xludf.DUMMYFUNCTION("GOOGLETRANSLATE(C54,""fr"",""en"")"),"In agency as in Niort: does not respond to letters (even sent in with AC)
You are asking you to declare a lot of precious objects but almost does not reimburse anything.
Example: Gusset Golden Glass watch: 80 euros (real value minimum 1500!)
80 GR gold"&amp;" necklace: 100 euros! etc., etc
But I recognize that this is one of the only insurance that does not reimburse the louis d'Or and which nevertheless offers you a compensation of € 0.01 per room !!!
Their expert seems more expert in masonry than in jewel"&amp;"ry!
The agencies promise you meetings with advisers but do not answer your letters and your questions.
Very high prices for a zero service and shameful reimbursement amounts.
To flee...")</f>
        <v>In agency as in Niort: does not respond to letters (even sent in with AC)
You are asking you to declare a lot of precious objects but almost does not reimburse anything.
Example: Gusset Golden Glass watch: 80 euros (real value minimum 1500!)
80 GR gold necklace: 100 euros! etc., etc
But I recognize that this is one of the only insurance that does not reimburse the louis d'Or and which nevertheless offers you a compensation of € 0.01 per room !!!
Their expert seems more expert in masonry than in jewelry!
The agencies promise you meetings with advisers but do not answer your letters and your questions.
Very high prices for a zero service and shameful reimbursement amounts.
To flee...</v>
      </c>
    </row>
    <row r="55" ht="15.75" customHeight="1">
      <c r="B55" s="2" t="s">
        <v>198</v>
      </c>
      <c r="C55" s="2" t="s">
        <v>199</v>
      </c>
      <c r="D55" s="2" t="s">
        <v>151</v>
      </c>
      <c r="E55" s="2" t="s">
        <v>14</v>
      </c>
      <c r="F55" s="2" t="s">
        <v>15</v>
      </c>
      <c r="G55" s="2" t="s">
        <v>200</v>
      </c>
      <c r="H55" s="2" t="s">
        <v>194</v>
      </c>
      <c r="I55" s="2" t="str">
        <f>IFERROR(__xludf.DUMMYFUNCTION("GOOGLETRANSLATE(C55,""fr"",""en"")"),"I was very disappointed with Maïf Habitation, because the day when problems have happened to us, these have in no way defended our interests, but worse than that, when we have been in court against the Company, the Maïf diligent a lawyer against our inter"&amp;"ests.
Not stopping there, he excluded us from insurance without any reason.
But in the end, we won the entire long procedure, and contracted another more reliable insurance.
")</f>
        <v>I was very disappointed with Maïf Habitation, because the day when problems have happened to us, these have in no way defended our interests, but worse than that, when we have been in court against the Company, the Maïf diligent a lawyer against our interests.
Not stopping there, he excluded us from insurance without any reason.
But in the end, we won the entire long procedure, and contracted another more reliable insurance.
</v>
      </c>
    </row>
    <row r="56" ht="15.75" customHeight="1">
      <c r="B56" s="2" t="s">
        <v>201</v>
      </c>
      <c r="C56" s="2" t="s">
        <v>202</v>
      </c>
      <c r="D56" s="2" t="s">
        <v>151</v>
      </c>
      <c r="E56" s="2" t="s">
        <v>14</v>
      </c>
      <c r="F56" s="2" t="s">
        <v>15</v>
      </c>
      <c r="G56" s="2" t="s">
        <v>203</v>
      </c>
      <c r="H56" s="2" t="s">
        <v>204</v>
      </c>
      <c r="I56" s="2" t="str">
        <f>IFERROR(__xludf.DUMMYFUNCTION("GOOGLETRANSLATE(C56,""fr"",""en"")"),"Extremely expensive insurance. Completely ineffective, in particular legal assistance.
When you need everything is excluded, or we learn that there is a deficiency period that has never been reported.
I have a water damage not settled since March 2020. "&amp;"The worst is that the responsible company does not dispute the amount of the quote, it is the Maif expert from Poly Expert totally incompetent and suspicious while I 'I am for nothing, which largely undergoes the damage based on imaginary market prices th"&amp;"at he invented. I go to competition ...")</f>
        <v>Extremely expensive insurance. Completely ineffective, in particular legal assistance.
When you need everything is excluded, or we learn that there is a deficiency period that has never been reported.
I have a water damage not settled since March 2020. The worst is that the responsible company does not dispute the amount of the quote, it is the Maif expert from Poly Expert totally incompetent and suspicious while I 'I am for nothing, which largely undergoes the damage based on imaginary market prices that he invented. I go to competition ...</v>
      </c>
    </row>
    <row r="57" ht="15.75" customHeight="1">
      <c r="B57" s="2" t="s">
        <v>205</v>
      </c>
      <c r="C57" s="2" t="s">
        <v>206</v>
      </c>
      <c r="D57" s="2" t="s">
        <v>151</v>
      </c>
      <c r="E57" s="2" t="s">
        <v>14</v>
      </c>
      <c r="F57" s="2" t="s">
        <v>15</v>
      </c>
      <c r="G57" s="2" t="s">
        <v>207</v>
      </c>
      <c r="H57" s="2" t="s">
        <v>204</v>
      </c>
      <c r="I57" s="2" t="str">
        <f>IFERROR(__xludf.DUMMYFUNCTION("GOOGLETRANSLATE(C57,""fr"",""en"")"),"Me too, I recommended Maif ... We have been faithful to MAIF for over 30 years. Few claims ... We were confident, we had faith in mutualist philosophy. We recommended it to our daughter and our loved ones ... In December 2020, following a small disaster, "&amp;"broken shower wall without knowing the cause since there was no one in the room, we were Announcement by such with no ""unknown"" that it is not supported because it is necessary an external element ... I conclude that it would have been necessary to inve"&amp;"nt a cause, but let's go ...
Following this incident, I wanted to take stock with the Maif story to update and be good in the nails in the event of a claim. Since December 12, it is hellish ... hours on the phone with goodwill advisers but who do not kno"&amp;"w the file and must refer to the headquarters. I also wrote but the people of the siege do not bother to call me directly ... I have unanswered questions and a request for a pending certificate for 1 month ... Definitely, I am disappointed! What will he b"&amp;"e in the event of a claim. Maif has lost its soul. The business took over the human.
What a pity")</f>
        <v>Me too, I recommended Maif ... We have been faithful to MAIF for over 30 years. Few claims ... We were confident, we had faith in mutualist philosophy. We recommended it to our daughter and our loved ones ... In December 2020, following a small disaster, broken shower wall without knowing the cause since there was no one in the room, we were Announcement by such with no "unknown" that it is not supported because it is necessary an external element ... I conclude that it would have been necessary to invent a cause, but let's go ...
Following this incident, I wanted to take stock with the Maif story to update and be good in the nails in the event of a claim. Since December 12, it is hellish ... hours on the phone with goodwill advisers but who do not know the file and must refer to the headquarters. I also wrote but the people of the siege do not bother to call me directly ... I have unanswered questions and a request for a pending certificate for 1 month ... Definitely, I am disappointed! What will he be in the event of a claim. Maif has lost its soul. The business took over the human.
What a pity</v>
      </c>
    </row>
    <row r="58" ht="15.75" customHeight="1">
      <c r="B58" s="2" t="s">
        <v>208</v>
      </c>
      <c r="C58" s="2" t="s">
        <v>209</v>
      </c>
      <c r="D58" s="2" t="s">
        <v>151</v>
      </c>
      <c r="E58" s="2" t="s">
        <v>14</v>
      </c>
      <c r="F58" s="2" t="s">
        <v>15</v>
      </c>
      <c r="G58" s="2" t="s">
        <v>210</v>
      </c>
      <c r="H58" s="2" t="s">
        <v>204</v>
      </c>
      <c r="I58" s="2" t="str">
        <f>IFERROR(__xludf.DUMMYFUNCTION("GOOGLETRANSLATE(C58,""fr"",""en"")"),"My daughter-in-law has been locked with her son since yesterday afternoon at her house, in a second floor apartment, because the front door no longer opens up an act of vandalism.
Contacted, the Maif put my daughter-in-law in contact with a locksmith, wh"&amp;"o said that he would spend the next day, that is to say today. The MAIF announced that it would only take care of the locksmith's displacement and an hour of labor. This morning Lorraine is covered with snow, the locksmith, rather than moving, asks that t"&amp;"hey are sent photos of the door, seen from the inside. In view of the photos, the locksmith declares that he will not be able to do anything, because to be able to intervene, he would have to be inside the apartment. We suspect this gentleman do not tell "&amp;"anything to stay warm under the duvet on this beautiful Sunday rather than crisscross snowy or icy roads. Recorded, the MAIF tells us basically to demerce ourselves on our own. It's up to us to find a locksmith. And to pay it. And to send them the invoice"&amp;", which the MAIF will only pay within the limit of a certain enigmatic sum, corresponding to the displacement and an hour of labor.
It's a shame.")</f>
        <v>My daughter-in-law has been locked with her son since yesterday afternoon at her house, in a second floor apartment, because the front door no longer opens up an act of vandalism.
Contacted, the Maif put my daughter-in-law in contact with a locksmith, who said that he would spend the next day, that is to say today. The MAIF announced that it would only take care of the locksmith's displacement and an hour of labor. This morning Lorraine is covered with snow, the locksmith, rather than moving, asks that they are sent photos of the door, seen from the inside. In view of the photos, the locksmith declares that he will not be able to do anything, because to be able to intervene, he would have to be inside the apartment. We suspect this gentleman do not tell anything to stay warm under the duvet on this beautiful Sunday rather than crisscross snowy or icy roads. Recorded, the MAIF tells us basically to demerce ourselves on our own. It's up to us to find a locksmith. And to pay it. And to send them the invoice, which the MAIF will only pay within the limit of a certain enigmatic sum, corresponding to the displacement and an hour of labor.
It's a shame.</v>
      </c>
    </row>
    <row r="59" ht="15.75" customHeight="1">
      <c r="B59" s="2" t="s">
        <v>211</v>
      </c>
      <c r="C59" s="2" t="s">
        <v>212</v>
      </c>
      <c r="D59" s="2" t="s">
        <v>151</v>
      </c>
      <c r="E59" s="2" t="s">
        <v>14</v>
      </c>
      <c r="F59" s="2" t="s">
        <v>15</v>
      </c>
      <c r="G59" s="2" t="s">
        <v>213</v>
      </c>
      <c r="H59" s="2" t="s">
        <v>214</v>
      </c>
      <c r="I59" s="2" t="str">
        <f>IFERROR(__xludf.DUMMYFUNCTION("GOOGLETRANSLATE(C59,""fr"",""en"")"),"For 40 years at La Maif, with several apartments now, I have absolutely no complaints to do. Legal assistance saved me from the stake and professionalism during the setbacks encountered with a faulty manufacturer, 3 damage to the waters quickly adjusted; "&amp;"They do not relieve by looking for the little beast for reimbursements. reachable without difficulties and without paying.
I haven't seen better elsewhere with my friends, but I saw worse.
I only put 3 * for the price because for the big houses, they ar"&amp;"e a bit expensive.")</f>
        <v>For 40 years at La Maif, with several apartments now, I have absolutely no complaints to do. Legal assistance saved me from the stake and professionalism during the setbacks encountered with a faulty manufacturer, 3 damage to the waters quickly adjusted; They do not relieve by looking for the little beast for reimbursements. reachable without difficulties and without paying.
I haven't seen better elsewhere with my friends, but I saw worse.
I only put 3 * for the price because for the big houses, they are a bit expensive.</v>
      </c>
    </row>
    <row r="60" ht="15.75" customHeight="1">
      <c r="B60" s="2" t="s">
        <v>215</v>
      </c>
      <c r="C60" s="2" t="s">
        <v>216</v>
      </c>
      <c r="D60" s="2" t="s">
        <v>151</v>
      </c>
      <c r="E60" s="2" t="s">
        <v>14</v>
      </c>
      <c r="F60" s="2" t="s">
        <v>15</v>
      </c>
      <c r="G60" s="2" t="s">
        <v>217</v>
      </c>
      <c r="H60" s="2" t="s">
        <v>214</v>
      </c>
      <c r="I60" s="2" t="str">
        <f>IFERROR(__xludf.DUMMYFUNCTION("GOOGLETRANSLATE(C60,""fr"",""en"")"),"I have been a member of MAIF for 30 years to ensure my accommodation and I have subscribed to the so-called balance formula, the penultimate in an increasing order of prices and guarantees. I pay for a Parisian 2 rooms 520 euros/year (for goods insured up"&amp;" to 82,000 euros). I discover that Maif offers its new members new formulas (there are only 3 instead of old 4) cheaper and comprising guarantees that I do not have (repair of household appliances for example or insurance on nomadic products) and at lower"&amp;" prices. I find it scandalous that I did not offer these new guarantees.")</f>
        <v>I have been a member of MAIF for 30 years to ensure my accommodation and I have subscribed to the so-called balance formula, the penultimate in an increasing order of prices and guarantees. I pay for a Parisian 2 rooms 520 euros/year (for goods insured up to 82,000 euros). I discover that Maif offers its new members new formulas (there are only 3 instead of old 4) cheaper and comprising guarantees that I do not have (repair of household appliances for example or insurance on nomadic products) and at lower prices. I find it scandalous that I did not offer these new guarantees.</v>
      </c>
    </row>
    <row r="61" ht="15.75" customHeight="1">
      <c r="B61" s="2" t="s">
        <v>218</v>
      </c>
      <c r="C61" s="2" t="s">
        <v>219</v>
      </c>
      <c r="D61" s="2" t="s">
        <v>151</v>
      </c>
      <c r="E61" s="2" t="s">
        <v>14</v>
      </c>
      <c r="F61" s="2" t="s">
        <v>15</v>
      </c>
      <c r="G61" s="2" t="s">
        <v>220</v>
      </c>
      <c r="H61" s="2" t="s">
        <v>214</v>
      </c>
      <c r="I61" s="2" t="str">
        <f>IFERROR(__xludf.DUMMYFUNCTION("GOOGLETRANSLATE(C61,""fr"",""en"")"),"40 years of loyalty. All that so that at the first water damage I will send me a heinous expert, which is only a quarter of an hour. Sought to make me believe that I had to accept a repair in apparent passage of the pipes. Faced with my categorical refusa"&amp;"l to disfigure the room and ma.Maison with pipes everywhere the expert leaves by slamming the door and threatens me to rot my life (for the moment she succeeds very well) and the maif who plays the game . The problem does not advance. The damage linked to"&amp;" the claim worsen days by day. You can neither wash nor make a machine. The maif offers accommodation up to my rental value (I don't want to be relocating I want my damage to be taken care of, I pay for that, the members are not the milk cows that will pa"&amp;"y me the hotel) That for a plumber quote at € 600 and the care of damage due to the search for a leak provided for in my contract. One month that lasts and no time of supplied. MAIF is still to ask the expert from the expert. !!! Who makes fun of you. I a"&amp;"m so disappointed after so many years of cordial collaboration. I recommended MAIF to all those who asked me, and they followed, but today I wonder why La.Maif calls on a cabinet of experts notoriously known (I should have done my internet research before"&amp;" I will have seen that 83% of the insured people think like me today of this Eurexo expert firm). So disappointed !!!!")</f>
        <v>40 years of loyalty. All that so that at the first water damage I will send me a heinous expert, which is only a quarter of an hour. Sought to make me believe that I had to accept a repair in apparent passage of the pipes. Faced with my categorical refusal to disfigure the room and ma.Maison with pipes everywhere the expert leaves by slamming the door and threatens me to rot my life (for the moment she succeeds very well) and the maif who plays the game . The problem does not advance. The damage linked to the claim worsen days by day. You can neither wash nor make a machine. The maif offers accommodation up to my rental value (I don't want to be relocating I want my damage to be taken care of, I pay for that, the members are not the milk cows that will pay me the hotel) That for a plumber quote at € 600 and the care of damage due to the search for a leak provided for in my contract. One month that lasts and no time of supplied. MAIF is still to ask the expert from the expert. !!! Who makes fun of you. I am so disappointed after so many years of cordial collaboration. I recommended MAIF to all those who asked me, and they followed, but today I wonder why La.Maif calls on a cabinet of experts notoriously known (I should have done my internet research before I will have seen that 83% of the insured people think like me today of this Eurexo expert firm). So disappointed !!!!</v>
      </c>
    </row>
    <row r="62" ht="15.75" customHeight="1">
      <c r="B62" s="2" t="s">
        <v>221</v>
      </c>
      <c r="C62" s="2" t="s">
        <v>222</v>
      </c>
      <c r="D62" s="2" t="s">
        <v>151</v>
      </c>
      <c r="E62" s="2" t="s">
        <v>14</v>
      </c>
      <c r="F62" s="2" t="s">
        <v>15</v>
      </c>
      <c r="G62" s="2" t="s">
        <v>223</v>
      </c>
      <c r="H62" s="2" t="s">
        <v>214</v>
      </c>
      <c r="I62" s="2" t="str">
        <f>IFERROR(__xludf.DUMMYFUNCTION("GOOGLETRANSLATE(C62,""fr"",""en"")"),"Overall, rather satisfied with the MAIF: I had many claims in my Parisian apartment and I only had good responsiveness from this home insurance: staff always available and attentive. Recently, an old disaster but having been put too long waiting by my own"&amp;"ers (and therefore classified without follow -up) was reactivated. Last year I was offered a company that I refused for work that I felt mediocre, I offered me another. In thirty years, I have not seen any of my claims not taken into account by the MAIF. "&amp;"So I am very satisfied.
Small downside: some of the interlocutors can turn into VRP to try to sell you life or other insurance. It's up to you not to be distracted!")</f>
        <v>Overall, rather satisfied with the MAIF: I had many claims in my Parisian apartment and I only had good responsiveness from this home insurance: staff always available and attentive. Recently, an old disaster but having been put too long waiting by my owners (and therefore classified without follow -up) was reactivated. Last year I was offered a company that I refused for work that I felt mediocre, I offered me another. In thirty years, I have not seen any of my claims not taken into account by the MAIF. So I am very satisfied.
Small downside: some of the interlocutors can turn into VRP to try to sell you life or other insurance. It's up to you not to be distracted!</v>
      </c>
    </row>
    <row r="63" ht="15.75" customHeight="1">
      <c r="B63" s="2" t="s">
        <v>224</v>
      </c>
      <c r="C63" s="2" t="s">
        <v>225</v>
      </c>
      <c r="D63" s="2" t="s">
        <v>151</v>
      </c>
      <c r="E63" s="2" t="s">
        <v>14</v>
      </c>
      <c r="F63" s="2" t="s">
        <v>15</v>
      </c>
      <c r="G63" s="2" t="s">
        <v>226</v>
      </c>
      <c r="H63" s="2" t="s">
        <v>226</v>
      </c>
      <c r="I63" s="2" t="str">
        <f>IFERROR(__xludf.DUMMYFUNCTION("GOOGLETRANSLATE(C63,""fr"",""en"")"),"To my surprise, after 33 years of subscription to Maif insurance, I have just received on 30/10/2020 a letter informing me of the termination of all my contracts (car x3, house, apartment) for alteration of commercial relations Without any precision of th"&amp;"e real and justified reason which prompted the MAIF to make this arbitrary, unfair and incomprehensible decision. The most surprising in this story is that my relationships with MAIF have always been cordial, courteous and respectful!
If MAIF certainly h"&amp;"as the right to break our contracts in such a brutal way, is it however ethically and morally acceptable to put people in embarrassment and to play this antinomic game with all the moral rules of institutions such as MAIF? Could I one day have concretely "&amp;"an answer indicating the serious reason other than the alteration of trade relations? What does the director of MAIF mean by the concept of the alteration of commercial relations? Could he put another cleaner and more palpable term so that the alteration "&amp;"of these trade relations can be determined? How explains the director of MAIF indifference and contempt for these insured when he corresponds with his insured without knowing whether it is an MME or a Miss? And that, I repeat, after more than 30 years of "&amp;"subscription to their services !!!!!")</f>
        <v>To my surprise, after 33 years of subscription to Maif insurance, I have just received on 30/10/2020 a letter informing me of the termination of all my contracts (car x3, house, apartment) for alteration of commercial relations Without any precision of the real and justified reason which prompted the MAIF to make this arbitrary, unfair and incomprehensible decision. The most surprising in this story is that my relationships with MAIF have always been cordial, courteous and respectful!
If MAIF certainly has the right to break our contracts in such a brutal way, is it however ethically and morally acceptable to put people in embarrassment and to play this antinomic game with all the moral rules of institutions such as MAIF? Could I one day have concretely an answer indicating the serious reason other than the alteration of trade relations? What does the director of MAIF mean by the concept of the alteration of commercial relations? Could he put another cleaner and more palpable term so that the alteration of these trade relations can be determined? How explains the director of MAIF indifference and contempt for these insured when he corresponds with his insured without knowing whether it is an MME or a Miss? And that, I repeat, after more than 30 years of subscription to their services !!!!!</v>
      </c>
    </row>
    <row r="64" ht="15.75" customHeight="1">
      <c r="B64" s="2" t="s">
        <v>227</v>
      </c>
      <c r="C64" s="2" t="s">
        <v>228</v>
      </c>
      <c r="D64" s="2" t="s">
        <v>151</v>
      </c>
      <c r="E64" s="2" t="s">
        <v>14</v>
      </c>
      <c r="F64" s="2" t="s">
        <v>15</v>
      </c>
      <c r="G64" s="2" t="s">
        <v>229</v>
      </c>
      <c r="H64" s="2" t="s">
        <v>230</v>
      </c>
      <c r="I64" s="2" t="str">
        <f>IFERROR(__xludf.DUMMYFUNCTION("GOOGLETRANSLATE(C64,""fr"",""en"")"),"Being a member for more than ten years at the MAIF I have just received a letter informing the termination for the alteration of the commercial relationship. I have of course not received any details concerning this alteration and moreover I want to speci"&amp;"fy that I have suffered no claim during this year. Thank you Maif. Where are mutualist values?")</f>
        <v>Being a member for more than ten years at the MAIF I have just received a letter informing the termination for the alteration of the commercial relationship. I have of course not received any details concerning this alteration and moreover I want to specify that I have suffered no claim during this year. Thank you Maif. Where are mutualist values?</v>
      </c>
    </row>
    <row r="65" ht="15.75" customHeight="1">
      <c r="B65" s="2" t="s">
        <v>231</v>
      </c>
      <c r="C65" s="2" t="s">
        <v>232</v>
      </c>
      <c r="D65" s="2" t="s">
        <v>151</v>
      </c>
      <c r="E65" s="2" t="s">
        <v>14</v>
      </c>
      <c r="F65" s="2" t="s">
        <v>15</v>
      </c>
      <c r="G65" s="2" t="s">
        <v>229</v>
      </c>
      <c r="H65" s="2" t="s">
        <v>230</v>
      </c>
      <c r="I65" s="2" t="str">
        <f>IFERROR(__xludf.DUMMYFUNCTION("GOOGLETRANSLATE(C65,""fr"",""en"")"),"I strongly advise against this insurance company to anyone.
The quality of service to the customer is just lamentable.
First there was the impossibility of taking charge of the work in my bathroom up to real damage.
Then the impossibility of ensuring a"&amp;" house by the sea on the pretext that it is in the flood zone.
Everything is based on COM. The so -called ""militant insurer"" was absent when I needed his help. The system of militants who would defend the interests of the members to be completely just "&amp;"completely phony.
Information taken in my friendly circle I discover that many of my relatives are disappointed and unsatisfied with the services of the MAIF.
To avoid absolutely
 ")</f>
        <v>I strongly advise against this insurance company to anyone.
The quality of service to the customer is just lamentable.
First there was the impossibility of taking charge of the work in my bathroom up to real damage.
Then the impossibility of ensuring a house by the sea on the pretext that it is in the flood zone.
Everything is based on COM. The so -called "militant insurer" was absent when I needed his help. The system of militants who would defend the interests of the members to be completely just completely phony.
Information taken in my friendly circle I discover that many of my relatives are disappointed and unsatisfied with the services of the MAIF.
To avoid absolutely
 </v>
      </c>
    </row>
    <row r="66" ht="15.75" customHeight="1">
      <c r="B66" s="2" t="s">
        <v>233</v>
      </c>
      <c r="C66" s="2" t="s">
        <v>234</v>
      </c>
      <c r="D66" s="2" t="s">
        <v>151</v>
      </c>
      <c r="E66" s="2" t="s">
        <v>14</v>
      </c>
      <c r="F66" s="2" t="s">
        <v>15</v>
      </c>
      <c r="G66" s="2" t="s">
        <v>235</v>
      </c>
      <c r="H66" s="2" t="s">
        <v>230</v>
      </c>
      <c r="I66" s="2" t="str">
        <f>IFERROR(__xludf.DUMMYFUNCTION("GOOGLETRANSLATE(C66,""fr"",""en"")"),"We have always been in MAIF. It turns out that two weeks ago, following the strong bad weather in our town, we have a big weeping willow which has literally split in half and which, by falling, torn out several branches of another weeping willow, Just as "&amp;"big, which is next to it, a few meters away.
Fortunately, everything fell on our land, bordering on other inhabited land.
Seeing the extent of the damage, we immediately contacted a specialized company that we already knew, having called on them for wor"&amp;"k on other trees.
The professional in question told us that these 2 willows had to be killed to secure the area vis-à-vis our neighbors.
This is what we did by setting the bill of € 4,500
We contacted the MAIF and we were told that we were not entitled"&amp;" to any reimbursement having acted in ""prevention"" of a risk. Indeed, it would have been necessary to wait for these 2 trees to fall with our neighbors so that MAIF could reimburse them from the damage thus caused via our liability guarantee. On our sid"&amp;"e, still nothing but the professional's bill would have been much lower because it is easier to cut a tree on the ground rather than having to dismantle it more than 20 meters high.
Therefore, I deduce that in Maif, it is better to wait until the disaste"&amp;"r occurs rather than prevent it.
So, on the other side of our land, where there is a big birch that threatens to come across a pasture with horses, I suppose that it will also be necessary to wait that the disaster occurs so that we have a less invoice h"&amp;"igh to pay the slaughter company. Even on the phone, we were told: ""I know, it's absurd, but it's the position of the maif""
We are very disappointed and we ask the question of whether, elsewhere, prevention is also poorly recognized.")</f>
        <v>We have always been in MAIF. It turns out that two weeks ago, following the strong bad weather in our town, we have a big weeping willow which has literally split in half and which, by falling, torn out several branches of another weeping willow, Just as big, which is next to it, a few meters away.
Fortunately, everything fell on our land, bordering on other inhabited land.
Seeing the extent of the damage, we immediately contacted a specialized company that we already knew, having called on them for work on other trees.
The professional in question told us that these 2 willows had to be killed to secure the area vis-à-vis our neighbors.
This is what we did by setting the bill of € 4,500
We contacted the MAIF and we were told that we were not entitled to any reimbursement having acted in "prevention" of a risk. Indeed, it would have been necessary to wait for these 2 trees to fall with our neighbors so that MAIF could reimburse them from the damage thus caused via our liability guarantee. On our side, still nothing but the professional's bill would have been much lower because it is easier to cut a tree on the ground rather than having to dismantle it more than 20 meters high.
Therefore, I deduce that in Maif, it is better to wait until the disaster occurs rather than prevent it.
So, on the other side of our land, where there is a big birch that threatens to come across a pasture with horses, I suppose that it will also be necessary to wait that the disaster occurs so that we have a less invoice high to pay the slaughter company. Even on the phone, we were told: "I know, it's absurd, but it's the position of the maif"
We are very disappointed and we ask the question of whether, elsewhere, prevention is also poorly recognized.</v>
      </c>
    </row>
    <row r="67" ht="15.75" customHeight="1">
      <c r="B67" s="2" t="s">
        <v>236</v>
      </c>
      <c r="C67" s="2" t="s">
        <v>237</v>
      </c>
      <c r="D67" s="2" t="s">
        <v>151</v>
      </c>
      <c r="E67" s="2" t="s">
        <v>14</v>
      </c>
      <c r="F67" s="2" t="s">
        <v>15</v>
      </c>
      <c r="G67" s="2" t="s">
        <v>238</v>
      </c>
      <c r="H67" s="2" t="s">
        <v>230</v>
      </c>
      <c r="I67" s="2" t="str">
        <f>IFERROR(__xludf.DUMMYFUNCTION("GOOGLETRANSLATE(C67,""fr"",""en"")"),"For 30 years at La Maif, I have just had a first disaster. Nice but incompetent people. After an oil fire, the expert only passes after decontamination and decontamination awaits the expert's opinion. It's just crazy. What a desappointment ! This insuranc"&amp;"e is to be flee. After the claim, I will change.")</f>
        <v>For 30 years at La Maif, I have just had a first disaster. Nice but incompetent people. After an oil fire, the expert only passes after decontamination and decontamination awaits the expert's opinion. It's just crazy. What a desappointment ! This insurance is to be flee. After the claim, I will change.</v>
      </c>
    </row>
    <row r="68" ht="15.75" customHeight="1">
      <c r="B68" s="2" t="s">
        <v>239</v>
      </c>
      <c r="C68" s="2" t="s">
        <v>240</v>
      </c>
      <c r="D68" s="2" t="s">
        <v>151</v>
      </c>
      <c r="E68" s="2" t="s">
        <v>14</v>
      </c>
      <c r="F68" s="2" t="s">
        <v>15</v>
      </c>
      <c r="G68" s="2" t="s">
        <v>241</v>
      </c>
      <c r="H68" s="2" t="s">
        <v>242</v>
      </c>
      <c r="I68" s="2" t="str">
        <f>IFERROR(__xludf.DUMMYFUNCTION("GOOGLETRANSLATE(C68,""fr"",""en"")"),"Hello, following a water damage from the file processing and lamentable reception (I had the impression of a police investigation ...) all that to hear me say that an expert ""was going to check all this"" !! ! (provided for over 20 years with this insure"&amp;"r ...). More than a month after the disaster I still have no expert appointment and no response from MAIF.
In short, I will find much cheaper for an identical service.")</f>
        <v>Hello, following a water damage from the file processing and lamentable reception (I had the impression of a police investigation ...) all that to hear me say that an expert "was going to check all this" !! ! (provided for over 20 years with this insurer ...). More than a month after the disaster I still have no expert appointment and no response from MAIF.
In short, I will find much cheaper for an identical service.</v>
      </c>
    </row>
    <row r="69" ht="15.75" customHeight="1">
      <c r="B69" s="2" t="s">
        <v>243</v>
      </c>
      <c r="C69" s="2" t="s">
        <v>244</v>
      </c>
      <c r="D69" s="2" t="s">
        <v>151</v>
      </c>
      <c r="E69" s="2" t="s">
        <v>14</v>
      </c>
      <c r="F69" s="2" t="s">
        <v>15</v>
      </c>
      <c r="G69" s="2" t="s">
        <v>245</v>
      </c>
      <c r="H69" s="2" t="s">
        <v>246</v>
      </c>
      <c r="I69" s="2" t="str">
        <f>IFERROR(__xludf.DUMMYFUNCTION("GOOGLETRANSLATE(C69,""fr"",""en"")"),"Reactivity, listening and credit brought to the word of the insured !! The various interlocutors were effective and rapid in the treatment of the loss home (power cut) which resulted in stopping 3 fridges and an electrical failure on the regulation of the"&amp;" heating.
Reassuring, restful when you come from vacation with this unpleasant surprise.")</f>
        <v>Reactivity, listening and credit brought to the word of the insured !! The various interlocutors were effective and rapid in the treatment of the loss home (power cut) which resulted in stopping 3 fridges and an electrical failure on the regulation of the heating.
Reassuring, restful when you come from vacation with this unpleasant surprise.</v>
      </c>
    </row>
    <row r="70" ht="15.75" customHeight="1">
      <c r="B70" s="2" t="s">
        <v>247</v>
      </c>
      <c r="C70" s="2" t="s">
        <v>248</v>
      </c>
      <c r="D70" s="2" t="s">
        <v>151</v>
      </c>
      <c r="E70" s="2" t="s">
        <v>14</v>
      </c>
      <c r="F70" s="2" t="s">
        <v>15</v>
      </c>
      <c r="G70" s="2" t="s">
        <v>249</v>
      </c>
      <c r="H70" s="2" t="s">
        <v>246</v>
      </c>
      <c r="I70" s="2" t="str">
        <f>IFERROR(__xludf.DUMMYFUNCTION("GOOGLETRANSLATE(C70,""fr"",""en"")"),"I cannot be in total assets with them for my home insurance.
When you ask that there are members of the silk family ensures in the house
")</f>
        <v>I cannot be in total assets with them for my home insurance.
When you ask that there are members of the silk family ensures in the house
</v>
      </c>
    </row>
    <row r="71" ht="15.75" customHeight="1">
      <c r="B71" s="2" t="s">
        <v>250</v>
      </c>
      <c r="C71" s="2" t="s">
        <v>251</v>
      </c>
      <c r="D71" s="2" t="s">
        <v>151</v>
      </c>
      <c r="E71" s="2" t="s">
        <v>14</v>
      </c>
      <c r="F71" s="2" t="s">
        <v>15</v>
      </c>
      <c r="G71" s="2" t="s">
        <v>252</v>
      </c>
      <c r="H71" s="2" t="s">
        <v>253</v>
      </c>
      <c r="I71" s="2" t="str">
        <f>IFERROR(__xludf.DUMMYFUNCTION("GOOGLETRANSLATE(C71,""fr"",""en"")"),"Dry cracks
Expert request micropiles
Maif proposes, as it is very expensive in the mutualist spirit of making only reinforcements
by telling us that everything would be taken care of (garden paint garden etc) if the cracks returned
(5 years later crac"&amp;"ks ,,,
MAIF response: lost file, you have to make a new declaration ,,, with new franchise ,,,,")</f>
        <v>Dry cracks
Expert request micropiles
Maif proposes, as it is very expensive in the mutualist spirit of making only reinforcements
by telling us that everything would be taken care of (garden paint garden etc) if the cracks returned
(5 years later cracks ,,,
MAIF response: lost file, you have to make a new declaration ,,, with new franchise ,,,,</v>
      </c>
    </row>
    <row r="72" ht="15.75" customHeight="1">
      <c r="B72" s="2" t="s">
        <v>254</v>
      </c>
      <c r="C72" s="2" t="s">
        <v>255</v>
      </c>
      <c r="D72" s="2" t="s">
        <v>151</v>
      </c>
      <c r="E72" s="2" t="s">
        <v>14</v>
      </c>
      <c r="F72" s="2" t="s">
        <v>15</v>
      </c>
      <c r="G72" s="2" t="s">
        <v>256</v>
      </c>
      <c r="H72" s="2" t="s">
        <v>257</v>
      </c>
      <c r="I72" s="2" t="str">
        <f>IFERROR(__xludf.DUMMYFUNCTION("GOOGLETRANSLATE(C72,""fr"",""en"")"),"I have been insured at Maif for over 15 years. Three years ago a storm grid my heat pump. She was ten years old, Maif barely reimbursed me for 200 euros out of the 5,000 euros in repair and the height of everything, made an expert! Who has not even touche"&amp;"d the pump. A friend who had the same thing was reimbursed for the entire repair in another insurer for the same obsolescence.
I have been at a swimming pool for 10 years as well. I have a leak due to a broken pipe. Everything is under a concrete terrace"&amp;". It takes about 700 euros to find the leak then break and repair the leak and the slab. They answer me that they cannot intervene! It is the drop of water that pushes me to go see elsewhere!")</f>
        <v>I have been insured at Maif for over 15 years. Three years ago a storm grid my heat pump. She was ten years old, Maif barely reimbursed me for 200 euros out of the 5,000 euros in repair and the height of everything, made an expert! Who has not even touched the pump. A friend who had the same thing was reimbursed for the entire repair in another insurer for the same obsolescence.
I have been at a swimming pool for 10 years as well. I have a leak due to a broken pipe. Everything is under a concrete terrace. It takes about 700 euros to find the leak then break and repair the leak and the slab. They answer me that they cannot intervene! It is the drop of water that pushes me to go see elsewhere!</v>
      </c>
    </row>
    <row r="73" ht="15.75" customHeight="1">
      <c r="B73" s="2" t="s">
        <v>258</v>
      </c>
      <c r="C73" s="2" t="s">
        <v>259</v>
      </c>
      <c r="D73" s="2" t="s">
        <v>151</v>
      </c>
      <c r="E73" s="2" t="s">
        <v>14</v>
      </c>
      <c r="F73" s="2" t="s">
        <v>15</v>
      </c>
      <c r="G73" s="2" t="s">
        <v>256</v>
      </c>
      <c r="H73" s="2" t="s">
        <v>257</v>
      </c>
      <c r="I73" s="2" t="str">
        <f>IFERROR(__xludf.DUMMYFUNCTION("GOOGLETRANSLATE(C73,""fr"",""en"")"),"""Member"" MAIF for about 15 years I thought I was ""insured"" and ""protected"" in the event of a hard blow. I currently have 1 housing contract, 4 non -occupying owner insurance, 4 vehicles, pro insurance and additional guarantees.
I only had three cla"&amp;"ims in my life, none of which with my responsibility questioned. A vehicle struck my fence wall, three witnesses saw the scene whose factor but none raised the license plate ...
I declared the claim to repair a recent fence wall, and requested a repair q"&amp;"uote from the person who initially coated the wall.
Result: the designated expert concludes that not be taken care of because for him it does not have a vehicle that caused the damage (just that), and he estimates the repair at € 400 instead of 2200 ... "&amp;"( approximate amount).
I have in my possession an oral message from the expert explaining all this, fortunately because I have never had the expert report !!!! Ashamed !!!
I have just sent me a connective report or everything changed and the amount of c"&amp;"ompensation goes to 250 € ... !!
I wrote to the complaint service but ......
I will surely have a message faster saying that what I describe is not what Maif wants to convey ...
In addition to the abusive and defamatory nature of the course of this car"&amp;"e fortunately that nothing is serious!
If you wish to sleep on your two ears in the event of a disaster I do not recommend you to make sure you are in Maif! To summarize you must hire a full -time person to do procedures and make you compensate.")</f>
        <v>"Member" MAIF for about 15 years I thought I was "insured" and "protected" in the event of a hard blow. I currently have 1 housing contract, 4 non -occupying owner insurance, 4 vehicles, pro insurance and additional guarantees.
I only had three claims in my life, none of which with my responsibility questioned. A vehicle struck my fence wall, three witnesses saw the scene whose factor but none raised the license plate ...
I declared the claim to repair a recent fence wall, and requested a repair quote from the person who initially coated the wall.
Result: the designated expert concludes that not be taken care of because for him it does not have a vehicle that caused the damage (just that), and he estimates the repair at € 400 instead of 2200 ... ( approximate amount).
I have in my possession an oral message from the expert explaining all this, fortunately because I have never had the expert report !!!! Ashamed !!!
I have just sent me a connective report or everything changed and the amount of compensation goes to 250 € ... !!
I wrote to the complaint service but ......
I will surely have a message faster saying that what I describe is not what Maif wants to convey ...
In addition to the abusive and defamatory nature of the course of this care fortunately that nothing is serious!
If you wish to sleep on your two ears in the event of a disaster I do not recommend you to make sure you are in Maif! To summarize you must hire a full -time person to do procedures and make you compensate.</v>
      </c>
    </row>
    <row r="74" ht="15.75" customHeight="1">
      <c r="B74" s="2" t="s">
        <v>260</v>
      </c>
      <c r="C74" s="2" t="s">
        <v>261</v>
      </c>
      <c r="D74" s="2" t="s">
        <v>151</v>
      </c>
      <c r="E74" s="2" t="s">
        <v>14</v>
      </c>
      <c r="F74" s="2" t="s">
        <v>15</v>
      </c>
      <c r="G74" s="2" t="s">
        <v>262</v>
      </c>
      <c r="H74" s="2" t="s">
        <v>257</v>
      </c>
      <c r="I74" s="2" t="str">
        <f>IFERROR(__xludf.DUMMYFUNCTION("GOOGLETRANSLATE(C74,""fr"",""en"")"),"Insured MAIF for twenty years, I have always been satisfied with the services of this insurer (water damage and theft with break -in in my vehicle)")</f>
        <v>Insured MAIF for twenty years, I have always been satisfied with the services of this insurer (water damage and theft with break -in in my vehicle)</v>
      </c>
    </row>
    <row r="75" ht="15.75" customHeight="1">
      <c r="B75" s="2" t="s">
        <v>263</v>
      </c>
      <c r="C75" s="2" t="s">
        <v>264</v>
      </c>
      <c r="D75" s="2" t="s">
        <v>151</v>
      </c>
      <c r="E75" s="2" t="s">
        <v>14</v>
      </c>
      <c r="F75" s="2" t="s">
        <v>15</v>
      </c>
      <c r="G75" s="2" t="s">
        <v>265</v>
      </c>
      <c r="H75" s="2" t="s">
        <v>257</v>
      </c>
      <c r="I75" s="2" t="str">
        <f>IFERROR(__xludf.DUMMYFUNCTION("GOOGLETRANSLATE(C75,""fr"",""en"")"),"Insurer who ""militates"" in irresponsibility and abuse. They still live in the image they have created but which is only that, an image. For the rest it is an insurance to avoid without hesitation.")</f>
        <v>Insurer who "militates" in irresponsibility and abuse. They still live in the image they have created but which is only that, an image. For the rest it is an insurance to avoid without hesitation.</v>
      </c>
    </row>
    <row r="76" ht="15.75" customHeight="1">
      <c r="B76" s="2" t="s">
        <v>266</v>
      </c>
      <c r="C76" s="2" t="s">
        <v>267</v>
      </c>
      <c r="D76" s="2" t="s">
        <v>151</v>
      </c>
      <c r="E76" s="2" t="s">
        <v>14</v>
      </c>
      <c r="F76" s="2" t="s">
        <v>15</v>
      </c>
      <c r="G76" s="2" t="s">
        <v>268</v>
      </c>
      <c r="H76" s="2" t="s">
        <v>269</v>
      </c>
      <c r="I76" s="2" t="str">
        <f>IFERROR(__xludf.DUMMYFUNCTION("GOOGLETRANSLATE(C76,""fr"",""en"")"),"Hello,
I have been a filiamaïf member for a good number of years without any disaster.
1) Following the 2018 cracks of the cracks appeared on my house and my town is declared in the Official Journal as being in a state of natural disaster. I specify t"&amp;"hat my house is a hundred years this year (2020) and that the cracks appeared in 2018, 98 years after its construction.
2) During the passage of the Ciara storm in February 2020, slates fell from my roof.
I give it to you in a thousand, according to the"&amp;" Maïf, no cause and effect relationship in these two cases.
Cracks appear during the heat wave, but it is a construction defect (I remind you, 98 years without cracks) and the expert of oblivion insurance certain cracks in his report, slates are torn off"&amp;" during the storm of the storm Making the headlines but the winds are not violent enough for the mayf, even though their expert confirmed to me that part of the damage was due to the wind. Even better, the wind speed during the storm passage is estimated "&amp;"by the maïf as lower than the average speed all the month. They are strong in the mayf!
To summarize the militant insurer, militates more for him than for his members. As long as you have no problem you are welcome, but from the first concern, the most e"&amp;"ccentric arguments are out for the insurer to exempt from his obligations.
I would like to reassure Internet users who complain about long deadlines to have a response from our insurer, when the response is negative, the maïf shows remarkable reactivity."&amp;"
Assured activist, but more for a long time")</f>
        <v>Hello,
I have been a filiamaïf member for a good number of years without any disaster.
1) Following the 2018 cracks of the cracks appeared on my house and my town is declared in the Official Journal as being in a state of natural disaster. I specify that my house is a hundred years this year (2020) and that the cracks appeared in 2018, 98 years after its construction.
2) During the passage of the Ciara storm in February 2020, slates fell from my roof.
I give it to you in a thousand, according to the Maïf, no cause and effect relationship in these two cases.
Cracks appear during the heat wave, but it is a construction defect (I remind you, 98 years without cracks) and the expert of oblivion insurance certain cracks in his report, slates are torn off during the storm of the storm Making the headlines but the winds are not violent enough for the mayf, even though their expert confirmed to me that part of the damage was due to the wind. Even better, the wind speed during the storm passage is estimated by the maïf as lower than the average speed all the month. They are strong in the mayf!
To summarize the militant insurer, militates more for him than for his members. As long as you have no problem you are welcome, but from the first concern, the most eccentric arguments are out for the insurer to exempt from his obligations.
I would like to reassure Internet users who complain about long deadlines to have a response from our insurer, when the response is negative, the maïf shows remarkable reactivity.
Assured activist, but more for a long time</v>
      </c>
    </row>
    <row r="77" ht="15.75" customHeight="1">
      <c r="B77" s="2" t="s">
        <v>270</v>
      </c>
      <c r="C77" s="2" t="s">
        <v>271</v>
      </c>
      <c r="D77" s="2" t="s">
        <v>151</v>
      </c>
      <c r="E77" s="2" t="s">
        <v>14</v>
      </c>
      <c r="F77" s="2" t="s">
        <v>15</v>
      </c>
      <c r="G77" s="2" t="s">
        <v>272</v>
      </c>
      <c r="H77" s="2" t="s">
        <v>273</v>
      </c>
      <c r="I77" s="2" t="str">
        <f>IFERROR(__xludf.DUMMYFUNCTION("GOOGLETRANSLATE(C77,""fr"",""en"")"),"Unbelievable
2 years that I ask for reimbursements by CHQ to follow my files and they continue to make transfers! We are doing a CHQ again and you reimburse us on the transfer ...
A real gag
")</f>
        <v>Unbelievable
2 years that I ask for reimbursements by CHQ to follow my files and they continue to make transfers! We are doing a CHQ again and you reimburse us on the transfer ...
A real gag
</v>
      </c>
    </row>
    <row r="78" ht="15.75" customHeight="1">
      <c r="B78" s="2" t="s">
        <v>274</v>
      </c>
      <c r="C78" s="2" t="s">
        <v>275</v>
      </c>
      <c r="D78" s="2" t="s">
        <v>151</v>
      </c>
      <c r="E78" s="2" t="s">
        <v>14</v>
      </c>
      <c r="F78" s="2" t="s">
        <v>15</v>
      </c>
      <c r="G78" s="2" t="s">
        <v>276</v>
      </c>
      <c r="H78" s="2" t="s">
        <v>277</v>
      </c>
      <c r="I78" s="2" t="str">
        <f>IFERROR(__xludf.DUMMYFUNCTION("GOOGLETRANSLATE(C78,""fr"",""en"")"),"
For me the worst insurance, to flee!
A concept of confidence, quality of service and relationship, customer satisfaction, managers show intelligence and relational, advisers spends more time to manage a disaster than these competitors. These words are "&amp;"yours (MR the director of the MAIF) to describe your insurance in an interview ""Les Échos"". Well me as a customer I have a completely different point of view on Maif and its managers! Victim of infiltration repeat and unbearable odor in my accommodation"&amp;", I contacted legal protection and reported my claim that occurred almost 4 months ago! I informed the MAIF that my lessor voluntarily ignored the situation. Legal protection asked me to put my lessor in notice and that unanswered by the latter, a bailiff"&amp;"'s report would then be made. And the compensation component of the victims would be reimbursed. Yet despite the infamous smell of infiltration, the equipment still in the middle of my living room, no observation has never been made, legal protection lied"&amp;" to me, and my disaster elements have never been reimbursed! Appeal after call, your managers played the same games as my lessor! Yet transmitted to the manager, he will indicate me to take 30 days to study the file and return to month. Never any reminder"&amp;" on his part and as an answer after 30 days, so-called study, he answers me ""What are your damage"" even though the list is well known! No compensation, I had to spend more the end of year celebrations in the stench, in a wheelchair, I can no longer use "&amp;"my washing machine since the electric meter has become defective from infiltration! Water in the electric meter! This fact is extremely dangerous, whose maif immediately had knowledge without ever intervening to defend my interests. She leaves me without "&amp;"having been compensated, and without having defended my interests putting them in danger. This is the real management of your managers! This is what you qualify as a relationship of trust! Of quality of service! For the record, I have never seen an assura"&amp;"nce to act like this and harm his client! Have you taken a look at the opinions concerning Maif? They are dismaying, and I haven't even added mine yet, but it's planned. Leave the customer in the danger of such a situation, having lied to him for 4 months"&amp;" and when he paid for legal protection, made him no help, support, nor action, it is simply shameful, ignoble , for me the maif is the worst thing that it happened to me, if I had not been at home, without a doubt, I would have obtained support and compen"&amp;"sation for a long time! Do you find my situation acceptable? Do you find it normal that for 4 months I have no longer had the possibility of washing my laundry? Dry my laundry? Cook my food in my household appliances? More vacuum cleaner because the water"&amp;"s are damaged, and the devices that allowed me to have a minimum of mobility suffered the same fate, preventing me from being able to walk and have external activities like everything each.
Do you find that the Maif acts as it should leave all these devi"&amp;"ces in the middle of the living room in my little accommodation where I already have trouble moving with my wheelchair? This is the Maif Mr. Director! This is what I have suffered and that is reality, you have to know it, so I inform you of my unacceptabl"&amp;"e situation.")</f>
        <v>
For me the worst insurance, to flee!
A concept of confidence, quality of service and relationship, customer satisfaction, managers show intelligence and relational, advisers spends more time to manage a disaster than these competitors. These words are yours (MR the director of the MAIF) to describe your insurance in an interview "Les Échos". Well me as a customer I have a completely different point of view on Maif and its managers! Victim of infiltration repeat and unbearable odor in my accommodation, I contacted legal protection and reported my claim that occurred almost 4 months ago! I informed the MAIF that my lessor voluntarily ignored the situation. Legal protection asked me to put my lessor in notice and that unanswered by the latter, a bailiff's report would then be made. And the compensation component of the victims would be reimbursed. Yet despite the infamous smell of infiltration, the equipment still in the middle of my living room, no observation has never been made, legal protection lied to me, and my disaster elements have never been reimbursed! Appeal after call, your managers played the same games as my lessor! Yet transmitted to the manager, he will indicate me to take 30 days to study the file and return to month. Never any reminder on his part and as an answer after 30 days, so-called study, he answers me "What are your damage" even though the list is well known! No compensation, I had to spend more the end of year celebrations in the stench, in a wheelchair, I can no longer use my washing machine since the electric meter has become defective from infiltration! Water in the electric meter! This fact is extremely dangerous, whose maif immediately had knowledge without ever intervening to defend my interests. She leaves me without having been compensated, and without having defended my interests putting them in danger. This is the real management of your managers! This is what you qualify as a relationship of trust! Of quality of service! For the record, I have never seen an assurance to act like this and harm his client! Have you taken a look at the opinions concerning Maif? They are dismaying, and I haven't even added mine yet, but it's planned. Leave the customer in the danger of such a situation, having lied to him for 4 months and when he paid for legal protection, made him no help, support, nor action, it is simply shameful, ignoble , for me the maif is the worst thing that it happened to me, if I had not been at home, without a doubt, I would have obtained support and compensation for a long time! Do you find my situation acceptable? Do you find it normal that for 4 months I have no longer had the possibility of washing my laundry? Dry my laundry? Cook my food in my household appliances? More vacuum cleaner because the waters are damaged, and the devices that allowed me to have a minimum of mobility suffered the same fate, preventing me from being able to walk and have external activities like everything each.
Do you find that the Maif acts as it should leave all these devices in the middle of the living room in my little accommodation where I already have trouble moving with my wheelchair? This is the Maif Mr. Director! This is what I have suffered and that is reality, you have to know it, so I inform you of my unacceptable situation.</v>
      </c>
    </row>
    <row r="79" ht="15.75" customHeight="1">
      <c r="B79" s="2" t="s">
        <v>278</v>
      </c>
      <c r="C79" s="2" t="s">
        <v>279</v>
      </c>
      <c r="D79" s="2" t="s">
        <v>151</v>
      </c>
      <c r="E79" s="2" t="s">
        <v>14</v>
      </c>
      <c r="F79" s="2" t="s">
        <v>15</v>
      </c>
      <c r="G79" s="2" t="s">
        <v>280</v>
      </c>
      <c r="H79" s="2" t="s">
        <v>277</v>
      </c>
      <c r="I79" s="2" t="str">
        <f>IFERROR(__xludf.DUMMYFUNCTION("GOOGLETRANSLATE(C79,""fr"",""en"")"),"Insured MAIF I undergone a drought natural disaster, recognized by the State and insurance, an expert estimated the damage in January 2018 at more than 30,000 euros, and since I had a payment of 200 euros, the Insurance refusing to pay me the immediate co"&amp;"mpensation with the dilapidation deduced, which is outside the law. They claim invoices when I cannot pay any deposit from a business. Be careful to avoid absolutely")</f>
        <v>Insured MAIF I undergone a drought natural disaster, recognized by the State and insurance, an expert estimated the damage in January 2018 at more than 30,000 euros, and since I had a payment of 200 euros, the Insurance refusing to pay me the immediate compensation with the dilapidation deduced, which is outside the law. They claim invoices when I cannot pay any deposit from a business. Be careful to avoid absolutely</v>
      </c>
    </row>
    <row r="80" ht="15.75" customHeight="1">
      <c r="B80" s="2" t="s">
        <v>281</v>
      </c>
      <c r="C80" s="2" t="s">
        <v>282</v>
      </c>
      <c r="D80" s="2" t="s">
        <v>151</v>
      </c>
      <c r="E80" s="2" t="s">
        <v>14</v>
      </c>
      <c r="F80" s="2" t="s">
        <v>15</v>
      </c>
      <c r="G80" s="2" t="s">
        <v>283</v>
      </c>
      <c r="H80" s="2" t="s">
        <v>284</v>
      </c>
      <c r="I80" s="2" t="str">
        <f>IFERROR(__xludf.DUMMYFUNCTION("GOOGLETRANSLATE(C80,""fr"",""en"")"),"My house is insured at the Maif with declaration of a fireplace with insert. The insert door is cracked following a shock on a sofa foot. Non -refundable because the insert declared at the time of subscription is part of the exclusions from page 31 of Bla"&amp;"blabla conditions and is not guaranteed !!! So breakage is not taken into account. it is unacceptable. To collect there is no exclusion !!! It's a shame.")</f>
        <v>My house is insured at the Maif with declaration of a fireplace with insert. The insert door is cracked following a shock on a sofa foot. Non -refundable because the insert declared at the time of subscription is part of the exclusions from page 31 of Blablabla conditions and is not guaranteed !!! So breakage is not taken into account. it is unacceptable. To collect there is no exclusion !!! It's a shame.</v>
      </c>
    </row>
    <row r="81" ht="15.75" customHeight="1">
      <c r="B81" s="2" t="s">
        <v>285</v>
      </c>
      <c r="C81" s="2" t="s">
        <v>286</v>
      </c>
      <c r="D81" s="2" t="s">
        <v>151</v>
      </c>
      <c r="E81" s="2" t="s">
        <v>14</v>
      </c>
      <c r="F81" s="2" t="s">
        <v>15</v>
      </c>
      <c r="G81" s="2" t="s">
        <v>287</v>
      </c>
      <c r="H81" s="2" t="s">
        <v>288</v>
      </c>
      <c r="I81" s="2" t="str">
        <f>IFERROR(__xludf.DUMMYFUNCTION("GOOGLETRANSLATE(C81,""fr"",""en"")"),"Serious insurance close to its members, over the days and years.")</f>
        <v>Serious insurance close to its members, over the days and years.</v>
      </c>
    </row>
    <row r="82" ht="15.75" customHeight="1">
      <c r="B82" s="2" t="s">
        <v>289</v>
      </c>
      <c r="C82" s="2" t="s">
        <v>290</v>
      </c>
      <c r="D82" s="2" t="s">
        <v>151</v>
      </c>
      <c r="E82" s="2" t="s">
        <v>14</v>
      </c>
      <c r="F82" s="2" t="s">
        <v>15</v>
      </c>
      <c r="G82" s="2" t="s">
        <v>291</v>
      </c>
      <c r="H82" s="2" t="s">
        <v>288</v>
      </c>
      <c r="I82" s="2" t="str">
        <f>IFERROR(__xludf.DUMMYFUNCTION("GOOGLETRANSLATE(C82,""fr"",""en"")"),"I was looking for good insurance and after long study I turned to Maif which was already much more expensive. After a stripping of the waters (around 1000th) I receive a letter to re-evaluate the price and I have the right to an increase of 50%.")</f>
        <v>I was looking for good insurance and after long study I turned to Maif which was already much more expensive. After a stripping of the waters (around 1000th) I receive a letter to re-evaluate the price and I have the right to an increase of 50%.</v>
      </c>
    </row>
    <row r="83" ht="15.75" customHeight="1">
      <c r="B83" s="2" t="s">
        <v>292</v>
      </c>
      <c r="C83" s="2" t="s">
        <v>293</v>
      </c>
      <c r="D83" s="2" t="s">
        <v>151</v>
      </c>
      <c r="E83" s="2" t="s">
        <v>14</v>
      </c>
      <c r="F83" s="2" t="s">
        <v>15</v>
      </c>
      <c r="G83" s="2" t="s">
        <v>294</v>
      </c>
      <c r="H83" s="2" t="s">
        <v>288</v>
      </c>
      <c r="I83" s="2" t="str">
        <f>IFERROR(__xludf.DUMMYFUNCTION("GOOGLETRANSLATE(C83,""fr"",""en"")"),"very disappointed. During the episodes of drought, I heard myself say that the problems of cracks came from the vegetation around the house and not from the heat wave ... Despite a registered letter with AR it took two CPS of such for the request to termi"&amp;"nations be taken in CPTE. And the reimbursement of the advance of next year's contributions already deducted will only be reimbursed to me in two months ... only happiness.")</f>
        <v>very disappointed. During the episodes of drought, I heard myself say that the problems of cracks came from the vegetation around the house and not from the heat wave ... Despite a registered letter with AR it took two CPS of such for the request to terminations be taken in CPTE. And the reimbursement of the advance of next year's contributions already deducted will only be reimbursed to me in two months ... only happiness.</v>
      </c>
    </row>
    <row r="84" ht="15.75" customHeight="1">
      <c r="B84" s="2" t="s">
        <v>295</v>
      </c>
      <c r="C84" s="2" t="s">
        <v>296</v>
      </c>
      <c r="D84" s="2" t="s">
        <v>151</v>
      </c>
      <c r="E84" s="2" t="s">
        <v>14</v>
      </c>
      <c r="F84" s="2" t="s">
        <v>15</v>
      </c>
      <c r="G84" s="2" t="s">
        <v>297</v>
      </c>
      <c r="H84" s="2" t="s">
        <v>288</v>
      </c>
      <c r="I84" s="2" t="str">
        <f>IFERROR(__xludf.DUMMYFUNCTION("GOOGLETRANSLATE(C84,""fr"",""en"")"),"In order not to compensate the water damage, the Maif pretended to be a condensation from the SDB therefore non -refundable. While the plumber detected a sink evacuation leak in the apartment below, also MAIF. After contesting via the internet the maif ma"&amp;"kes me the alms to reimburse the half that I spent on the repair. My LRAR of 25SEPT 2019 to the President remained unanswered. I ask for a full refund. I have been insured MAIF for over 50 years with 5 homes without responsible disaster. MAIF is no longer"&amp;" what it was. Flee the MAIF, who says it is militant insurer.
 J.Bahl")</f>
        <v>In order not to compensate the water damage, the Maif pretended to be a condensation from the SDB therefore non -refundable. While the plumber detected a sink evacuation leak in the apartment below, also MAIF. After contesting via the internet the maif makes me the alms to reimburse the half that I spent on the repair. My LRAR of 25SEPT 2019 to the President remained unanswered. I ask for a full refund. I have been insured MAIF for over 50 years with 5 homes without responsible disaster. MAIF is no longer what it was. Flee the MAIF, who says it is militant insurer.
 J.Bahl</v>
      </c>
    </row>
    <row r="85" ht="15.75" customHeight="1">
      <c r="B85" s="2" t="s">
        <v>298</v>
      </c>
      <c r="C85" s="2" t="s">
        <v>299</v>
      </c>
      <c r="D85" s="2" t="s">
        <v>151</v>
      </c>
      <c r="E85" s="2" t="s">
        <v>14</v>
      </c>
      <c r="F85" s="2" t="s">
        <v>15</v>
      </c>
      <c r="G85" s="2" t="s">
        <v>300</v>
      </c>
      <c r="H85" s="2" t="s">
        <v>288</v>
      </c>
      <c r="I85" s="2" t="str">
        <f>IFERROR(__xludf.DUMMYFUNCTION("GOOGLETRANSLATE(C85,""fr"",""en"")"),"Deplorable customer relationship. Overnight no longer want to assure you without specifying the reason.
20 years of insurance and no claim in recent years")</f>
        <v>Deplorable customer relationship. Overnight no longer want to assure you without specifying the reason.
20 years of insurance and no claim in recent years</v>
      </c>
    </row>
    <row r="86" ht="15.75" customHeight="1">
      <c r="B86" s="2" t="s">
        <v>301</v>
      </c>
      <c r="C86" s="2" t="s">
        <v>302</v>
      </c>
      <c r="D86" s="2" t="s">
        <v>151</v>
      </c>
      <c r="E86" s="2" t="s">
        <v>14</v>
      </c>
      <c r="F86" s="2" t="s">
        <v>15</v>
      </c>
      <c r="G86" s="2" t="s">
        <v>303</v>
      </c>
      <c r="H86" s="2" t="s">
        <v>288</v>
      </c>
      <c r="I86" s="2" t="str">
        <f>IFERROR(__xludf.DUMMYFUNCTION("GOOGLETRANSLATE(C86,""fr"",""en"")"),"No one. Yet I was insured with them for 45 years, who says better?
MAIF has become a detestable assurance, which no longer provides anything and despises the insured. When asked, after waiting for their vacation feedback, that they finally take care of t"&amp;"he file remained a dead letter for 4 weeks, they say that they have something else to do, and we get yelled at. magnificent. I will leave them definitively.")</f>
        <v>No one. Yet I was insured with them for 45 years, who says better?
MAIF has become a detestable assurance, which no longer provides anything and despises the insured. When asked, after waiting for their vacation feedback, that they finally take care of the file remained a dead letter for 4 weeks, they say that they have something else to do, and we get yelled at. magnificent. I will leave them definitively.</v>
      </c>
    </row>
    <row r="87" ht="15.75" customHeight="1">
      <c r="B87" s="2" t="s">
        <v>304</v>
      </c>
      <c r="C87" s="2" t="s">
        <v>305</v>
      </c>
      <c r="D87" s="2" t="s">
        <v>151</v>
      </c>
      <c r="E87" s="2" t="s">
        <v>14</v>
      </c>
      <c r="F87" s="2" t="s">
        <v>15</v>
      </c>
      <c r="G87" s="2" t="s">
        <v>306</v>
      </c>
      <c r="H87" s="2" t="s">
        <v>307</v>
      </c>
      <c r="I87" s="2" t="str">
        <f>IFERROR(__xludf.DUMMYFUNCTION("GOOGLETRANSLATE(C87,""fr"",""en"")"),"Very long -standing customer of the MAIF.
Always satisfied each time I have called Maif and it's reassuring. Don't try to change, it's useless.")</f>
        <v>Very long -standing customer of the MAIF.
Always satisfied each time I have called Maif and it's reassuring. Don't try to change, it's useless.</v>
      </c>
    </row>
    <row r="88" ht="15.75" customHeight="1">
      <c r="B88" s="2" t="s">
        <v>308</v>
      </c>
      <c r="C88" s="2" t="s">
        <v>309</v>
      </c>
      <c r="D88" s="2" t="s">
        <v>151</v>
      </c>
      <c r="E88" s="2" t="s">
        <v>14</v>
      </c>
      <c r="F88" s="2" t="s">
        <v>15</v>
      </c>
      <c r="G88" s="2" t="s">
        <v>310</v>
      </c>
      <c r="H88" s="2" t="s">
        <v>307</v>
      </c>
      <c r="I88" s="2" t="str">
        <f>IFERROR(__xludf.DUMMYFUNCTION("GOOGLETRANSLATE(C88,""fr"",""en"")"),"I think the maif has a reception problem. He never receives anything neither courier nor email, therefore unable to do cordial termination.")</f>
        <v>I think the maif has a reception problem. He never receives anything neither courier nor email, therefore unable to do cordial termination.</v>
      </c>
    </row>
    <row r="89" ht="15.75" customHeight="1">
      <c r="B89" s="2" t="s">
        <v>311</v>
      </c>
      <c r="C89" s="2" t="s">
        <v>312</v>
      </c>
      <c r="D89" s="2" t="s">
        <v>151</v>
      </c>
      <c r="E89" s="2" t="s">
        <v>14</v>
      </c>
      <c r="F89" s="2" t="s">
        <v>15</v>
      </c>
      <c r="G89" s="2" t="s">
        <v>313</v>
      </c>
      <c r="H89" s="2" t="s">
        <v>307</v>
      </c>
      <c r="I89" s="2" t="str">
        <f>IFERROR(__xludf.DUMMYFUNCTION("GOOGLETRANSLATE(C89,""fr"",""en"")"),"Very decreed by (no) support for this insurer. I had a bad chance to lock up my keys inside the apartment this Saturday. Looking at the site quickly to declaire a disaster before making it, to discover that they are close after 12:30 p.m. on Saturday for "&amp;"the declarations, as you can imagine I cannot wait on Monday morning 9 am so that they Remind me, I call a locksmith to open the door that requires changing the lock. Work done in 15 minutes with a dirty invoice of 1450 euro. I wait on Monday morning to c"&amp;"all them and discover that nothing is taken care of. You had to call before and use their network. Well yes, I would have done if there was a number clearly indicated somewhere.
I recommend looking for the numbers that need, personally I can't find them "&amp;"anywhere. Nice to lose as much before the reclamation of taxes and Christmas ...")</f>
        <v>Very decreed by (no) support for this insurer. I had a bad chance to lock up my keys inside the apartment this Saturday. Looking at the site quickly to declaire a disaster before making it, to discover that they are close after 12:30 p.m. on Saturday for the declarations, as you can imagine I cannot wait on Monday morning 9 am so that they Remind me, I call a locksmith to open the door that requires changing the lock. Work done in 15 minutes with a dirty invoice of 1450 euro. I wait on Monday morning to call them and discover that nothing is taken care of. You had to call before and use their network. Well yes, I would have done if there was a number clearly indicated somewhere.
I recommend looking for the numbers that need, personally I can't find them anywhere. Nice to lose as much before the reclamation of taxes and Christmas ...</v>
      </c>
    </row>
    <row r="90" ht="15.75" customHeight="1">
      <c r="B90" s="2" t="s">
        <v>314</v>
      </c>
      <c r="C90" s="2" t="s">
        <v>315</v>
      </c>
      <c r="D90" s="2" t="s">
        <v>151</v>
      </c>
      <c r="E90" s="2" t="s">
        <v>14</v>
      </c>
      <c r="F90" s="2" t="s">
        <v>15</v>
      </c>
      <c r="G90" s="2" t="s">
        <v>316</v>
      </c>
      <c r="H90" s="2" t="s">
        <v>317</v>
      </c>
      <c r="I90" s="2" t="str">
        <f>IFERROR(__xludf.DUMMYFUNCTION("GOOGLETRANSLATE(C90,""fr"",""en"")"),"In a state of natural disaster (drought), they write to us that they take care of us, then drag two years, to finally declare us in view of the amount of the quote obtained by their expert that the damage is not due to the drought but the consequence of p"&amp;"revious problems. Result two years lost, an even more degraded house and procedure in court. Insurance to flee !!!!!")</f>
        <v>In a state of natural disaster (drought), they write to us that they take care of us, then drag two years, to finally declare us in view of the amount of the quote obtained by their expert that the damage is not due to the drought but the consequence of previous problems. Result two years lost, an even more degraded house and procedure in court. Insurance to flee !!!!!</v>
      </c>
    </row>
    <row r="91" ht="15.75" customHeight="1">
      <c r="B91" s="2" t="s">
        <v>318</v>
      </c>
      <c r="C91" s="2" t="s">
        <v>319</v>
      </c>
      <c r="D91" s="2" t="s">
        <v>151</v>
      </c>
      <c r="E91" s="2" t="s">
        <v>14</v>
      </c>
      <c r="F91" s="2" t="s">
        <v>15</v>
      </c>
      <c r="G91" s="2" t="s">
        <v>320</v>
      </c>
      <c r="H91" s="2" t="s">
        <v>317</v>
      </c>
      <c r="I91" s="2" t="str">
        <f>IFERROR(__xludf.DUMMYFUNCTION("GOOGLETRANSLATE(C91,""fr"",""en"")")," DOWNING OPEN OPEN TO MARCH 2017 concerning a DOL on the purchase of my main residence.
In view of the challenges, the case would have been transmitted to a lawyer. For the sake of economy, the MAIF took 1 year to designate one.
But it does not stop the"&amp;"re. He advises us a lawyer who advocates us to lie on dates because they have missed the assignment period. So you say to yourself it is time to choose a competent lawyer oh my God returned to me in a new galley.
It is I who must make the link, because t"&amp;"hey do not communicate the pieces to the new lawyer.
 At this point you say to yourself, I need help ... I take advice to UFC that choosing who informs me that I must write to the complaint service; 1st without response, indeed, I put complaint but I did"&amp;" not send it to the complaint service, so not treat as such.
2nd then 3rd mail still awaiting a long -lived exchange.
The most deplorable is this service is supposed to support customers who do not feel listened to, satisfied and of course advisor.
So "&amp;"I question their breach of their obligations.
 Today I am looking for people who are in the same case.
Could you send me your email contact details.
")</f>
        <v> DOWNING OPEN OPEN TO MARCH 2017 concerning a DOL on the purchase of my main residence.
In view of the challenges, the case would have been transmitted to a lawyer. For the sake of economy, the MAIF took 1 year to designate one.
But it does not stop there. He advises us a lawyer who advocates us to lie on dates because they have missed the assignment period. So you say to yourself it is time to choose a competent lawyer oh my God returned to me in a new galley.
It is I who must make the link, because they do not communicate the pieces to the new lawyer.
 At this point you say to yourself, I need help ... I take advice to UFC that choosing who informs me that I must write to the complaint service; 1st without response, indeed, I put complaint but I did not send it to the complaint service, so not treat as such.
2nd then 3rd mail still awaiting a long -lived exchange.
The most deplorable is this service is supposed to support customers who do not feel listened to, satisfied and of course advisor.
So I question their breach of their obligations.
 Today I am looking for people who are in the same case.
Could you send me your email contact details.
</v>
      </c>
    </row>
    <row r="92" ht="15.75" customHeight="1">
      <c r="B92" s="2" t="s">
        <v>321</v>
      </c>
      <c r="C92" s="2" t="s">
        <v>322</v>
      </c>
      <c r="D92" s="2" t="s">
        <v>151</v>
      </c>
      <c r="E92" s="2" t="s">
        <v>14</v>
      </c>
      <c r="F92" s="2" t="s">
        <v>15</v>
      </c>
      <c r="G92" s="2" t="s">
        <v>323</v>
      </c>
      <c r="H92" s="2" t="s">
        <v>324</v>
      </c>
      <c r="I92" s="2" t="str">
        <f>IFERROR(__xludf.DUMMYFUNCTION("GOOGLETRANSLATE(C92,""fr"",""en"")"),"I have been in Maif for almost 20 years and I have never had a problem until this summer.
Owner for the first time and recently, I took the serenity formula. Following a mold problem, I open a ""sinister"" file.
Since then, you have to run after the adv"&amp;"isers, and when we have them on the phone they are aggressive and not at all accompanying. The state of mind that I have always known seems to have completely disappeared in favor of the discouragement of the insured.
I would like to know what happened ."&amp;"...")</f>
        <v>I have been in Maif for almost 20 years and I have never had a problem until this summer.
Owner for the first time and recently, I took the serenity formula. Following a mold problem, I open a "sinister" file.
Since then, you have to run after the advisers, and when we have them on the phone they are aggressive and not at all accompanying. The state of mind that I have always known seems to have completely disappeared in favor of the discouragement of the insured.
I would like to know what happened ....</v>
      </c>
    </row>
    <row r="93" ht="15.75" customHeight="1">
      <c r="B93" s="2" t="s">
        <v>325</v>
      </c>
      <c r="C93" s="2" t="s">
        <v>326</v>
      </c>
      <c r="D93" s="2" t="s">
        <v>151</v>
      </c>
      <c r="E93" s="2" t="s">
        <v>14</v>
      </c>
      <c r="F93" s="2" t="s">
        <v>15</v>
      </c>
      <c r="G93" s="2" t="s">
        <v>327</v>
      </c>
      <c r="H93" s="2" t="s">
        <v>328</v>
      </c>
      <c r="I93" s="2" t="str">
        <f>IFERROR(__xludf.DUMMYFUNCTION("GOOGLETRANSLATE(C93,""fr"",""en"")"),"drag the files lengthwise")</f>
        <v>drag the files lengthwise</v>
      </c>
    </row>
    <row r="94" ht="15.75" customHeight="1">
      <c r="B94" s="2" t="s">
        <v>329</v>
      </c>
      <c r="C94" s="2" t="s">
        <v>330</v>
      </c>
      <c r="D94" s="2" t="s">
        <v>151</v>
      </c>
      <c r="E94" s="2" t="s">
        <v>14</v>
      </c>
      <c r="F94" s="2" t="s">
        <v>15</v>
      </c>
      <c r="G94" s="2" t="s">
        <v>331</v>
      </c>
      <c r="H94" s="2" t="s">
        <v>328</v>
      </c>
      <c r="I94" s="2" t="str">
        <f>IFERROR(__xludf.DUMMYFUNCTION("GOOGLETRANSLATE(C94,""fr"",""en"")"),"Customer service and simply deplorable")</f>
        <v>Customer service and simply deplorable</v>
      </c>
    </row>
    <row r="95" ht="15.75" customHeight="1">
      <c r="B95" s="2" t="s">
        <v>332</v>
      </c>
      <c r="C95" s="2" t="s">
        <v>333</v>
      </c>
      <c r="D95" s="2" t="s">
        <v>151</v>
      </c>
      <c r="E95" s="2" t="s">
        <v>14</v>
      </c>
      <c r="F95" s="2" t="s">
        <v>15</v>
      </c>
      <c r="G95" s="2" t="s">
        <v>334</v>
      </c>
      <c r="H95" s="2" t="s">
        <v>335</v>
      </c>
      <c r="I95" s="2" t="str">
        <f>IFERROR(__xludf.DUMMYFUNCTION("GOOGLETRANSLATE(C95,""fr"",""en"")"),"We suffered significant water damage in our kitchen last year by our neighbor from above, we contacted the MAIF to establish an inventory of the damage. Then nothing, no expert sent, nothing ...
And a few months later, we saved and are ready to rebuild o"&amp;"ur kitchen, but we want to use the MAIF for the work part (the color and the materials of the kitchen furniture being legitimately at our expense).
It is up to us to discover the Meandres of Eurexo, mandated by Maif to do the job. Who have all the info a"&amp;"nd who no longer even answer (telephone server unavailable today 06/13).
Complete discrepancy with advertising and their scenarios! Go your way, we always hope not to have to do with your insurer, I confirm, Maif is a calamity!")</f>
        <v>We suffered significant water damage in our kitchen last year by our neighbor from above, we contacted the MAIF to establish an inventory of the damage. Then nothing, no expert sent, nothing ...
And a few months later, we saved and are ready to rebuild our kitchen, but we want to use the MAIF for the work part (the color and the materials of the kitchen furniture being legitimately at our expense).
It is up to us to discover the Meandres of Eurexo, mandated by Maif to do the job. Who have all the info and who no longer even answer (telephone server unavailable today 06/13).
Complete discrepancy with advertising and their scenarios! Go your way, we always hope not to have to do with your insurer, I confirm, Maif is a calamity!</v>
      </c>
    </row>
    <row r="96" ht="15.75" customHeight="1">
      <c r="B96" s="2" t="s">
        <v>336</v>
      </c>
      <c r="C96" s="2" t="s">
        <v>337</v>
      </c>
      <c r="D96" s="2" t="s">
        <v>151</v>
      </c>
      <c r="E96" s="2" t="s">
        <v>14</v>
      </c>
      <c r="F96" s="2" t="s">
        <v>15</v>
      </c>
      <c r="G96" s="2" t="s">
        <v>338</v>
      </c>
      <c r="H96" s="2" t="s">
        <v>339</v>
      </c>
      <c r="I96" s="2" t="str">
        <f>IFERROR(__xludf.DUMMYFUNCTION("GOOGLETRANSLATE(C96,""fr"",""en"")"),"I am very unsatisfied with the reimbursements concerning claims that I suffered.
Experts draw reimbursements down.
Apply percentages of vestuste that not to be.
")</f>
        <v>I am very unsatisfied with the reimbursements concerning claims that I suffered.
Experts draw reimbursements down.
Apply percentages of vestuste that not to be.
</v>
      </c>
    </row>
    <row r="97" ht="15.75" customHeight="1">
      <c r="B97" s="2" t="s">
        <v>340</v>
      </c>
      <c r="C97" s="2" t="s">
        <v>341</v>
      </c>
      <c r="D97" s="2" t="s">
        <v>151</v>
      </c>
      <c r="E97" s="2" t="s">
        <v>14</v>
      </c>
      <c r="F97" s="2" t="s">
        <v>15</v>
      </c>
      <c r="G97" s="2" t="s">
        <v>342</v>
      </c>
      <c r="H97" s="2" t="s">
        <v>339</v>
      </c>
      <c r="I97" s="2" t="str">
        <f>IFERROR(__xludf.DUMMYFUNCTION("GOOGLETRANSLATE(C97,""fr"",""en"")"),"In the year, I had just flowed a burglary and the lightning that fell on the house. As part of the 2 claims, I found that the experts (which I only had on the phone) were not very competent or objectives. On old stolen jewelry, I have touched almost nothi"&amp;"ng. For the damage caused for lightning, all our electrical, electronic equipment, which was often more than 4 or 5 years old, we have touched nothing either.
Assessment: 1 year later, we have still not replaced all the destroyed equipment, stolen or dam"&amp;"aged by lightning.")</f>
        <v>In the year, I had just flowed a burglary and the lightning that fell on the house. As part of the 2 claims, I found that the experts (which I only had on the phone) were not very competent or objectives. On old stolen jewelry, I have touched almost nothing. For the damage caused for lightning, all our electrical, electronic equipment, which was often more than 4 or 5 years old, we have touched nothing either.
Assessment: 1 year later, we have still not replaced all the destroyed equipment, stolen or damaged by lightning.</v>
      </c>
    </row>
    <row r="98" ht="15.75" customHeight="1">
      <c r="B98" s="2" t="s">
        <v>343</v>
      </c>
      <c r="C98" s="2" t="s">
        <v>344</v>
      </c>
      <c r="D98" s="2" t="s">
        <v>151</v>
      </c>
      <c r="E98" s="2" t="s">
        <v>14</v>
      </c>
      <c r="F98" s="2" t="s">
        <v>15</v>
      </c>
      <c r="G98" s="2" t="s">
        <v>345</v>
      </c>
      <c r="H98" s="2" t="s">
        <v>17</v>
      </c>
      <c r="I98" s="2" t="str">
        <f>IFERROR(__xludf.DUMMYFUNCTION("GOOGLETRANSLATE(C98,""fr"",""en"")"),"All the same !!!!! Ah Sacré Achille !!!
I am very disappointed with the management of my situation by the MAIF: mother of 3 children, including a very recent who is 4 months old, living in the countryside, in a large house with a floor and a garden.
Spo"&amp;"rty, without medical history, I have the Achilles tendon and the Maif highlights the fact that tendon conditions are not supported by contracts. I'm sorry for it. Isn't that the consequence that is compensable? A fracture of the tibia, does a sprain not h"&amp;"ave the same consequences as a rupture of the Achilles tendon, that is to say a long -term immobilization at home? Hand crutches and daily wheelchair?
Hoping that you will understand my distress and my feeling of injustice, I hope that this comment can b"&amp;"e useful to athletes who are looking for insurance! As well as in Maif: to reflect in terms of consequence and not causes ...")</f>
        <v>All the same !!!!! Ah Sacré Achille !!!
I am very disappointed with the management of my situation by the MAIF: mother of 3 children, including a very recent who is 4 months old, living in the countryside, in a large house with a floor and a garden.
Sporty, without medical history, I have the Achilles tendon and the Maif highlights the fact that tendon conditions are not supported by contracts. I'm sorry for it. Isn't that the consequence that is compensable? A fracture of the tibia, does a sprain not have the same consequences as a rupture of the Achilles tendon, that is to say a long -term immobilization at home? Hand crutches and daily wheelchair?
Hoping that you will understand my distress and my feeling of injustice, I hope that this comment can be useful to athletes who are looking for insurance! As well as in Maif: to reflect in terms of consequence and not causes ...</v>
      </c>
    </row>
    <row r="99" ht="15.75" customHeight="1">
      <c r="B99" s="2" t="s">
        <v>346</v>
      </c>
      <c r="C99" s="2" t="s">
        <v>347</v>
      </c>
      <c r="D99" s="2" t="s">
        <v>151</v>
      </c>
      <c r="E99" s="2" t="s">
        <v>14</v>
      </c>
      <c r="F99" s="2" t="s">
        <v>15</v>
      </c>
      <c r="G99" s="2" t="s">
        <v>348</v>
      </c>
      <c r="H99" s="2" t="s">
        <v>349</v>
      </c>
      <c r="I99" s="2" t="str">
        <f>IFERROR(__xludf.DUMMYFUNCTION("GOOGLETRANSLATE(C99,""fr"",""en"")"),"I have been a member of MAIF for 25 years but since I insured my daughter in 2016, it's the cat! They send me letters that have never come down to me and don't care if I received them. I imagine that the letters returned home and they never worried about "&amp;"it. So we thought you were insured! It is at the time of a water damage - caused by the above apartment - that they teach us that we are not insured! We have called and wrote many times to solve this problem. They do not bring any solution and do not reco"&amp;"gnize their mistakes.")</f>
        <v>I have been a member of MAIF for 25 years but since I insured my daughter in 2016, it's the cat! They send me letters that have never come down to me and don't care if I received them. I imagine that the letters returned home and they never worried about it. So we thought you were insured! It is at the time of a water damage - caused by the above apartment - that they teach us that we are not insured! We have called and wrote many times to solve this problem. They do not bring any solution and do not recognize their mistakes.</v>
      </c>
    </row>
    <row r="100" ht="15.75" customHeight="1">
      <c r="B100" s="2" t="s">
        <v>350</v>
      </c>
      <c r="C100" s="2" t="s">
        <v>351</v>
      </c>
      <c r="D100" s="2" t="s">
        <v>151</v>
      </c>
      <c r="E100" s="2" t="s">
        <v>14</v>
      </c>
      <c r="F100" s="2" t="s">
        <v>15</v>
      </c>
      <c r="G100" s="2" t="s">
        <v>352</v>
      </c>
      <c r="H100" s="2" t="s">
        <v>27</v>
      </c>
      <c r="I100" s="2" t="str">
        <f>IFERROR(__xludf.DUMMYFUNCTION("GOOGLETRANSLATE(C100,""fr"",""en"")"),"I do not recommend to flee at all
Clearly they make this mock of us I received 14 € of failure costs to pay these costs correspond to the sending of the annual scale, that is to be sent to sending an eco -up envelope so less than € 2.
 So I wrote an ema"&amp;"il to them to have the details of these famous 14 € The also I had a very vague return corresponds to subscription costs I am already a member so what subscription costs I do not terminate fees of Modification of contract I do not modify anything brief go"&amp;" your way they clearly make money on your back.")</f>
        <v>I do not recommend to flee at all
Clearly they make this mock of us I received 14 € of failure costs to pay these costs correspond to the sending of the annual scale, that is to be sent to sending an eco -up envelope so less than € 2.
 So I wrote an email to them to have the details of these famous 14 € The also I had a very vague return corresponds to subscription costs I am already a member so what subscription costs I do not terminate fees of Modification of contract I do not modify anything brief go your way they clearly make money on your back.</v>
      </c>
    </row>
    <row r="101" ht="15.75" customHeight="1">
      <c r="B101" s="2" t="s">
        <v>353</v>
      </c>
      <c r="C101" s="2" t="s">
        <v>354</v>
      </c>
      <c r="D101" s="2" t="s">
        <v>151</v>
      </c>
      <c r="E101" s="2" t="s">
        <v>14</v>
      </c>
      <c r="F101" s="2" t="s">
        <v>15</v>
      </c>
      <c r="G101" s="2" t="s">
        <v>355</v>
      </c>
      <c r="H101" s="2" t="s">
        <v>31</v>
      </c>
      <c r="I101" s="2" t="str">
        <f>IFERROR(__xludf.DUMMYFUNCTION("GOOGLETRANSLATE(C101,""fr"",""en"")"),"Hello, I have been in Maif for over 20 years and I have never been to see elsewhere. The responsiveness of the maif in the event of a disaster is exemplary. I was the victim of an assault and all the interlocutors I had to do were sympathetic. I had the i"&amp;"mpression that they were at my service and did their best. I am waiting for a return to customer service because I was compensated below the value recommended by the expert because my contract dates from 2006 and had not been changed. On this subject it w"&amp;"ould be good to have the call of an advisor every year or 2 years in order to take stock of our heritage etc as Font Orange or SFR .... in other areas. I was before passing the expert insured for a 6 rooms while I have 5 for example ....")</f>
        <v>Hello, I have been in Maif for over 20 years and I have never been to see elsewhere. The responsiveness of the maif in the event of a disaster is exemplary. I was the victim of an assault and all the interlocutors I had to do were sympathetic. I had the impression that they were at my service and did their best. I am waiting for a return to customer service because I was compensated below the value recommended by the expert because my contract dates from 2006 and had not been changed. On this subject it would be good to have the call of an advisor every year or 2 years in order to take stock of our heritage etc as Font Orange or SFR .... in other areas. I was before passing the expert insured for a 6 rooms while I have 5 for example ....</v>
      </c>
    </row>
    <row r="102" ht="15.75" customHeight="1">
      <c r="B102" s="2" t="s">
        <v>356</v>
      </c>
      <c r="C102" s="2" t="s">
        <v>357</v>
      </c>
      <c r="D102" s="2" t="s">
        <v>151</v>
      </c>
      <c r="E102" s="2" t="s">
        <v>14</v>
      </c>
      <c r="F102" s="2" t="s">
        <v>15</v>
      </c>
      <c r="G102" s="2" t="s">
        <v>355</v>
      </c>
      <c r="H102" s="2" t="s">
        <v>31</v>
      </c>
      <c r="I102" s="2" t="str">
        <f>IFERROR(__xludf.DUMMYFUNCTION("GOOGLETRANSLATE(C102,""fr"",""en"")"),"Everything is done not to assume their responsibilities, more than doubtful practices when a claim arises ...")</f>
        <v>Everything is done not to assume their responsibilities, more than doubtful practices when a claim arises ...</v>
      </c>
    </row>
    <row r="103" ht="15.75" customHeight="1">
      <c r="B103" s="2" t="s">
        <v>358</v>
      </c>
      <c r="C103" s="2" t="s">
        <v>359</v>
      </c>
      <c r="D103" s="2" t="s">
        <v>151</v>
      </c>
      <c r="E103" s="2" t="s">
        <v>14</v>
      </c>
      <c r="F103" s="2" t="s">
        <v>15</v>
      </c>
      <c r="G103" s="2" t="s">
        <v>49</v>
      </c>
      <c r="H103" s="2" t="s">
        <v>46</v>
      </c>
      <c r="I103" s="2" t="str">
        <f>IFERROR(__xludf.DUMMYFUNCTION("GOOGLETRANSLATE(C103,""fr"",""en"")"),"Hello, we suffered a burglary with break -in at our home 6 months ago. The customer relations service all the time was present in our file and answered all our questions. The repairs at our home were fully supported apart from the deductible of course, an"&amp;"d the stolen jewelry was supported as much as possible what was possible with respect to our contract after expertise. Even if that was not enough to fill the flight, Maif was exemplary. I have been a member for 20 years and I have all my contracts, auto,"&amp;" motorcycles, homes and civil liability. When claims have taken place, we have always been treated with great understanding, listening, professionalism and responsiveness. It is true that Maif is not the cheapest insurance, without being the most expensiv"&amp;"e either, on the other hand in the event of a problem they are there and do not parade, they help you, listen to you and take you charge. I will not change insurance for sure. Thank you Maif.")</f>
        <v>Hello, we suffered a burglary with break -in at our home 6 months ago. The customer relations service all the time was present in our file and answered all our questions. The repairs at our home were fully supported apart from the deductible of course, and the stolen jewelry was supported as much as possible what was possible with respect to our contract after expertise. Even if that was not enough to fill the flight, Maif was exemplary. I have been a member for 20 years and I have all my contracts, auto, motorcycles, homes and civil liability. When claims have taken place, we have always been treated with great understanding, listening, professionalism and responsiveness. It is true that Maif is not the cheapest insurance, without being the most expensive either, on the other hand in the event of a problem they are there and do not parade, they help you, listen to you and take you charge. I will not change insurance for sure. Thank you Maif.</v>
      </c>
    </row>
    <row r="104" ht="15.75" customHeight="1">
      <c r="B104" s="2" t="s">
        <v>360</v>
      </c>
      <c r="C104" s="2" t="s">
        <v>361</v>
      </c>
      <c r="D104" s="2" t="s">
        <v>151</v>
      </c>
      <c r="E104" s="2" t="s">
        <v>14</v>
      </c>
      <c r="F104" s="2" t="s">
        <v>15</v>
      </c>
      <c r="G104" s="2" t="s">
        <v>362</v>
      </c>
      <c r="H104" s="2" t="s">
        <v>66</v>
      </c>
      <c r="I104" s="2" t="str">
        <f>IFERROR(__xludf.DUMMYFUNCTION("GOOGLETRANSLATE(C104,""fr"",""en"")"),"To flee. For home insurance, it has become horror: you leave your money and energy there. A real ordeal, whatever the place of residence. Mauvai Faith is now for maif and you can watch your sinister ceiling for several years without this posing the slight"&amp;"est problem. Even, maybe it suits it? I let you imagine in any case if your house takes fire. We will tell you that it was in ruins just before and the time that the experts spend and go back you can camp 5 or 6 years in the nearest park")</f>
        <v>To flee. For home insurance, it has become horror: you leave your money and energy there. A real ordeal, whatever the place of residence. Mauvai Faith is now for maif and you can watch your sinister ceiling for several years without this posing the slightest problem. Even, maybe it suits it? I let you imagine in any case if your house takes fire. We will tell you that it was in ruins just before and the time that the experts spend and go back you can camp 5 or 6 years in the nearest park</v>
      </c>
    </row>
    <row r="105" ht="15.75" customHeight="1">
      <c r="B105" s="2" t="s">
        <v>363</v>
      </c>
      <c r="C105" s="2" t="s">
        <v>364</v>
      </c>
      <c r="D105" s="2" t="s">
        <v>151</v>
      </c>
      <c r="E105" s="2" t="s">
        <v>14</v>
      </c>
      <c r="F105" s="2" t="s">
        <v>15</v>
      </c>
      <c r="G105" s="2" t="s">
        <v>365</v>
      </c>
      <c r="H105" s="2" t="s">
        <v>66</v>
      </c>
      <c r="I105" s="2" t="str">
        <f>IFERROR(__xludf.DUMMYFUNCTION("GOOGLETRANSLATE(C105,""fr"",""en"")"),"I leave the MAIF after 45 years of adhesion The quality of the service has considerably dropped by experts who do not diligence")</f>
        <v>I leave the MAIF after 45 years of adhesion The quality of the service has considerably dropped by experts who do not diligence</v>
      </c>
    </row>
    <row r="106" ht="15.75" customHeight="1">
      <c r="B106" s="2" t="s">
        <v>366</v>
      </c>
      <c r="C106" s="2" t="s">
        <v>367</v>
      </c>
      <c r="D106" s="2" t="s">
        <v>151</v>
      </c>
      <c r="E106" s="2" t="s">
        <v>14</v>
      </c>
      <c r="F106" s="2" t="s">
        <v>15</v>
      </c>
      <c r="G106" s="2" t="s">
        <v>368</v>
      </c>
      <c r="H106" s="2" t="s">
        <v>66</v>
      </c>
      <c r="I106" s="2" t="str">
        <f>IFERROR(__xludf.DUMMYFUNCTION("GOOGLETRANSLATE(C106,""fr"",""en"")"),"It is better when you do not need ... assured for more than 30 years at MAIF, it is neither fidelity nor the absence of a claim for years that creates the relationship of trust.")</f>
        <v>It is better when you do not need ... assured for more than 30 years at MAIF, it is neither fidelity nor the absence of a claim for years that creates the relationship of trust.</v>
      </c>
    </row>
    <row r="107" ht="15.75" customHeight="1">
      <c r="B107" s="2" t="s">
        <v>369</v>
      </c>
      <c r="C107" s="2" t="s">
        <v>370</v>
      </c>
      <c r="D107" s="2" t="s">
        <v>151</v>
      </c>
      <c r="E107" s="2" t="s">
        <v>14</v>
      </c>
      <c r="F107" s="2" t="s">
        <v>15</v>
      </c>
      <c r="G107" s="2" t="s">
        <v>371</v>
      </c>
      <c r="H107" s="2" t="s">
        <v>70</v>
      </c>
      <c r="I107" s="2" t="str">
        <f>IFERROR(__xludf.DUMMYFUNCTION("GOOGLETRANSLATE(C107,""fr"",""en"")"),"I let myself be tempted by Maif, because the parents' teachers of my ex-wife told me good. It was the bazaar in the files and there was never anyone to answer you properly. The contribution calls was wrong and billed vehicles or objects that I had pointed"&amp;" out that has not been possessing for sometimes 2 to 3 years. Tired of never obtaining correct amounts, I allowed myself to correct the amount on the annual check. Result: my guarantees were canceled without warning. I strongly recommend believing the wel"&amp;"l-meaning slogan of ""the militant insurer"".")</f>
        <v>I let myself be tempted by Maif, because the parents' teachers of my ex-wife told me good. It was the bazaar in the files and there was never anyone to answer you properly. The contribution calls was wrong and billed vehicles or objects that I had pointed out that has not been possessing for sometimes 2 to 3 years. Tired of never obtaining correct amounts, I allowed myself to correct the amount on the annual check. Result: my guarantees were canceled without warning. I strongly recommend believing the well-meaning slogan of "the militant insurer".</v>
      </c>
    </row>
    <row r="108" ht="15.75" customHeight="1">
      <c r="B108" s="2" t="s">
        <v>372</v>
      </c>
      <c r="C108" s="2" t="s">
        <v>373</v>
      </c>
      <c r="D108" s="2" t="s">
        <v>151</v>
      </c>
      <c r="E108" s="2" t="s">
        <v>14</v>
      </c>
      <c r="F108" s="2" t="s">
        <v>15</v>
      </c>
      <c r="G108" s="2" t="s">
        <v>69</v>
      </c>
      <c r="H108" s="2" t="s">
        <v>70</v>
      </c>
      <c r="I108" s="2" t="str">
        <f>IFERROR(__xludf.DUMMYFUNCTION("GOOGLETRANSLATE(C108,""fr"",""en"")"),"The prices increases. I have 3 contracts with them. I canceled that of the house due to moving. They billed me 9 euros in fence? I asked why. The person explained to me that it was for ink and paper? In addition, the rate of my body insurance has increase"&amp;"d since it was linked to the home insurance. Except, I took this insurance for all the risks of everyday life.")</f>
        <v>The prices increases. I have 3 contracts with them. I canceled that of the house due to moving. They billed me 9 euros in fence? I asked why. The person explained to me that it was for ink and paper? In addition, the rate of my body insurance has increased since it was linked to the home insurance. Except, I took this insurance for all the risks of everyday life.</v>
      </c>
    </row>
    <row r="109" ht="15.75" customHeight="1">
      <c r="B109" s="2" t="s">
        <v>374</v>
      </c>
      <c r="C109" s="2" t="s">
        <v>375</v>
      </c>
      <c r="D109" s="2" t="s">
        <v>151</v>
      </c>
      <c r="E109" s="2" t="s">
        <v>14</v>
      </c>
      <c r="F109" s="2" t="s">
        <v>15</v>
      </c>
      <c r="G109" s="2" t="s">
        <v>376</v>
      </c>
      <c r="H109" s="2" t="s">
        <v>74</v>
      </c>
      <c r="I109" s="2" t="str">
        <f>IFERROR(__xludf.DUMMYFUNCTION("GOOGLETRANSLATE(C109,""fr"",""en"")"),"Militant insurer yes but to escape its obligations. This insurer lives on a completely usurped reputation. I know what, I am talking about, from a family of teachers my grandparents and my parents were insured at La Maif. The house of my mom was the subje"&amp;"ct of the 2001 picardy floods, Catnat arrest and Loaded by the MAIF of the rehabilitation work of the paving which had sunk in the Ameubli terrain. Then the paving was gradually rebuilt because the work had been insufficient. We seized the MAIF which neve"&amp;"r wanted to recognize the link between the two events! I had to a trial and I had to face lawyers expert in dilatory maneuvers who have succeeded in reaching foreclosure deadlines. Result my mom died before seeing her house repaired, her house is worth no"&amp;"thing and all that has spoiled her end of life ... I have no words to describe the anger that I feel in front of such maneuvers. On the other hand, the MAIF had no state of soul to ensure the movable property of an elderly person, mom, having lost a littl"&amp;"e head for more than 100,000 euros, there must be 500 euros in furniture at home! No advice obligation is mind -blowing. I dissuade anyone from contacting them, in the event of a serious glitch this mutual will be your opponent!")</f>
        <v>Militant insurer yes but to escape its obligations. This insurer lives on a completely usurped reputation. I know what, I am talking about, from a family of teachers my grandparents and my parents were insured at La Maif. The house of my mom was the subject of the 2001 picardy floods, Catnat arrest and Loaded by the MAIF of the rehabilitation work of the paving which had sunk in the Ameubli terrain. Then the paving was gradually rebuilt because the work had been insufficient. We seized the MAIF which never wanted to recognize the link between the two events! I had to a trial and I had to face lawyers expert in dilatory maneuvers who have succeeded in reaching foreclosure deadlines. Result my mom died before seeing her house repaired, her house is worth nothing and all that has spoiled her end of life ... I have no words to describe the anger that I feel in front of such maneuvers. On the other hand, the MAIF had no state of soul to ensure the movable property of an elderly person, mom, having lost a little head for more than 100,000 euros, there must be 500 euros in furniture at home! No advice obligation is mind -blowing. I dissuade anyone from contacting them, in the event of a serious glitch this mutual will be your opponent!</v>
      </c>
    </row>
    <row r="110" ht="15.75" customHeight="1">
      <c r="B110" s="2" t="s">
        <v>377</v>
      </c>
      <c r="C110" s="2" t="s">
        <v>378</v>
      </c>
      <c r="D110" s="2" t="s">
        <v>151</v>
      </c>
      <c r="E110" s="2" t="s">
        <v>14</v>
      </c>
      <c r="F110" s="2" t="s">
        <v>15</v>
      </c>
      <c r="G110" s="2" t="s">
        <v>379</v>
      </c>
      <c r="H110" s="2" t="s">
        <v>74</v>
      </c>
      <c r="I110" s="2" t="str">
        <f>IFERROR(__xludf.DUMMYFUNCTION("GOOGLETRANSLATE(C110,""fr"",""en"")"),"We have had a water damage, time of care for more than 3 months. A Texa expert came to noted the water damage by saying that it was not a damage that required the rehousing that there was only embellishment work ... (or the water flows from the electrical"&amp;" application, Many mushrooms are pushed and the ambient area is unbreathable. Two days later are departure, the ceiling collapsed we found our apartment with 1cm of water all the floor. We were released urgent for 7 days while The expert iron only, he is "&amp;"not ironed and today nothing we are on the street ...")</f>
        <v>We have had a water damage, time of care for more than 3 months. A Texa expert came to noted the water damage by saying that it was not a damage that required the rehousing that there was only embellishment work ... (or the water flows from the electrical application, Many mushrooms are pushed and the ambient area is unbreathable. Two days later are departure, the ceiling collapsed we found our apartment with 1cm of water all the floor. We were released urgent for 7 days while The expert iron only, he is not ironed and today nothing we are on the street ...</v>
      </c>
    </row>
    <row r="111" ht="15.75" customHeight="1">
      <c r="B111" s="2" t="s">
        <v>380</v>
      </c>
      <c r="C111" s="2" t="s">
        <v>381</v>
      </c>
      <c r="D111" s="2" t="s">
        <v>151</v>
      </c>
      <c r="E111" s="2" t="s">
        <v>14</v>
      </c>
      <c r="F111" s="2" t="s">
        <v>15</v>
      </c>
      <c r="G111" s="2" t="s">
        <v>382</v>
      </c>
      <c r="H111" s="2" t="s">
        <v>81</v>
      </c>
      <c r="I111" s="2" t="str">
        <f>IFERROR(__xludf.DUMMYFUNCTION("GOOGLETRANSLATE(C111,""fr"",""en"")"),"No way for customers over 20 years old")</f>
        <v>No way for customers over 20 years old</v>
      </c>
    </row>
    <row r="112" ht="15.75" customHeight="1">
      <c r="B112" s="2" t="s">
        <v>383</v>
      </c>
      <c r="C112" s="2" t="s">
        <v>384</v>
      </c>
      <c r="D112" s="2" t="s">
        <v>151</v>
      </c>
      <c r="E112" s="2" t="s">
        <v>14</v>
      </c>
      <c r="F112" s="2" t="s">
        <v>15</v>
      </c>
      <c r="G112" s="2" t="s">
        <v>382</v>
      </c>
      <c r="H112" s="2" t="s">
        <v>81</v>
      </c>
      <c r="I112" s="2" t="str">
        <f>IFERROR(__xludf.DUMMYFUNCTION("GOOGLETRANSLATE(C112,""fr"",""en"")"),"Listening to customers, good search for solutions, rigorous follow -up of files, good reception friendliness, compassion, availability of customer advisers;")</f>
        <v>Listening to customers, good search for solutions, rigorous follow -up of files, good reception friendliness, compassion, availability of customer advisers;</v>
      </c>
    </row>
    <row r="113" ht="15.75" customHeight="1">
      <c r="B113" s="2" t="s">
        <v>385</v>
      </c>
      <c r="C113" s="2" t="s">
        <v>386</v>
      </c>
      <c r="D113" s="2" t="s">
        <v>151</v>
      </c>
      <c r="E113" s="2" t="s">
        <v>14</v>
      </c>
      <c r="F113" s="2" t="s">
        <v>15</v>
      </c>
      <c r="G113" s="2" t="s">
        <v>387</v>
      </c>
      <c r="H113" s="2" t="s">
        <v>85</v>
      </c>
      <c r="I113" s="2" t="str">
        <f>IFERROR(__xludf.DUMMYFUNCTION("GOOGLETRANSLATE(C113,""fr"",""en"")"),"Insured at MAIF for more than 20 years and without disaster, I note that the ""militant"" insurer seems not to consider his members or rather show extreme bad liver as to the damage to compensate. A member victim on two levels on the one hand of poor work"&amp;"manship of a craftsman and on the other hand of bad liver on the part of an insurer supposedly mutualist ....")</f>
        <v>Insured at MAIF for more than 20 years and without disaster, I note that the "militant" insurer seems not to consider his members or rather show extreme bad liver as to the damage to compensate. A member victim on two levels on the one hand of poor workmanship of a craftsman and on the other hand of bad liver on the part of an insurer supposedly mutualist ....</v>
      </c>
    </row>
    <row r="114" ht="15.75" customHeight="1">
      <c r="B114" s="2" t="s">
        <v>388</v>
      </c>
      <c r="C114" s="2" t="s">
        <v>389</v>
      </c>
      <c r="D114" s="2" t="s">
        <v>151</v>
      </c>
      <c r="E114" s="2" t="s">
        <v>14</v>
      </c>
      <c r="F114" s="2" t="s">
        <v>15</v>
      </c>
      <c r="G114" s="2" t="s">
        <v>390</v>
      </c>
      <c r="H114" s="2" t="s">
        <v>391</v>
      </c>
      <c r="I114" s="2" t="str">
        <f>IFERROR(__xludf.DUMMYFUNCTION("GOOGLETRANSLATE(C114,""fr"",""en"")"),"After the storm, a tree of my garden landed on my neighbor's house then slipped on the fence and mainly fell on the other side of the fence. A craftsman intervened quickly to clear the tree and avoid additional possible damage. I prepared the file and at "&amp;"the request of Maif I added many photos there. Here is the answer :
""You will want to ask the craftsman who intervened to encrypt in detail the part represented by the debitage of the tree fallen on the fence and the house of your neighbor"".
1. The ph"&amp;"otos I sent are useless if not to show how Maif is serous and professional.
2. A 15-20m tree falls, how much M3, meters, branches,… fell on the neighbor's side? The craftsman, 3 months after the intervention, has the right to refuse to spend his time fil"&amp;"ling out the files and making learned calculations, it is not his job and in this case Maif has the right to reimburse anything. Good game.
Prevent it from reimbursement or reimburse the least and as late as possible is a job in which the ridicule does n"&amp;"ot kill it brings.
Maif is indeed a large activist for his bank account.
")</f>
        <v>After the storm, a tree of my garden landed on my neighbor's house then slipped on the fence and mainly fell on the other side of the fence. A craftsman intervened quickly to clear the tree and avoid additional possible damage. I prepared the file and at the request of Maif I added many photos there. Here is the answer :
"You will want to ask the craftsman who intervened to encrypt in detail the part represented by the debitage of the tree fallen on the fence and the house of your neighbor".
1. The photos I sent are useless if not to show how Maif is serous and professional.
2. A 15-20m tree falls, how much M3, meters, branches,… fell on the neighbor's side? The craftsman, 3 months after the intervention, has the right to refuse to spend his time filling out the files and making learned calculations, it is not his job and in this case Maif has the right to reimburse anything. Good game.
Prevent it from reimbursement or reimburse the least and as late as possible is a job in which the ridicule does not kill it brings.
Maif is indeed a large activist for his bank account.
</v>
      </c>
    </row>
    <row r="115" ht="15.75" customHeight="1">
      <c r="B115" s="2" t="s">
        <v>392</v>
      </c>
      <c r="C115" s="2" t="s">
        <v>393</v>
      </c>
      <c r="D115" s="2" t="s">
        <v>151</v>
      </c>
      <c r="E115" s="2" t="s">
        <v>14</v>
      </c>
      <c r="F115" s="2" t="s">
        <v>15</v>
      </c>
      <c r="G115" s="2" t="s">
        <v>394</v>
      </c>
      <c r="H115" s="2" t="s">
        <v>395</v>
      </c>
      <c r="I115" s="2" t="str">
        <f>IFERROR(__xludf.DUMMYFUNCTION("GOOGLETRANSLATE(C115,""fr"",""en"")"),"Member for over 30 years; The service has deteriorated a lot. For the slightest problem of stripping of water, we are dealing with a platform made up with an unknown personnel and never the same people, who considers solutions unsuitable for the problems "&amp;"encountered, drag the procedure and ensure the interests of insurance, But not those of the member.")</f>
        <v>Member for over 30 years; The service has deteriorated a lot. For the slightest problem of stripping of water, we are dealing with a platform made up with an unknown personnel and never the same people, who considers solutions unsuitable for the problems encountered, drag the procedure and ensure the interests of insurance, But not those of the member.</v>
      </c>
    </row>
    <row r="116" ht="15.75" customHeight="1">
      <c r="B116" s="2" t="s">
        <v>396</v>
      </c>
      <c r="C116" s="2" t="s">
        <v>397</v>
      </c>
      <c r="D116" s="2" t="s">
        <v>151</v>
      </c>
      <c r="E116" s="2" t="s">
        <v>14</v>
      </c>
      <c r="F116" s="2" t="s">
        <v>15</v>
      </c>
      <c r="G116" s="2" t="s">
        <v>398</v>
      </c>
      <c r="H116" s="2" t="s">
        <v>395</v>
      </c>
      <c r="I116" s="2" t="str">
        <f>IFERROR(__xludf.DUMMYFUNCTION("GOOGLETRANSLATE(C116,""fr"",""en"")"),"On paper it's good, in real life it is less idyllic. For the first time, following a degradation of a tier on a new property (supported invoice), insurance has never and I never say to contact the tier. It is by force that they ended up that they ended up"&amp;" sending an email more than a month after the declaration of the disaster. Then nothing. I call insurance again. No follow -up, no follow -up, no hope to be compensated. To this, the assurance informs me that they have no obligation of result. Interesting"&amp;" because this implies that a third party is not forced to respond and pay. As for the disaster victim, too bad for her. In other words, insurance is not used for much.")</f>
        <v>On paper it's good, in real life it is less idyllic. For the first time, following a degradation of a tier on a new property (supported invoice), insurance has never and I never say to contact the tier. It is by force that they ended up that they ended up sending an email more than a month after the declaration of the disaster. Then nothing. I call insurance again. No follow -up, no follow -up, no hope to be compensated. To this, the assurance informs me that they have no obligation of result. Interesting because this implies that a third party is not forced to respond and pay. As for the disaster victim, too bad for her. In other words, insurance is not used for much.</v>
      </c>
    </row>
    <row r="117" ht="15.75" customHeight="1">
      <c r="B117" s="2" t="s">
        <v>399</v>
      </c>
      <c r="C117" s="2" t="s">
        <v>400</v>
      </c>
      <c r="D117" s="2" t="s">
        <v>151</v>
      </c>
      <c r="E117" s="2" t="s">
        <v>14</v>
      </c>
      <c r="F117" s="2" t="s">
        <v>15</v>
      </c>
      <c r="G117" s="2" t="s">
        <v>401</v>
      </c>
      <c r="H117" s="2" t="s">
        <v>402</v>
      </c>
      <c r="I117" s="2" t="str">
        <f>IFERROR(__xludf.DUMMYFUNCTION("GOOGLETRANSLATE(C117,""fr"",""en"")"),"I have always been insured at the Maif never any problem.")</f>
        <v>I have always been insured at the Maif never any problem.</v>
      </c>
    </row>
    <row r="118" ht="15.75" customHeight="1">
      <c r="B118" s="2" t="s">
        <v>403</v>
      </c>
      <c r="C118" s="2" t="s">
        <v>404</v>
      </c>
      <c r="D118" s="2" t="s">
        <v>151</v>
      </c>
      <c r="E118" s="2" t="s">
        <v>14</v>
      </c>
      <c r="F118" s="2" t="s">
        <v>15</v>
      </c>
      <c r="G118" s="2" t="s">
        <v>405</v>
      </c>
      <c r="H118" s="2" t="s">
        <v>402</v>
      </c>
      <c r="I118" s="2" t="str">
        <f>IFERROR(__xludf.DUMMYFUNCTION("GOOGLETRANSLATE(C118,""fr"",""en"")"),"Following a disaster, the MAIF first does everything to try not to take care of the file (this part is the responsibility of the building when it is not the case), then requests certificates from the trustee of Co -ownership to finally leave ""in plan"" h"&amp;"is member (manage to find a business to establish the quote). First experience with MAIF and it will be the last.")</f>
        <v>Following a disaster, the MAIF first does everything to try not to take care of the file (this part is the responsibility of the building when it is not the case), then requests certificates from the trustee of Co -ownership to finally leave "in plan" his member (manage to find a business to establish the quote). First experience with MAIF and it will be the last.</v>
      </c>
    </row>
    <row r="119" ht="15.75" customHeight="1">
      <c r="B119" s="2" t="s">
        <v>406</v>
      </c>
      <c r="C119" s="2" t="s">
        <v>407</v>
      </c>
      <c r="D119" s="2" t="s">
        <v>151</v>
      </c>
      <c r="E119" s="2" t="s">
        <v>14</v>
      </c>
      <c r="F119" s="2" t="s">
        <v>15</v>
      </c>
      <c r="G119" s="2" t="s">
        <v>408</v>
      </c>
      <c r="H119" s="2" t="s">
        <v>409</v>
      </c>
      <c r="I119" s="2" t="str">
        <f>IFERROR(__xludf.DUMMYFUNCTION("GOOGLETRANSLATE(C119,""fr"",""en"")"),"Two files in progress at Maif, a laying of shutters and a grid closing installation")</f>
        <v>Two files in progress at Maif, a laying of shutters and a grid closing installation</v>
      </c>
    </row>
    <row r="120" ht="15.75" customHeight="1">
      <c r="B120" s="2" t="s">
        <v>410</v>
      </c>
      <c r="C120" s="2" t="s">
        <v>411</v>
      </c>
      <c r="D120" s="2" t="s">
        <v>151</v>
      </c>
      <c r="E120" s="2" t="s">
        <v>14</v>
      </c>
      <c r="F120" s="2" t="s">
        <v>15</v>
      </c>
      <c r="G120" s="2" t="s">
        <v>409</v>
      </c>
      <c r="H120" s="2" t="s">
        <v>409</v>
      </c>
      <c r="I120" s="2" t="str">
        <f>IFERROR(__xludf.DUMMYFUNCTION("GOOGLETRANSLATE(C120,""fr"",""en"")"),"Latable customer service")</f>
        <v>Latable customer service</v>
      </c>
    </row>
    <row r="121" ht="15.75" customHeight="1">
      <c r="B121" s="2" t="s">
        <v>412</v>
      </c>
      <c r="C121" s="2" t="s">
        <v>413</v>
      </c>
      <c r="D121" s="2" t="s">
        <v>151</v>
      </c>
      <c r="E121" s="2" t="s">
        <v>14</v>
      </c>
      <c r="F121" s="2" t="s">
        <v>15</v>
      </c>
      <c r="G121" s="2" t="s">
        <v>414</v>
      </c>
      <c r="H121" s="2" t="s">
        <v>92</v>
      </c>
      <c r="I121" s="2" t="str">
        <f>IFERROR(__xludf.DUMMYFUNCTION("GOOGLETRANSLATE(C121,""fr"",""en"")"),"Insured for more than 30 years to the Maifa, very decided by a sinister break in ice supposedly suite thermal shock following expertise and pending acceptance supported by the MAIF. I have been able to judge the incompetence of certain expertise firms who"&amp;" work with Maifice Nice, especially in the building and who not only doubt the speech of the insured but who following contradictory expertise, prefer to follow the decision of the opposing expert ... maybe it should be that the maïf works with competent "&amp;"experts.")</f>
        <v>Insured for more than 30 years to the Maifa, very decided by a sinister break in ice supposedly suite thermal shock following expertise and pending acceptance supported by the MAIF. I have been able to judge the incompetence of certain expertise firms who work with Maifice Nice, especially in the building and who not only doubt the speech of the insured but who following contradictory expertise, prefer to follow the decision of the opposing expert ... maybe it should be that the maïf works with competent experts.</v>
      </c>
    </row>
    <row r="122" ht="15.75" customHeight="1">
      <c r="B122" s="2" t="s">
        <v>415</v>
      </c>
      <c r="C122" s="2" t="s">
        <v>416</v>
      </c>
      <c r="D122" s="2" t="s">
        <v>151</v>
      </c>
      <c r="E122" s="2" t="s">
        <v>14</v>
      </c>
      <c r="F122" s="2" t="s">
        <v>15</v>
      </c>
      <c r="G122" s="2" t="s">
        <v>91</v>
      </c>
      <c r="H122" s="2" t="s">
        <v>92</v>
      </c>
      <c r="I122" s="2" t="str">
        <f>IFERROR(__xludf.DUMMYFUNCTION("GOOGLETRANSLATE(C122,""fr"",""en"")"),"I had two files with the MAIF in less than a year. A first dispute with Carrefour following the purchase of a camera supposed to go under the water which values ​​to spoil my vacation in Mauritius. I had bought this device to make my dream come true: phot"&amp;"ograph the whales. Mademoiselle Cleilia C. de la Maif de Versailles was so pugnacious in the context of my legal assistance that I obtained the reimbursement and an amount for my damage. For my second file, or a Madame Nathalie D. took over it was exactly"&amp;" the same thing. Water damage very well followed, maximum understanding. My disputes are finished and I am very satisfied I could not fall better in case of problems. The staff of the Paris delegation (I did not retain everyone's first name) is very frien"&amp;"dly and always listening. Thank you Maif. Thank you for everything.")</f>
        <v>I had two files with the MAIF in less than a year. A first dispute with Carrefour following the purchase of a camera supposed to go under the water which values ​​to spoil my vacation in Mauritius. I had bought this device to make my dream come true: photograph the whales. Mademoiselle Cleilia C. de la Maif de Versailles was so pugnacious in the context of my legal assistance that I obtained the reimbursement and an amount for my damage. For my second file, or a Madame Nathalie D. took over it was exactly the same thing. Water damage very well followed, maximum understanding. My disputes are finished and I am very satisfied I could not fall better in case of problems. The staff of the Paris delegation (I did not retain everyone's first name) is very friendly and always listening. Thank you Maif. Thank you for everything.</v>
      </c>
    </row>
    <row r="123" ht="15.75" customHeight="1">
      <c r="B123" s="2" t="s">
        <v>417</v>
      </c>
      <c r="C123" s="2" t="s">
        <v>418</v>
      </c>
      <c r="D123" s="2" t="s">
        <v>151</v>
      </c>
      <c r="E123" s="2" t="s">
        <v>14</v>
      </c>
      <c r="F123" s="2" t="s">
        <v>15</v>
      </c>
      <c r="G123" s="2" t="s">
        <v>419</v>
      </c>
      <c r="H123" s="2" t="s">
        <v>92</v>
      </c>
      <c r="I123" s="2" t="str">
        <f>IFERROR(__xludf.DUMMYFUNCTION("GOOGLETRANSLATE(C123,""fr"",""en"")"),"I have just received an AR from the director of the maif, informing that I am struck off for reasons of bad relationships this gentleman did not appreciate that I express my dissatisfaction with their way of dealing with my problems 4 Degates of waters du"&amp;"e to the neighbor from above me I never caused the slightest disorder or problem to this insurer I believe that it is simply a shabby pretext given that it cannot blame me for being a bad A member. The most lamentable is that this insurer never attacked m"&amp;"y neighbor, the one who continues to cause me to the waters of the waters. He is quiet. I am guilty of having been 4 times innondee by my neighbor. So they had to find a pretext to get rid of me! It's abusive! All my mail attests to it. Of all evidences, "&amp;"I should have paid, be assured, and accept this water damage repeatedly without saying anything, and gently wait for the water to fall from my ceiling without saying anything? My double ceiling was ""collapsed"" 4 times !!! Under the weight of the water !"&amp;"! that is fun of it .. I am expensive?")</f>
        <v>I have just received an AR from the director of the maif, informing that I am struck off for reasons of bad relationships this gentleman did not appreciate that I express my dissatisfaction with their way of dealing with my problems 4 Degates of waters due to the neighbor from above me I never caused the slightest disorder or problem to this insurer I believe that it is simply a shabby pretext given that it cannot blame me for being a bad A member. The most lamentable is that this insurer never attacked my neighbor, the one who continues to cause me to the waters of the waters. He is quiet. I am guilty of having been 4 times innondee by my neighbor. So they had to find a pretext to get rid of me! It's abusive! All my mail attests to it. Of all evidences, I should have paid, be assured, and accept this water damage repeatedly without saying anything, and gently wait for the water to fall from my ceiling without saying anything? My double ceiling was "collapsed" 4 times !!! Under the weight of the water !! that is fun of it .. I am expensive?</v>
      </c>
    </row>
    <row r="124" ht="15.75" customHeight="1">
      <c r="B124" s="2" t="s">
        <v>420</v>
      </c>
      <c r="C124" s="2" t="s">
        <v>421</v>
      </c>
      <c r="D124" s="2" t="s">
        <v>151</v>
      </c>
      <c r="E124" s="2" t="s">
        <v>14</v>
      </c>
      <c r="F124" s="2" t="s">
        <v>15</v>
      </c>
      <c r="G124" s="2" t="s">
        <v>422</v>
      </c>
      <c r="H124" s="2" t="s">
        <v>96</v>
      </c>
      <c r="I124" s="2" t="str">
        <f>IFERROR(__xludf.DUMMYFUNCTION("GOOGLETRANSLATE(C124,""fr"",""en"")"),"am fired after more than 20 years of subscription because I dared to take charge of legal protection - shameful this case - fired for supposedly: altered commercial relationship")</f>
        <v>am fired after more than 20 years of subscription because I dared to take charge of legal protection - shameful this case - fired for supposedly: altered commercial relationship</v>
      </c>
    </row>
    <row r="125" ht="15.75" customHeight="1">
      <c r="B125" s="2" t="s">
        <v>423</v>
      </c>
      <c r="C125" s="2" t="s">
        <v>424</v>
      </c>
      <c r="D125" s="2" t="s">
        <v>151</v>
      </c>
      <c r="E125" s="2" t="s">
        <v>14</v>
      </c>
      <c r="F125" s="2" t="s">
        <v>15</v>
      </c>
      <c r="G125" s="2" t="s">
        <v>425</v>
      </c>
      <c r="H125" s="2" t="s">
        <v>96</v>
      </c>
      <c r="I125" s="2" t="str">
        <f>IFERROR(__xludf.DUMMYFUNCTION("GOOGLETRANSLATE(C125,""fr"",""en"")"),"15 years of insurance, never a single payment incident and they saw me for no reason or explanation. Run away")</f>
        <v>15 years of insurance, never a single payment incident and they saw me for no reason or explanation. Run away</v>
      </c>
    </row>
    <row r="126" ht="15.75" customHeight="1">
      <c r="B126" s="2" t="s">
        <v>426</v>
      </c>
      <c r="C126" s="2" t="s">
        <v>427</v>
      </c>
      <c r="D126" s="2" t="s">
        <v>151</v>
      </c>
      <c r="E126" s="2" t="s">
        <v>14</v>
      </c>
      <c r="F126" s="2" t="s">
        <v>15</v>
      </c>
      <c r="G126" s="2" t="s">
        <v>428</v>
      </c>
      <c r="H126" s="2" t="s">
        <v>96</v>
      </c>
      <c r="I126" s="2" t="str">
        <f>IFERROR(__xludf.DUMMYFUNCTION("GOOGLETRANSLATE(C126,""fr"",""en"")"),"I have just informed myself of the continuation given to the damage of the waters of mid-August of which I am the victim. For which an expert came 2 months later ........")</f>
        <v>I have just informed myself of the continuation given to the damage of the waters of mid-August of which I am the victim. For which an expert came 2 months later ........</v>
      </c>
    </row>
    <row r="127" ht="15.75" customHeight="1">
      <c r="B127" s="2" t="s">
        <v>429</v>
      </c>
      <c r="C127" s="2" t="s">
        <v>430</v>
      </c>
      <c r="D127" s="2" t="s">
        <v>151</v>
      </c>
      <c r="E127" s="2" t="s">
        <v>14</v>
      </c>
      <c r="F127" s="2" t="s">
        <v>15</v>
      </c>
      <c r="G127" s="2" t="s">
        <v>431</v>
      </c>
      <c r="H127" s="2" t="s">
        <v>96</v>
      </c>
      <c r="I127" s="2" t="str">
        <f>IFERROR(__xludf.DUMMYFUNCTION("GOOGLETRANSLATE(C127,""fr"",""en"")"),"The maif has just called me by telling me that he made me a ""warning"" because I had 9 declaration in 3 years including 1 single compensated by them !! I find this process scandalous and despicable !!!")</f>
        <v>The maif has just called me by telling me that he made me a "warning" because I had 9 declaration in 3 years including 1 single compensated by them !! I find this process scandalous and despicable !!!</v>
      </c>
    </row>
    <row r="128" ht="15.75" customHeight="1">
      <c r="B128" s="2" t="s">
        <v>432</v>
      </c>
      <c r="C128" s="2" t="s">
        <v>433</v>
      </c>
      <c r="D128" s="2" t="s">
        <v>151</v>
      </c>
      <c r="E128" s="2" t="s">
        <v>14</v>
      </c>
      <c r="F128" s="2" t="s">
        <v>15</v>
      </c>
      <c r="G128" s="2" t="s">
        <v>434</v>
      </c>
      <c r="H128" s="2" t="s">
        <v>96</v>
      </c>
      <c r="I128" s="2" t="str">
        <f>IFERROR(__xludf.DUMMYFUNCTION("GOOGLETRANSLATE(C128,""fr"",""en"")"),"Currently insured for 8 years, but more for a long time, I am outraged to see how my file is managed.
First of all, the ""expert"" undervalued the amount of repairs € 785.20 for the paint and paper repair of a 27 m² room.
I had the stupidity of asking"&amp;" only partial repair: a section of wall and all the ceiling (there, there is no choice). I obtained a quote at € 1,090 communicated in March. In early April, I receive a transfer of € 628.16. I don't understand anything and calls Maif. They tell me that t"&amp;"his corresponds to the amount encrypted by the expert (on piece (Càd on photo) since he never moved) deduction made of a so-called franchise of € 157.04. It turns out that this information is false and that it would in fact be a dilapidated before having "&amp;"returned to me on presentation of the invoice, according to the same manager, who was not shocked to assert me at the Prerequisite that this amount with cents was a franchise….
I dispute the evaluation and especially their reproach for having proceeded"&amp;" to a transfer without letting me the choice to resort to an approved craftsman. I therefore ask them to review the costing or mission someone after I reimbursed them for the amount dismissed without asking me for my opinion.
The file manager pretends "&amp;"to revise the quote by the expert and then opposes a refusal. I ask for an expertise on site; It refuses on the grounds that it would cost as much as the difference between my quote (1,100) and the amount estimated by the expert (700).
I then ask that "&amp;"she communicates the contact details of approved craftsmen. Radio silence.
A lawyer intervenes. In mid-July 2017 (remember all of this started in early March 2017, the manager in her great kindness finally gives us names of approved companies (not very c"&amp;"lose to my home, of course ...) or leaves me the opportunity to perceive The amount of the estimate of March 2017.
I contact the craftsman who refuses to intervene, his company has changed status, he has bigger projects and no longer has time ... In sh"&amp;"ort, I finally have enough to pay it but he does not want to intervene.
I redo quotes but specifying that insurance does not want to pay a total recovery and will only pay € 1,000.
Many do not even move or refuse to make me a quote, other figures at"&amp;" € 1,900 per partial recovery or between 4 and 6000 € per total recovery.
Desperate, I ask my lawyer if it is possible that insurance accepts to pay the sum of € 1,600 estimated in the meantime not the expert for a total recovery, in order to amortize "&amp;"the only quote almost in Nails at € 1,900 (for partial recovery only).
There, the manager, manager of all this bazaar is offended and does not understand why I do not involve the starting craftsman, who remember no longer wants to intervene more than 4"&amp;" months after his quote. And worse still, accuses me of having perceived unduly, thief that I am, the franchise that she would have supposedly reimbursed! Yes, we are talking about the franchise, which is not one but of dilapidation ...
However, I have n"&amp;"ever received either the sum of € 125 or the sum of € 157.04. This lady who does not know her file and causes me prejudice now accuses me of erroneous things, which is easily proved (no transfer ...). Given her skills, perhaps she turned this sum to a hap"&amp;"py beneficiary….
It is impossible to have another interlocutor than the person who ruined my file and has caused me from the hassle since March 2017 because of their interference.
When you know that some people receive € 1,000 for a 1 m² toilet cabi"&amp;"net and that when you want to be honest by making a partial repair and therefore at a lower cost of a 27 m² room, we are rotten like that … It is shameful ! I am disgusted, I have no more words ...
It's decided, I'm going to see elsewhere if I'm there!")</f>
        <v>Currently insured for 8 years, but more for a long time, I am outraged to see how my file is managed.
First of all, the "expert" undervalued the amount of repairs € 785.20 for the paint and paper repair of a 27 m² room.
I had the stupidity of asking only partial repair: a section of wall and all the ceiling (there, there is no choice). I obtained a quote at € 1,090 communicated in March. In early April, I receive a transfer of € 628.16. I don't understand anything and calls Maif. They tell me that this corresponds to the amount encrypted by the expert (on piece (Càd on photo) since he never moved) deduction made of a so-called franchise of € 157.04. It turns out that this information is false and that it would in fact be a dilapidated before having returned to me on presentation of the invoice, according to the same manager, who was not shocked to assert me at the Prerequisite that this amount with cents was a franchise….
I dispute the evaluation and especially their reproach for having proceeded to a transfer without letting me the choice to resort to an approved craftsman. I therefore ask them to review the costing or mission someone after I reimbursed them for the amount dismissed without asking me for my opinion.
The file manager pretends to revise the quote by the expert and then opposes a refusal. I ask for an expertise on site; It refuses on the grounds that it would cost as much as the difference between my quote (1,100) and the amount estimated by the expert (700).
I then ask that she communicates the contact details of approved craftsmen. Radio silence.
A lawyer intervenes. In mid-July 2017 (remember all of this started in early March 2017, the manager in her great kindness finally gives us names of approved companies (not very close to my home, of course ...) or leaves me the opportunity to perceive The amount of the estimate of March 2017.
I contact the craftsman who refuses to intervene, his company has changed status, he has bigger projects and no longer has time ... In short, I finally have enough to pay it but he does not want to intervene.
I redo quotes but specifying that insurance does not want to pay a total recovery and will only pay € 1,000.
Many do not even move or refuse to make me a quote, other figures at € 1,900 per partial recovery or between 4 and 6000 € per total recovery.
Desperate, I ask my lawyer if it is possible that insurance accepts to pay the sum of € 1,600 estimated in the meantime not the expert for a total recovery, in order to amortize the only quote almost in Nails at € 1,900 (for partial recovery only).
There, the manager, manager of all this bazaar is offended and does not understand why I do not involve the starting craftsman, who remember no longer wants to intervene more than 4 months after his quote. And worse still, accuses me of having perceived unduly, thief that I am, the franchise that she would have supposedly reimbursed! Yes, we are talking about the franchise, which is not one but of dilapidation ...
However, I have never received either the sum of € 125 or the sum of € 157.04. This lady who does not know her file and causes me prejudice now accuses me of erroneous things, which is easily proved (no transfer ...). Given her skills, perhaps she turned this sum to a happy beneficiary….
It is impossible to have another interlocutor than the person who ruined my file and has caused me from the hassle since March 2017 because of their interference.
When you know that some people receive € 1,000 for a 1 m² toilet cabinet and that when you want to be honest by making a partial repair and therefore at a lower cost of a 27 m² room, we are rotten like that … It is shameful ! I am disgusted, I have no more words ...
It's decided, I'm going to see elsewhere if I'm there!</v>
      </c>
    </row>
    <row r="129" ht="15.75" customHeight="1">
      <c r="B129" s="2" t="s">
        <v>435</v>
      </c>
      <c r="C129" s="2" t="s">
        <v>436</v>
      </c>
      <c r="D129" s="2" t="s">
        <v>151</v>
      </c>
      <c r="E129" s="2" t="s">
        <v>14</v>
      </c>
      <c r="F129" s="2" t="s">
        <v>15</v>
      </c>
      <c r="G129" s="2" t="s">
        <v>437</v>
      </c>
      <c r="H129" s="2" t="s">
        <v>106</v>
      </c>
      <c r="I129" s="2" t="str">
        <f>IFERROR(__xludf.DUMMYFUNCTION("GOOGLETRANSLATE(C129,""fr"",""en"")"),"I have residential insurance ""serenity"" formula. Having a solar thermal heating installation and following multiple negligence on the interview, I made a declaration to the MAIF: 8 months of constitution of file, ultimately designation of an expert spec"&amp;"ialist in art work to which it was necessary Explain the functioning of solar thermal! It took 5 months to have the report that challenges all the stakeholders. I was offered to enter the judiciary for around 12,000 euros in reparation which I refused giv"&amp;"en the slowness of justice ... The MAIF prefers to pay 25,000 euros in lawyers rather than paying the litigation amicably. I feel it as an abandonment on the part of the MAIF. No allowances! All the repairs remaining at my charge. Useless serenity insuran"&amp;"ce!")</f>
        <v>I have residential insurance "serenity" formula. Having a solar thermal heating installation and following multiple negligence on the interview, I made a declaration to the MAIF: 8 months of constitution of file, ultimately designation of an expert specialist in art work to which it was necessary Explain the functioning of solar thermal! It took 5 months to have the report that challenges all the stakeholders. I was offered to enter the judiciary for around 12,000 euros in reparation which I refused given the slowness of justice ... The MAIF prefers to pay 25,000 euros in lawyers rather than paying the litigation amicably. I feel it as an abandonment on the part of the MAIF. No allowances! All the repairs remaining at my charge. Useless serenity insurance!</v>
      </c>
    </row>
    <row r="130" ht="15.75" customHeight="1">
      <c r="B130" s="2" t="s">
        <v>165</v>
      </c>
      <c r="C130" s="2" t="s">
        <v>438</v>
      </c>
      <c r="D130" s="2" t="s">
        <v>151</v>
      </c>
      <c r="E130" s="2" t="s">
        <v>14</v>
      </c>
      <c r="F130" s="2" t="s">
        <v>15</v>
      </c>
      <c r="G130" s="2" t="s">
        <v>439</v>
      </c>
      <c r="H130" s="2" t="s">
        <v>106</v>
      </c>
      <c r="I130" s="2" t="str">
        <f>IFERROR(__xludf.DUMMYFUNCTION("GOOGLETRANSLATE(C130,""fr"",""en"")"),"Sinister water damage occurred from April 10, 2017, observation made on April 14 date of the intervention of the firefighters to stop the leak.")</f>
        <v>Sinister water damage occurred from April 10, 2017, observation made on April 14 date of the intervention of the firefighters to stop the leak.</v>
      </c>
    </row>
    <row r="131" ht="15.75" customHeight="1">
      <c r="B131" s="2" t="s">
        <v>440</v>
      </c>
      <c r="C131" s="2" t="s">
        <v>441</v>
      </c>
      <c r="D131" s="2" t="s">
        <v>151</v>
      </c>
      <c r="E131" s="2" t="s">
        <v>14</v>
      </c>
      <c r="F131" s="2" t="s">
        <v>15</v>
      </c>
      <c r="G131" s="2" t="s">
        <v>442</v>
      </c>
      <c r="H131" s="2" t="s">
        <v>110</v>
      </c>
      <c r="I131" s="2" t="str">
        <f>IFERROR(__xludf.DUMMYFUNCTION("GOOGLETRANSLATE(C131,""fr"",""en"")"),"Following a travel dispute with an internet organization for a service not in accordance with that announced, we asked our appeal and legal protection insurance to intervene with the travel agency in order to obtain compensation, after having made our Rec"&amp;"ourse by file supported with AR to the organization and refusal of the latter. For 6 months this case has dragged without the Maif having done anything to defend our file to finally remain silent in our solicitation after the failure of the seizure of the"&amp;" tourism and travel mediator. It seemed necessary then to intervene with the court to obtain the case, as stipulated by the insurance contract. Members for the past thirty years, we are extremely disappointed with the degradation of MAIF benefits and we a"&amp;"re unfortunately not the only ones (our children also insured and close friends have been scandalized by inaction or inappropriate responses for claims resolutions)
A huge disappointment in the degradation of the quality of this insurance.")</f>
        <v>Following a travel dispute with an internet organization for a service not in accordance with that announced, we asked our appeal and legal protection insurance to intervene with the travel agency in order to obtain compensation, after having made our Recourse by file supported with AR to the organization and refusal of the latter. For 6 months this case has dragged without the Maif having done anything to defend our file to finally remain silent in our solicitation after the failure of the seizure of the tourism and travel mediator. It seemed necessary then to intervene with the court to obtain the case, as stipulated by the insurance contract. Members for the past thirty years, we are extremely disappointed with the degradation of MAIF benefits and we are unfortunately not the only ones (our children also insured and close friends have been scandalized by inaction or inappropriate responses for claims resolutions)
A huge disappointment in the degradation of the quality of this insurance.</v>
      </c>
    </row>
    <row r="132" ht="15.75" customHeight="1">
      <c r="B132" s="2" t="s">
        <v>443</v>
      </c>
      <c r="C132" s="2" t="s">
        <v>444</v>
      </c>
      <c r="D132" s="2" t="s">
        <v>151</v>
      </c>
      <c r="E132" s="2" t="s">
        <v>14</v>
      </c>
      <c r="F132" s="2" t="s">
        <v>15</v>
      </c>
      <c r="G132" s="2" t="s">
        <v>113</v>
      </c>
      <c r="H132" s="2" t="s">
        <v>110</v>
      </c>
      <c r="I132" s="2" t="str">
        <f>IFERROR(__xludf.DUMMYFUNCTION("GOOGLETRANSLATE(C132,""fr"",""en"")"),"A zero points!
Society for several years, I had never called upon Maif. I had an incident or I used for the first time the civil insurance linked to the home contract. I received a letter from the maif telling me that I was responsible and therefore no c"&amp;"are. Aggressive and sui interlocurers does not understand anything at all ... To believe that they are premiums on the rejected files.
I do not recommend this insurance ... To avoid")</f>
        <v>A zero points!
Society for several years, I had never called upon Maif. I had an incident or I used for the first time the civil insurance linked to the home contract. I received a letter from the maif telling me that I was responsible and therefore no care. Aggressive and sui interlocurers does not understand anything at all ... To believe that they are premiums on the rejected files.
I do not recommend this insurance ... To avoid</v>
      </c>
    </row>
    <row r="133" ht="15.75" customHeight="1">
      <c r="B133" s="2" t="s">
        <v>445</v>
      </c>
      <c r="C133" s="2" t="s">
        <v>446</v>
      </c>
      <c r="D133" s="2" t="s">
        <v>151</v>
      </c>
      <c r="E133" s="2" t="s">
        <v>14</v>
      </c>
      <c r="F133" s="2" t="s">
        <v>15</v>
      </c>
      <c r="G133" s="2" t="s">
        <v>447</v>
      </c>
      <c r="H133" s="2" t="s">
        <v>110</v>
      </c>
      <c r="I133" s="2" t="str">
        <f>IFERROR(__xludf.DUMMYFUNCTION("GOOGLETRANSLATE(C133,""fr"",""en"")"),"I have been a member of MAIF for over 20 years, and I have been disassembled in the way in which my disaster (damage of waters) is managed! I feel aggressiveness and a total lack of communication. It's been almost a year since I have enjoyed my bathroom a"&amp;"nd my kitchen and no understanding of the two managers who have followed one another.")</f>
        <v>I have been a member of MAIF for over 20 years, and I have been disassembled in the way in which my disaster (damage of waters) is managed! I feel aggressiveness and a total lack of communication. It's been almost a year since I have enjoyed my bathroom and my kitchen and no understanding of the two managers who have followed one another.</v>
      </c>
    </row>
    <row r="134" ht="15.75" customHeight="1">
      <c r="B134" s="2" t="s">
        <v>448</v>
      </c>
      <c r="C134" s="2" t="s">
        <v>449</v>
      </c>
      <c r="D134" s="2" t="s">
        <v>151</v>
      </c>
      <c r="E134" s="2" t="s">
        <v>14</v>
      </c>
      <c r="F134" s="2" t="s">
        <v>15</v>
      </c>
      <c r="G134" s="2" t="s">
        <v>450</v>
      </c>
      <c r="H134" s="2" t="s">
        <v>127</v>
      </c>
      <c r="I134" s="2" t="str">
        <f>IFERROR(__xludf.DUMMYFUNCTION("GOOGLETRANSLATE(C134,""fr"",""en"")"),"I have been a member of MAIF for 25 years. I underwent a very big flight in my house. They destroyed everything, torn off doors and windows, sinks, shower, staircase ... More, I say everything, stolen in the house. I pointed out the claim on May 3, the ex"&amp;"pert was only moved on May 22. As it was too hot, it only stayed 20 minutes on site and even refused to visit the whole house. MAIF only secured the premises after 1 month. And unlike their guarantee, they have no partner companies to carry out the work. "&amp;"Now they refuse to cover the entire damage. They claim that the shower cabin and the bathtub are furniture. They do not transmit me the expert's conclusions.
I already had a burglary 3 years ago for which he had not secured the premises and for damage to"&amp;" invoices of € 27,000, they reimbursed me 8000 € ... It's a company Who does not respect the contracts, who saves time to put you in an urgent need to accept self -repaction and therefore to be very little compensated. Now I denounce my contract before th"&amp;"e courts. I strongly recommend this insurance !!!!")</f>
        <v>I have been a member of MAIF for 25 years. I underwent a very big flight in my house. They destroyed everything, torn off doors and windows, sinks, shower, staircase ... More, I say everything, stolen in the house. I pointed out the claim on May 3, the expert was only moved on May 22. As it was too hot, it only stayed 20 minutes on site and even refused to visit the whole house. MAIF only secured the premises after 1 month. And unlike their guarantee, they have no partner companies to carry out the work. Now they refuse to cover the entire damage. They claim that the shower cabin and the bathtub are furniture. They do not transmit me the expert's conclusions.
I already had a burglary 3 years ago for which he had not secured the premises and for damage to invoices of € 27,000, they reimbursed me 8000 € ... It's a company Who does not respect the contracts, who saves time to put you in an urgent need to accept self -repaction and therefore to be very little compensated. Now I denounce my contract before the courts. I strongly recommend this insurance !!!!</v>
      </c>
    </row>
    <row r="135" ht="15.75" customHeight="1">
      <c r="B135" s="2" t="s">
        <v>451</v>
      </c>
      <c r="C135" s="2" t="s">
        <v>452</v>
      </c>
      <c r="D135" s="2" t="s">
        <v>151</v>
      </c>
      <c r="E135" s="2" t="s">
        <v>14</v>
      </c>
      <c r="F135" s="2" t="s">
        <v>15</v>
      </c>
      <c r="G135" s="2" t="s">
        <v>453</v>
      </c>
      <c r="H135" s="2" t="s">
        <v>127</v>
      </c>
      <c r="I135" s="2" t="str">
        <f>IFERROR(__xludf.DUMMYFUNCTION("GOOGLETRANSLATE(C135,""fr"",""en"")"),"Employee experts from MAIF, no lawyers and they take you for ignorant students from the 60s")</f>
        <v>Employee experts from MAIF, no lawyers and they take you for ignorant students from the 60s</v>
      </c>
    </row>
    <row r="136" ht="15.75" customHeight="1">
      <c r="B136" s="2" t="s">
        <v>454</v>
      </c>
      <c r="C136" s="2" t="s">
        <v>455</v>
      </c>
      <c r="D136" s="2" t="s">
        <v>151</v>
      </c>
      <c r="E136" s="2" t="s">
        <v>14</v>
      </c>
      <c r="F136" s="2" t="s">
        <v>15</v>
      </c>
      <c r="G136" s="2" t="s">
        <v>456</v>
      </c>
      <c r="H136" s="2" t="s">
        <v>127</v>
      </c>
      <c r="I136" s="2" t="str">
        <f>IFERROR(__xludf.DUMMYFUNCTION("GOOGLETRANSLATE(C136,""fr"",""en"")"),"Hello,
On 07/03/2016, my spouse committed suicide by leaving me alone with my 2 children. As part of my home contract, I have an option 3 which gives the right to compensation for funeral and annuities for me and children. 1st answer in October - The fil"&amp;"e was lost
2nd answers, you must send a list of papers (birth certificate, death ....). Now they are waiting for the PV that I sent them in AR letter on 02/28. They say they don't have it, I'm fed up, I don't know what to do !!! Now they want to pass an "&amp;"expert to assess the damage, almost a year later, it is unacceptable, come to wake up the wounds .... no humanism and in the meantime, I have to manage ...")</f>
        <v>Hello,
On 07/03/2016, my spouse committed suicide by leaving me alone with my 2 children. As part of my home contract, I have an option 3 which gives the right to compensation for funeral and annuities for me and children. 1st answer in October - The file was lost
2nd answers, you must send a list of papers (birth certificate, death ....). Now they are waiting for the PV that I sent them in AR letter on 02/28. They say they don't have it, I'm fed up, I don't know what to do !!! Now they want to pass an expert to assess the damage, almost a year later, it is unacceptable, come to wake up the wounds .... no humanism and in the meantime, I have to manage ...</v>
      </c>
    </row>
    <row r="137" ht="15.75" customHeight="1">
      <c r="B137" s="2" t="s">
        <v>457</v>
      </c>
      <c r="C137" s="2" t="s">
        <v>458</v>
      </c>
      <c r="D137" s="2" t="s">
        <v>151</v>
      </c>
      <c r="E137" s="2" t="s">
        <v>14</v>
      </c>
      <c r="F137" s="2" t="s">
        <v>15</v>
      </c>
      <c r="G137" s="2" t="s">
        <v>459</v>
      </c>
      <c r="H137" s="2" t="s">
        <v>460</v>
      </c>
      <c r="I137" s="2" t="str">
        <f>IFERROR(__xludf.DUMMYFUNCTION("GOOGLETRANSLATE(C137,""fr"",""en"")"),"Hello,
Since 2008, a neighborhood problem has been a nightmare. I made an extension at home in 2007 by a company and a neighbor made me a trial. The legal protection of MAIF intervened at least and mission a beginner lawyer who did not make the expertise"&amp;" and bailiff's observations necessary to process the file and was not pleaded in the Trubunal. On the advice of the MAIF, to save, he did not seek the responsibility of the company (who was a ren partner of MAIF). Assessment, I am committed to demolish, w"&amp;"ill be seized of all my goods and can no longer pay the lawyer that I took live to defend myself. The complaint service, the agents, the mediator all refers to the same person who does nothing! Thank you Maif!")</f>
        <v>Hello,
Since 2008, a neighborhood problem has been a nightmare. I made an extension at home in 2007 by a company and a neighbor made me a trial. The legal protection of MAIF intervened at least and mission a beginner lawyer who did not make the expertise and bailiff's observations necessary to process the file and was not pleaded in the Trubunal. On the advice of the MAIF, to save, he did not seek the responsibility of the company (who was a ren partner of MAIF). Assessment, I am committed to demolish, will be seized of all my goods and can no longer pay the lawyer that I took live to defend myself. The complaint service, the agents, the mediator all refers to the same person who does nothing! Thank you Maif!</v>
      </c>
    </row>
    <row r="138" ht="15.75" customHeight="1">
      <c r="B138" s="2" t="s">
        <v>461</v>
      </c>
      <c r="C138" s="2" t="s">
        <v>462</v>
      </c>
      <c r="D138" s="2" t="s">
        <v>151</v>
      </c>
      <c r="E138" s="2" t="s">
        <v>14</v>
      </c>
      <c r="F138" s="2" t="s">
        <v>15</v>
      </c>
      <c r="G138" s="2" t="s">
        <v>463</v>
      </c>
      <c r="H138" s="2" t="s">
        <v>131</v>
      </c>
      <c r="I138" s="2" t="str">
        <f>IFERROR(__xludf.DUMMYFUNCTION("GOOGLETRANSLATE(C138,""fr"",""en"")"),"I have been in Maif for 15 years and what a disappointment !!! You must not have a claim !!! It is one of the most expensive insurance on the market and the ""militant insurer"" slogan means nothing! They use experts who find all means not to reimburse. T"&amp;"hey do not hold out: my first interlocutor had told me that I will be reimbursed 100% of the replacement to new, but the expert to find a way to return to the word of my first interlocutor and finally, there are 30% of Disput! Between obsolescence and fra"&amp;"nkness, the rest to pay is huge!")</f>
        <v>I have been in Maif for 15 years and what a disappointment !!! You must not have a claim !!! It is one of the most expensive insurance on the market and the "militant insurer" slogan means nothing! They use experts who find all means not to reimburse. They do not hold out: my first interlocutor had told me that I will be reimbursed 100% of the replacement to new, but the expert to find a way to return to the word of my first interlocutor and finally, there are 30% of Disput! Between obsolescence and frankness, the rest to pay is huge!</v>
      </c>
    </row>
    <row r="139" ht="15.75" customHeight="1">
      <c r="B139" s="2" t="s">
        <v>464</v>
      </c>
      <c r="C139" s="2" t="s">
        <v>465</v>
      </c>
      <c r="D139" s="2" t="s">
        <v>151</v>
      </c>
      <c r="E139" s="2" t="s">
        <v>14</v>
      </c>
      <c r="F139" s="2" t="s">
        <v>15</v>
      </c>
      <c r="G139" s="2" t="s">
        <v>466</v>
      </c>
      <c r="H139" s="2" t="s">
        <v>138</v>
      </c>
      <c r="I139" s="2" t="str">
        <f>IFERROR(__xludf.DUMMYFUNCTION("GOOGLETRANSLATE(C139,""fr"",""en"")"),"Watch out for these ""insurers"", who pretend that I did not receive your letters ... I received a postal post with a tacit renewal of a contract of a 40 -euro per year (!!!) under a tacit. For teaching insurance, which is said to be strictly served as a "&amp;"slab. Mail sent before December 1 for termination (under simple postal fold), and these ""insurers"" do not even respond correctly to my mail specifying that I sent a letter to November. Go your way, only the money interests them (fortunately I have no ot"&amp;"her product at home). By way of comparison, AMF Assurance takes note of your letters and does not pretend not to receive anything.")</f>
        <v>Watch out for these "insurers", who pretend that I did not receive your letters ... I received a postal post with a tacit renewal of a contract of a 40 -euro per year (!!!) under a tacit. For teaching insurance, which is said to be strictly served as a slab. Mail sent before December 1 for termination (under simple postal fold), and these "insurers" do not even respond correctly to my mail specifying that I sent a letter to November. Go your way, only the money interests them (fortunately I have no other product at home). By way of comparison, AMF Assurance takes note of your letters and does not pretend not to receive anything.</v>
      </c>
    </row>
    <row r="140" ht="15.75" customHeight="1">
      <c r="B140" s="2" t="s">
        <v>467</v>
      </c>
      <c r="C140" s="2" t="s">
        <v>33</v>
      </c>
      <c r="D140" s="2" t="s">
        <v>151</v>
      </c>
      <c r="E140" s="2" t="s">
        <v>14</v>
      </c>
      <c r="F140" s="2" t="s">
        <v>15</v>
      </c>
      <c r="G140" s="2" t="s">
        <v>468</v>
      </c>
      <c r="H140" s="2" t="s">
        <v>469</v>
      </c>
      <c r="I140" s="2" t="str">
        <f>IFERROR(__xludf.DUMMYFUNCTION("GOOGLETRANSLATE(C140,""fr"",""en"")"),"Intervention deleted at the request of the Internet user.")</f>
        <v>Intervention deleted at the request of the Internet user.</v>
      </c>
    </row>
    <row r="141" ht="15.75" customHeight="1">
      <c r="B141" s="2" t="s">
        <v>440</v>
      </c>
      <c r="C141" s="2" t="s">
        <v>470</v>
      </c>
      <c r="D141" s="2" t="s">
        <v>151</v>
      </c>
      <c r="E141" s="2" t="s">
        <v>14</v>
      </c>
      <c r="F141" s="2" t="s">
        <v>15</v>
      </c>
      <c r="G141" s="2" t="s">
        <v>471</v>
      </c>
      <c r="H141" s="2" t="s">
        <v>145</v>
      </c>
      <c r="I141" s="2" t="str">
        <f>IFERROR(__xludf.DUMMYFUNCTION("GOOGLETRANSLATE(C141,""fr"",""en"")"),"Insured since 1970 at the MAIF, I contacted my ""mutual"" in the context of the legal protection of my RAQVAM contract on a badly installed aluminum portal and which expands under the effect of the sun to the point of no longer Open. The file was opened i"&amp;"n June 2016. The expert passed in early September and his report which only died on a single page was sent to me in early November. I thought the expert was a building technician but he advised me an amicable solution when I think this portal has a hidden"&amp;" defect. I refused the proposed solution.")</f>
        <v>Insured since 1970 at the MAIF, I contacted my "mutual" in the context of the legal protection of my RAQVAM contract on a badly installed aluminum portal and which expands under the effect of the sun to the point of no longer Open. The file was opened in June 2016. The expert passed in early September and his report which only died on a single page was sent to me in early November. I thought the expert was a building technician but he advised me an amicable solution when I think this portal has a hidden defect. I refused the proposed solution.</v>
      </c>
    </row>
    <row r="142" ht="15.75" customHeight="1">
      <c r="B142" s="2" t="s">
        <v>472</v>
      </c>
      <c r="C142" s="2" t="s">
        <v>473</v>
      </c>
      <c r="D142" s="2" t="s">
        <v>151</v>
      </c>
      <c r="E142" s="2" t="s">
        <v>14</v>
      </c>
      <c r="F142" s="2" t="s">
        <v>15</v>
      </c>
      <c r="G142" s="2" t="s">
        <v>474</v>
      </c>
      <c r="H142" s="2" t="s">
        <v>145</v>
      </c>
      <c r="I142" s="2" t="str">
        <f>IFERROR(__xludf.DUMMYFUNCTION("GOOGLETRANSLATE(C142,""fr"",""en"")"),"At the MAIF if you are the victim of a water damage for example and you do the repair work yourself, you will be compensated up to 40 percent of the price which would be granted to a partner company hence a economy of 60 percent for Maif. And yet it is ou"&amp;"r contributions that feed the boxes.")</f>
        <v>At the MAIF if you are the victim of a water damage for example and you do the repair work yourself, you will be compensated up to 40 percent of the price which would be granted to a partner company hence a economy of 60 percent for Maif. And yet it is our contributions that feed the boxes.</v>
      </c>
    </row>
    <row r="143" ht="15.75" customHeight="1">
      <c r="B143" s="2" t="s">
        <v>475</v>
      </c>
      <c r="C143" s="2" t="s">
        <v>476</v>
      </c>
      <c r="D143" s="2" t="s">
        <v>151</v>
      </c>
      <c r="E143" s="2" t="s">
        <v>14</v>
      </c>
      <c r="F143" s="2" t="s">
        <v>15</v>
      </c>
      <c r="G143" s="2" t="s">
        <v>148</v>
      </c>
      <c r="H143" s="2" t="s">
        <v>145</v>
      </c>
      <c r="I143" s="2" t="str">
        <f>IFERROR(__xludf.DUMMYFUNCTION("GOOGLETRANSLATE(C143,""fr"",""en"")"),"Since May Ego La Maif has been unable to take care of the management of glasses broken by a third party despite all the documents in their possession (opposing insurance). 1 Recovery per month to the third party insurer and they are waiting to be paid bef"&amp;"ore covering our costs. You might as well be covered and ask even the third party insurer the coverage of damage. Lamentable ...")</f>
        <v>Since May Ego La Maif has been unable to take care of the management of glasses broken by a third party despite all the documents in their possession (opposing insurance). 1 Recovery per month to the third party insurer and they are waiting to be paid before covering our costs. You might as well be covered and ask even the third party insurer the coverage of damage. Lamentable ...</v>
      </c>
    </row>
    <row r="144" ht="15.75" customHeight="1">
      <c r="B144" s="2" t="s">
        <v>477</v>
      </c>
      <c r="C144" s="2" t="s">
        <v>478</v>
      </c>
      <c r="D144" s="2" t="s">
        <v>479</v>
      </c>
      <c r="E144" s="2" t="s">
        <v>14</v>
      </c>
      <c r="F144" s="2" t="s">
        <v>15</v>
      </c>
      <c r="G144" s="2" t="s">
        <v>480</v>
      </c>
      <c r="H144" s="2" t="s">
        <v>481</v>
      </c>
      <c r="I144" s="2" t="str">
        <f>IFERROR(__xludf.DUMMYFUNCTION("GOOGLETRANSLATE(C144,""fr"",""en"")"),"Very unhappy for the 2nd time in 10 years. The 1st time NS had to go through a lawyer so that Groupama takes care of some of the claims.
The 2nd in August 2021 following a water damage, no return to this 3 SEM care after the disaster.")</f>
        <v>Very unhappy for the 2nd time in 10 years. The 1st time NS had to go through a lawyer so that Groupama takes care of some of the claims.
The 2nd in August 2021 following a water damage, no return to this 3 SEM care after the disaster.</v>
      </c>
    </row>
    <row r="145" ht="15.75" customHeight="1">
      <c r="B145" s="2" t="s">
        <v>482</v>
      </c>
      <c r="C145" s="2" t="s">
        <v>483</v>
      </c>
      <c r="D145" s="2" t="s">
        <v>479</v>
      </c>
      <c r="E145" s="2" t="s">
        <v>14</v>
      </c>
      <c r="F145" s="2" t="s">
        <v>15</v>
      </c>
      <c r="G145" s="2" t="s">
        <v>484</v>
      </c>
      <c r="H145" s="2" t="s">
        <v>481</v>
      </c>
      <c r="I145" s="2" t="str">
        <f>IFERROR(__xludf.DUMMYFUNCTION("GOOGLETRANSLATE(C145,""fr"",""en"")"),"Not very responsive advisers: after 1 email and 2 phone calls I always wait to be reminded of despite repeated promises
Otherwise I plan to terminate")</f>
        <v>Not very responsive advisers: after 1 email and 2 phone calls I always wait to be reminded of despite repeated promises
Otherwise I plan to terminate</v>
      </c>
    </row>
    <row r="146" ht="15.75" customHeight="1">
      <c r="B146" s="2" t="s">
        <v>485</v>
      </c>
      <c r="C146" s="2" t="s">
        <v>486</v>
      </c>
      <c r="D146" s="2" t="s">
        <v>479</v>
      </c>
      <c r="E146" s="2" t="s">
        <v>14</v>
      </c>
      <c r="F146" s="2" t="s">
        <v>15</v>
      </c>
      <c r="G146" s="2" t="s">
        <v>487</v>
      </c>
      <c r="H146" s="2" t="s">
        <v>168</v>
      </c>
      <c r="I146" s="2" t="str">
        <f>IFERROR(__xludf.DUMMYFUNCTION("GOOGLETRANSLATE(C146,""fr"",""en"")"),"Hello and 1 more negative opinion,
A disaster of water leak in the ceiling, in question the owner of the top which is not very motivated to take into account his responsibility. In short, a claim in October 2020, this day at June 28, 2021 we are told no "&amp;"dependent work your property is 90%unhealthy. Ah ah which can give me a recognized scale and under what condition classified a unhealthy property because even my diagnostician knows no scale of this type. The Groupama experts finally Equadum de Rouen play"&amp;"s the pifometer? I would not let go of anything we all have rights as customers. They would just be good to meet all together against Groupama.")</f>
        <v>Hello and 1 more negative opinion,
A disaster of water leak in the ceiling, in question the owner of the top which is not very motivated to take into account his responsibility. In short, a claim in October 2020, this day at June 28, 2021 we are told no dependent work your property is 90%unhealthy. Ah ah which can give me a recognized scale and under what condition classified a unhealthy property because even my diagnostician knows no scale of this type. The Groupama experts finally Equadum de Rouen plays the pifometer? I would not let go of anything we all have rights as customers. They would just be good to meet all together against Groupama.</v>
      </c>
    </row>
    <row r="147" ht="15.75" customHeight="1">
      <c r="B147" s="2" t="s">
        <v>488</v>
      </c>
      <c r="C147" s="2" t="s">
        <v>489</v>
      </c>
      <c r="D147" s="2" t="s">
        <v>479</v>
      </c>
      <c r="E147" s="2" t="s">
        <v>14</v>
      </c>
      <c r="F147" s="2" t="s">
        <v>15</v>
      </c>
      <c r="G147" s="2" t="s">
        <v>168</v>
      </c>
      <c r="H147" s="2" t="s">
        <v>168</v>
      </c>
      <c r="I147" s="2" t="str">
        <f>IFERROR(__xludf.DUMMYFUNCTION("GOOGLETRANSLATE(C147,""fr"",""en"")"),"I have been insured for the house for several years at Groupama. This year I called on legal protection because I did not get anything of a tour operator following a cancellation of plane tickets because of the COVVID. They asked me for the whole file and"&amp;" in 6 months, they sent 2 recovery letters. This is what I had done before unanswered from them .... As the tour operator did not answer them either, they have just sent me a letter asking me to manage myself with the mediator of tourism . It is pitiful t"&amp;"o see the little energy implemented by this assured insurance. They only made me lose 6 months in my efforts. It was not at all what I hoped for ""legal assistance""")</f>
        <v>I have been insured for the house for several years at Groupama. This year I called on legal protection because I did not get anything of a tour operator following a cancellation of plane tickets because of the COVVID. They asked me for the whole file and in 6 months, they sent 2 recovery letters. This is what I had done before unanswered from them .... As the tour operator did not answer them either, they have just sent me a letter asking me to manage myself with the mediator of tourism . It is pitiful to see the little energy implemented by this assured insurance. They only made me lose 6 months in my efforts. It was not at all what I hoped for "legal assistance"</v>
      </c>
    </row>
    <row r="148" ht="15.75" customHeight="1">
      <c r="B148" s="2" t="s">
        <v>490</v>
      </c>
      <c r="C148" s="2" t="s">
        <v>491</v>
      </c>
      <c r="D148" s="2" t="s">
        <v>479</v>
      </c>
      <c r="E148" s="2" t="s">
        <v>14</v>
      </c>
      <c r="F148" s="2" t="s">
        <v>15</v>
      </c>
      <c r="G148" s="2" t="s">
        <v>492</v>
      </c>
      <c r="H148" s="2" t="s">
        <v>172</v>
      </c>
      <c r="I148" s="2" t="str">
        <f>IFERROR(__xludf.DUMMYFUNCTION("GOOGLETRANSLATE(C148,""fr"",""en"")"),"After having undergone two burglaries in 10 years with the theft of HIFI equipment, computers but also my vehicle, I am very satisfied with the way in which Groupama Gan took care of my damage, my contract includes the warranty for new and c 'is a hell of"&amp;" a relief.
Thank you to the Noumea compensation service team.")</f>
        <v>After having undergone two burglaries in 10 years with the theft of HIFI equipment, computers but also my vehicle, I am very satisfied with the way in which Groupama Gan took care of my damage, my contract includes the warranty for new and c 'is a hell of a relief.
Thank you to the Noumea compensation service team.</v>
      </c>
    </row>
    <row r="149" ht="15.75" customHeight="1">
      <c r="B149" s="2" t="s">
        <v>493</v>
      </c>
      <c r="C149" s="2" t="s">
        <v>494</v>
      </c>
      <c r="D149" s="2" t="s">
        <v>479</v>
      </c>
      <c r="E149" s="2" t="s">
        <v>14</v>
      </c>
      <c r="F149" s="2" t="s">
        <v>15</v>
      </c>
      <c r="G149" s="2" t="s">
        <v>495</v>
      </c>
      <c r="H149" s="2" t="s">
        <v>496</v>
      </c>
      <c r="I149" s="2" t="str">
        <f>IFERROR(__xludf.DUMMYFUNCTION("GOOGLETRANSLATE(C149,""fr"",""en"")"),"A disaster a sinister service with disrespectful personnel
Sinister from February with complete file since early March and still no response ... I am walking around telling me that we have been reminded for more than 3 weeks")</f>
        <v>A disaster a sinister service with disrespectful personnel
Sinister from February with complete file since early March and still no response ... I am walking around telling me that we have been reminded for more than 3 weeks</v>
      </c>
    </row>
    <row r="150" ht="15.75" customHeight="1">
      <c r="B150" s="2" t="s">
        <v>497</v>
      </c>
      <c r="C150" s="2" t="s">
        <v>498</v>
      </c>
      <c r="D150" s="2" t="s">
        <v>479</v>
      </c>
      <c r="E150" s="2" t="s">
        <v>14</v>
      </c>
      <c r="F150" s="2" t="s">
        <v>15</v>
      </c>
      <c r="G150" s="2" t="s">
        <v>499</v>
      </c>
      <c r="H150" s="2" t="s">
        <v>496</v>
      </c>
      <c r="I150" s="2" t="str">
        <f>IFERROR(__xludf.DUMMYFUNCTION("GOOGLETRANSLATE(C150,""fr"",""en"")"),"Remove that I am more with them
Watch out for them
Impossible to have an interlocutor
It is always a disc with the same catchphrase and at the end nobody")</f>
        <v>Remove that I am more with them
Watch out for them
Impossible to have an interlocutor
It is always a disc with the same catchphrase and at the end nobody</v>
      </c>
    </row>
    <row r="151" ht="15.75" customHeight="1">
      <c r="B151" s="2" t="s">
        <v>500</v>
      </c>
      <c r="C151" s="2" t="s">
        <v>501</v>
      </c>
      <c r="D151" s="2" t="s">
        <v>479</v>
      </c>
      <c r="E151" s="2" t="s">
        <v>14</v>
      </c>
      <c r="F151" s="2" t="s">
        <v>15</v>
      </c>
      <c r="G151" s="2" t="s">
        <v>502</v>
      </c>
      <c r="H151" s="2" t="s">
        <v>194</v>
      </c>
      <c r="I151" s="2" t="str">
        <f>IFERROR(__xludf.DUMMYFUNCTION("GOOGLETRANSLATE(C151,""fr"",""en"")"),"I do not recommend anyone who would like to make sure to do so with Groupama. I have never experienced such a level of incompetence, ineffective systems generating serial errors which turn into administrative nightmare for additional weeks and costs for t"&amp;"he insured. To avoid absolutely !!")</f>
        <v>I do not recommend anyone who would like to make sure to do so with Groupama. I have never experienced such a level of incompetence, ineffective systems generating serial errors which turn into administrative nightmare for additional weeks and costs for the insured. To avoid absolutely !!</v>
      </c>
    </row>
    <row r="152" ht="15.75" customHeight="1">
      <c r="B152" s="2" t="s">
        <v>503</v>
      </c>
      <c r="C152" s="2" t="s">
        <v>504</v>
      </c>
      <c r="D152" s="2" t="s">
        <v>479</v>
      </c>
      <c r="E152" s="2" t="s">
        <v>14</v>
      </c>
      <c r="F152" s="2" t="s">
        <v>15</v>
      </c>
      <c r="G152" s="2" t="s">
        <v>505</v>
      </c>
      <c r="H152" s="2" t="s">
        <v>204</v>
      </c>
      <c r="I152" s="2" t="str">
        <f>IFERROR(__xludf.DUMMYFUNCTION("GOOGLETRANSLATE(C152,""fr"",""en"")"),"At the price level, it's okay.
But as soon as you have a concern on buildings there is no one left. It is insurance that does not want to pay. She is looking for all possibilities, all flaws, so as not to compensate with lots of well -established experts"&amp;" to the system.
Avoid Groupama.
")</f>
        <v>At the price level, it's okay.
But as soon as you have a concern on buildings there is no one left. It is insurance that does not want to pay. She is looking for all possibilities, all flaws, so as not to compensate with lots of well -established experts to the system.
Avoid Groupama.
</v>
      </c>
    </row>
    <row r="153" ht="15.75" customHeight="1">
      <c r="B153" s="2" t="s">
        <v>506</v>
      </c>
      <c r="C153" s="2" t="s">
        <v>507</v>
      </c>
      <c r="D153" s="2" t="s">
        <v>479</v>
      </c>
      <c r="E153" s="2" t="s">
        <v>14</v>
      </c>
      <c r="F153" s="2" t="s">
        <v>15</v>
      </c>
      <c r="G153" s="2" t="s">
        <v>508</v>
      </c>
      <c r="H153" s="2" t="s">
        <v>214</v>
      </c>
      <c r="I153" s="2" t="str">
        <f>IFERROR(__xludf.DUMMYFUNCTION("GOOGLETRANSLATE(C153,""fr"",""en"")"),"Hello
Do not need it, a non -existent service and when they are attached they can do nothing. They wait ..... sometimes we change their mind.
Problem with a laptop that has grilled and there we are waiting for a recall expert and ... nothing")</f>
        <v>Hello
Do not need it, a non -existent service and when they are attached they can do nothing. They wait ..... sometimes we change their mind.
Problem with a laptop that has grilled and there we are waiting for a recall expert and ... nothing</v>
      </c>
    </row>
    <row r="154" ht="15.75" customHeight="1">
      <c r="B154" s="2" t="s">
        <v>509</v>
      </c>
      <c r="C154" s="2" t="s">
        <v>510</v>
      </c>
      <c r="D154" s="2" t="s">
        <v>479</v>
      </c>
      <c r="E154" s="2" t="s">
        <v>14</v>
      </c>
      <c r="F154" s="2" t="s">
        <v>15</v>
      </c>
      <c r="G154" s="2" t="s">
        <v>511</v>
      </c>
      <c r="H154" s="2" t="s">
        <v>214</v>
      </c>
      <c r="I154" s="2" t="str">
        <f>IFERROR(__xludf.DUMMYFUNCTION("GOOGLETRANSLATE(C154,""fr"",""en"")"),"Big gale on Brittany on 13 Dec small damage but damage still less than 400euro and the only answer is refusal because wind below 100kmh ... it is frankly abusing .. I nevertheless took a lot of option but that's it to pay they are after no one")</f>
        <v>Big gale on Brittany on 13 Dec small damage but damage still less than 400euro and the only answer is refusal because wind below 100kmh ... it is frankly abusing .. I nevertheless took a lot of option but that's it to pay they are after no one</v>
      </c>
    </row>
    <row r="155" ht="15.75" customHeight="1">
      <c r="B155" s="2" t="s">
        <v>512</v>
      </c>
      <c r="C155" s="2" t="s">
        <v>513</v>
      </c>
      <c r="D155" s="2" t="s">
        <v>479</v>
      </c>
      <c r="E155" s="2" t="s">
        <v>14</v>
      </c>
      <c r="F155" s="2" t="s">
        <v>15</v>
      </c>
      <c r="G155" s="2" t="s">
        <v>217</v>
      </c>
      <c r="H155" s="2" t="s">
        <v>214</v>
      </c>
      <c r="I155" s="2" t="str">
        <f>IFERROR(__xludf.DUMMYFUNCTION("GOOGLETRANSLATE(C155,""fr"",""en"")"),"Too expensive and sinister not reimbursed ... I will terminate all my personal and pros contracts ................. I do not recommend ........ and I would obviously note on The networks my opinion.")</f>
        <v>Too expensive and sinister not reimbursed ... I will terminate all my personal and pros contracts ................. I do not recommend ........ and I would obviously note on The networks my opinion.</v>
      </c>
    </row>
    <row r="156" ht="15.75" customHeight="1">
      <c r="B156" s="2" t="s">
        <v>514</v>
      </c>
      <c r="C156" s="2" t="s">
        <v>515</v>
      </c>
      <c r="D156" s="2" t="s">
        <v>479</v>
      </c>
      <c r="E156" s="2" t="s">
        <v>14</v>
      </c>
      <c r="F156" s="2" t="s">
        <v>15</v>
      </c>
      <c r="G156" s="2" t="s">
        <v>516</v>
      </c>
      <c r="H156" s="2" t="s">
        <v>226</v>
      </c>
      <c r="I156" s="2" t="str">
        <f>IFERROR(__xludf.DUMMYFUNCTION("GOOGLETRANSLATE(C156,""fr"",""en"")"),"I had the home insurance at Groupama, I moved and I continued to pay because I lost the inventory of exit proving that I no longer live in the accommodation.
I called Groupama by explaining the situation. They reimbursed me directly what I had paid when "&amp;"I was no longer in this accommodation.
Very good customer service, I pay € 9 per month in home insurance. Very correct.
I recommend")</f>
        <v>I had the home insurance at Groupama, I moved and I continued to pay because I lost the inventory of exit proving that I no longer live in the accommodation.
I called Groupama by explaining the situation. They reimbursed me directly what I had paid when I was no longer in this accommodation.
Very good customer service, I pay € 9 per month in home insurance. Very correct.
I recommend</v>
      </c>
    </row>
    <row r="157" ht="15.75" customHeight="1">
      <c r="B157" s="2" t="s">
        <v>517</v>
      </c>
      <c r="C157" s="2" t="s">
        <v>518</v>
      </c>
      <c r="D157" s="2" t="s">
        <v>479</v>
      </c>
      <c r="E157" s="2" t="s">
        <v>14</v>
      </c>
      <c r="F157" s="2" t="s">
        <v>15</v>
      </c>
      <c r="G157" s="2" t="s">
        <v>519</v>
      </c>
      <c r="H157" s="2" t="s">
        <v>226</v>
      </c>
      <c r="I157" s="2" t="str">
        <f>IFERROR(__xludf.DUMMYFUNCTION("GOOGLETRANSLATE(C157,""fr"",""en"")"),"Following damage from the wind - a door of a slightly damaged was shelter, the chambran having been torn off. This risk is covered by my insurance and I declared the incident. This cannot be taken into consideration because it is not a climate event (whic"&amp;"h they need !!) they wanted me to get a certificate of the town hall or the neighboring town halls proving the force of the wind and of my neighbors if they had had damage !!!! I had these damage repaired for an amount of € 80.
So I decided to terminate "&amp;"this contract but now they are trying to get bored: a registered letter was posted too early because I had not yet received the deadline! So refusal to terminate! A second letter transmitted 3 days after receiving the maturity notice seems to take the sam"&amp;"e path !! So I think I can terminate all my contracts with Groupama, too bad for the local agency.
I strongly recommend taking out a contract with this company")</f>
        <v>Following damage from the wind - a door of a slightly damaged was shelter, the chambran having been torn off. This risk is covered by my insurance and I declared the incident. This cannot be taken into consideration because it is not a climate event (which they need !!) they wanted me to get a certificate of the town hall or the neighboring town halls proving the force of the wind and of my neighbors if they had had damage !!!! I had these damage repaired for an amount of € 80.
So I decided to terminate this contract but now they are trying to get bored: a registered letter was posted too early because I had not yet received the deadline! So refusal to terminate! A second letter transmitted 3 days after receiving the maturity notice seems to take the same path !! So I think I can terminate all my contracts with Groupama, too bad for the local agency.
I strongly recommend taking out a contract with this company</v>
      </c>
    </row>
    <row r="158" ht="15.75" customHeight="1">
      <c r="B158" s="2" t="s">
        <v>520</v>
      </c>
      <c r="C158" s="2" t="s">
        <v>521</v>
      </c>
      <c r="D158" s="2" t="s">
        <v>479</v>
      </c>
      <c r="E158" s="2" t="s">
        <v>14</v>
      </c>
      <c r="F158" s="2" t="s">
        <v>15</v>
      </c>
      <c r="G158" s="2" t="s">
        <v>522</v>
      </c>
      <c r="H158" s="2" t="s">
        <v>226</v>
      </c>
      <c r="I158" s="2" t="str">
        <f>IFERROR(__xludf.DUMMYFUNCTION("GOOGLETRANSLATE(C158,""fr"",""en"")"),"I do not recommend it to everyone they are people who do not try to solve problems but more to sink into nails following water water damage and disagree with the costing of the expert they did everything to find the little one Beast really to avoid I reco"&amp;"mmended that you pay attention to a little more expensive but avoid this company and especially if it is not part of your region")</f>
        <v>I do not recommend it to everyone they are people who do not try to solve problems but more to sink into nails following water water damage and disagree with the costing of the expert they did everything to find the little one Beast really to avoid I recommended that you pay attention to a little more expensive but avoid this company and especially if it is not part of your region</v>
      </c>
    </row>
    <row r="159" ht="15.75" customHeight="1">
      <c r="B159" s="2" t="s">
        <v>523</v>
      </c>
      <c r="C159" s="2" t="s">
        <v>524</v>
      </c>
      <c r="D159" s="2" t="s">
        <v>479</v>
      </c>
      <c r="E159" s="2" t="s">
        <v>14</v>
      </c>
      <c r="F159" s="2" t="s">
        <v>15</v>
      </c>
      <c r="G159" s="2" t="s">
        <v>525</v>
      </c>
      <c r="H159" s="2" t="s">
        <v>230</v>
      </c>
      <c r="I159" s="2" t="str">
        <f>IFERROR(__xludf.DUMMYFUNCTION("GOOGLETRANSLATE(C159,""fr"",""en"")"),"To sell they are strong, but as soon as you have a disaster which for my part is not my fact (I am not biting by a dog). It's been 1/2 year that they have my file, they are unable to defend me in the face of opponent insurance, and there this day, he offe"&amp;"rs to take a lawyer, naturally they go if I wish to take a Meet my fees will be at my expense. FURSED ASSURANCE")</f>
        <v>To sell they are strong, but as soon as you have a disaster which for my part is not my fact (I am not biting by a dog). It's been 1/2 year that they have my file, they are unable to defend me in the face of opponent insurance, and there this day, he offers to take a lawyer, naturally they go if I wish to take a Meet my fees will be at my expense. FURSED ASSURANCE</v>
      </c>
    </row>
    <row r="160" ht="15.75" customHeight="1">
      <c r="B160" s="2" t="s">
        <v>526</v>
      </c>
      <c r="C160" s="2" t="s">
        <v>527</v>
      </c>
      <c r="D160" s="2" t="s">
        <v>479</v>
      </c>
      <c r="E160" s="2" t="s">
        <v>14</v>
      </c>
      <c r="F160" s="2" t="s">
        <v>15</v>
      </c>
      <c r="G160" s="2" t="s">
        <v>528</v>
      </c>
      <c r="H160" s="2" t="s">
        <v>230</v>
      </c>
      <c r="I160" s="2" t="str">
        <f>IFERROR(__xludf.DUMMYFUNCTION("GOOGLETRANSLATE(C160,""fr"",""en"")"),"Insurance that offers you to ensure many things on the surface and when you look more ready you realize that your contract is filled with small stars which stipulate that you are in fact right to nothing ... There is More clauses than they do not only gua"&amp;"rantee real guarantees. As a result, when you happen to you, you are sure not to be compensated because they can play on words and always be right. And ""icing"" on the cake, they let your requests for recovery die and never respond by making the deaf ear"&amp;" ... Special dedication to the service of the claims valley which without you I will never have seen that I was being fooled And thanks to whom I will be able to terminate my contract ... Flee!")</f>
        <v>Insurance that offers you to ensure many things on the surface and when you look more ready you realize that your contract is filled with small stars which stipulate that you are in fact right to nothing ... There is More clauses than they do not only guarantee real guarantees. As a result, when you happen to you, you are sure not to be compensated because they can play on words and always be right. And "icing" on the cake, they let your requests for recovery die and never respond by making the deaf ear ... Special dedication to the service of the claims valley which without you I will never have seen that I was being fooled And thanks to whom I will be able to terminate my contract ... Flee!</v>
      </c>
    </row>
    <row r="161" ht="15.75" customHeight="1">
      <c r="B161" s="2" t="s">
        <v>529</v>
      </c>
      <c r="C161" s="2" t="s">
        <v>530</v>
      </c>
      <c r="D161" s="2" t="s">
        <v>479</v>
      </c>
      <c r="E161" s="2" t="s">
        <v>14</v>
      </c>
      <c r="F161" s="2" t="s">
        <v>15</v>
      </c>
      <c r="G161" s="2" t="s">
        <v>531</v>
      </c>
      <c r="H161" s="2" t="s">
        <v>230</v>
      </c>
      <c r="I161" s="2" t="str">
        <f>IFERROR(__xludf.DUMMYFUNCTION("GOOGLETRANSLATE(C161,""fr"",""en"")"),"Very pleasantly surprised by this insurer. Several contracts subscribed, very correct prices.
It is only when a disaster occurs that we can really know if our insurance is reliable, and there, after only 1 month of contract, I had a water damage which wa"&amp;"s very good and very quickly taken care of by Groupama. Very responsive and available team.
To see in time if no increase in excessive contribution (which was the case with my previous insurer with whom I had no claim for more than 15 years ..) but for t"&amp;"he moment I am very satisfied And plans to take out other contracts with them.")</f>
        <v>Very pleasantly surprised by this insurer. Several contracts subscribed, very correct prices.
It is only when a disaster occurs that we can really know if our insurance is reliable, and there, after only 1 month of contract, I had a water damage which was very good and very quickly taken care of by Groupama. Very responsive and available team.
To see in time if no increase in excessive contribution (which was the case with my previous insurer with whom I had no claim for more than 15 years ..) but for the moment I am very satisfied And plans to take out other contracts with them.</v>
      </c>
    </row>
    <row r="162" ht="15.75" customHeight="1">
      <c r="B162" s="2" t="s">
        <v>532</v>
      </c>
      <c r="C162" s="2" t="s">
        <v>533</v>
      </c>
      <c r="D162" s="2" t="s">
        <v>479</v>
      </c>
      <c r="E162" s="2" t="s">
        <v>14</v>
      </c>
      <c r="F162" s="2" t="s">
        <v>15</v>
      </c>
      <c r="G162" s="2" t="s">
        <v>534</v>
      </c>
      <c r="H162" s="2" t="s">
        <v>242</v>
      </c>
      <c r="I162" s="2" t="str">
        <f>IFERROR(__xludf.DUMMYFUNCTION("GOOGLETRANSLATE(C162,""fr"",""en"")"),"CATASTROPHIC!!!
Customer at Amaguiz I therefore went to Groupama, I was robbed on March 10, 2020, then complaint filed on June 9 following COVVI (okay, there was the acquisition by Groupama, the covid .....) We are on September 14 and I am still not reim"&amp;"bursed and no one is able to inform me about the processing period of the file.
I find the reimbursement period unacceptable!
Others by I had asked for reimbursement to nine of my HiFi and video equipment (Bang &amp; Olufsen brand), I have been put the refu"&amp;"nd to new, but only in the event of an electrical breakdown ... I remind you that I 'Wait for my insurance a advice which has not been the case at all.
If you buy a new Porsche, you insured it any risk no ???? It seems to me that it is logic.
I totall"&amp;"y prostrate this insurance, and intend to change it as soon as the refund made!
")</f>
        <v>CATASTROPHIC!!!
Customer at Amaguiz I therefore went to Groupama, I was robbed on March 10, 2020, then complaint filed on June 9 following COVVI (okay, there was the acquisition by Groupama, the covid .....) We are on September 14 and I am still not reimbursed and no one is able to inform me about the processing period of the file.
I find the reimbursement period unacceptable!
Others by I had asked for reimbursement to nine of my HiFi and video equipment (Bang &amp; Olufsen brand), I have been put the refund to new, but only in the event of an electrical breakdown ... I remind you that I 'Wait for my insurance a advice which has not been the case at all.
If you buy a new Porsche, you insured it any risk no ???? It seems to me that it is logic.
I totally prostrate this insurance, and intend to change it as soon as the refund made!
</v>
      </c>
    </row>
    <row r="163" ht="15.75" customHeight="1">
      <c r="B163" s="2" t="s">
        <v>535</v>
      </c>
      <c r="C163" s="2" t="s">
        <v>536</v>
      </c>
      <c r="D163" s="2" t="s">
        <v>479</v>
      </c>
      <c r="E163" s="2" t="s">
        <v>14</v>
      </c>
      <c r="F163" s="2" t="s">
        <v>15</v>
      </c>
      <c r="G163" s="2" t="s">
        <v>537</v>
      </c>
      <c r="H163" s="2" t="s">
        <v>246</v>
      </c>
      <c r="I163" s="2" t="str">
        <f>IFERROR(__xludf.DUMMYFUNCTION("GOOGLETRANSLATE(C163,""fr"",""en"")"),"This insurance and to flee as far as possible whether it is in the field of home insurance or legal insurance they always find an excuse for not taking care of the height of a loss that they refuse and immediately a letter of termination does not respect "&amp;"Not contracts, you have to take a lawyer to pursue them not to respect their general conditions I made letters without success already I took this insurance with options without franchise. Privatis contract 4231073 and includes a legal service in their ge"&amp;"neral conditions. But as an option I took the specific legal service - RC Private Life - Criminal Defense and appeal following an accident -PJ -Travail/Tax/Succession
Now that I have a different fiscal he refuses to take it sinister 2020627440 saying I h"&amp;"ave subscribed to legal insurance has a threshold of € 1,19 of my value of € 837 excluding in my general conditions it does not note what describes what describes what describes what describes what describes what describes The lawyer that I will consult w"&amp;"ill peel in detail where he finds that the legal service writes me a pure lie so as not to have to take the dispute")</f>
        <v>This insurance and to flee as far as possible whether it is in the field of home insurance or legal insurance they always find an excuse for not taking care of the height of a loss that they refuse and immediately a letter of termination does not respect Not contracts, you have to take a lawyer to pursue them not to respect their general conditions I made letters without success already I took this insurance with options without franchise. Privatis contract 4231073 and includes a legal service in their general conditions. But as an option I took the specific legal service - RC Private Life - Criminal Defense and appeal following an accident -PJ -Travail/Tax/Succession
Now that I have a different fiscal he refuses to take it sinister 2020627440 saying I have subscribed to legal insurance has a threshold of € 1,19 of my value of € 837 excluding in my general conditions it does not note what describes what describes what describes what describes what describes what describes The lawyer that I will consult will peel in detail where he finds that the legal service writes me a pure lie so as not to have to take the dispute</v>
      </c>
    </row>
    <row r="164" ht="15.75" customHeight="1">
      <c r="B164" s="2" t="s">
        <v>538</v>
      </c>
      <c r="C164" s="2" t="s">
        <v>539</v>
      </c>
      <c r="D164" s="2" t="s">
        <v>479</v>
      </c>
      <c r="E164" s="2" t="s">
        <v>14</v>
      </c>
      <c r="F164" s="2" t="s">
        <v>15</v>
      </c>
      <c r="G164" s="2" t="s">
        <v>540</v>
      </c>
      <c r="H164" s="2" t="s">
        <v>246</v>
      </c>
      <c r="I164" s="2" t="str">
        <f>IFERROR(__xludf.DUMMYFUNCTION("GOOGLETRANSLATE(C164,""fr"",""en"")"),"Customer for more than 20 years, I send a registered letter with acknowledgment of receipt, and yet they refuse to ensure their obligation of result. I solve. These people will earn money from other people now. That said, it is cold in the back because I "&amp;"realize that they have never provided the insurance services that I paid however, but for nothing. As for their investments, I earned less than 10 euros in 20 years, supposedly ...")</f>
        <v>Customer for more than 20 years, I send a registered letter with acknowledgment of receipt, and yet they refuse to ensure their obligation of result. I solve. These people will earn money from other people now. That said, it is cold in the back because I realize that they have never provided the insurance services that I paid however, but for nothing. As for their investments, I earned less than 10 euros in 20 years, supposedly ...</v>
      </c>
    </row>
    <row r="165" ht="15.75" customHeight="1">
      <c r="B165" s="2" t="s">
        <v>541</v>
      </c>
      <c r="C165" s="2" t="s">
        <v>542</v>
      </c>
      <c r="D165" s="2" t="s">
        <v>479</v>
      </c>
      <c r="E165" s="2" t="s">
        <v>14</v>
      </c>
      <c r="F165" s="2" t="s">
        <v>15</v>
      </c>
      <c r="G165" s="2" t="s">
        <v>543</v>
      </c>
      <c r="H165" s="2" t="s">
        <v>246</v>
      </c>
      <c r="I165" s="2" t="str">
        <f>IFERROR(__xludf.DUMMYFUNCTION("GOOGLETRANSLATE(C165,""fr"",""en"")"),"Following a termination, I have been waiting for 3 months that the reimbursement of part of my subscription was fired.
With each stimulus, an automatic response indicating that the reimbursement left day to believe that it makes fun of their customer.")</f>
        <v>Following a termination, I have been waiting for 3 months that the reimbursement of part of my subscription was fired.
With each stimulus, an automatic response indicating that the reimbursement left day to believe that it makes fun of their customer.</v>
      </c>
    </row>
    <row r="166" ht="15.75" customHeight="1">
      <c r="B166" s="2" t="s">
        <v>544</v>
      </c>
      <c r="C166" s="2" t="s">
        <v>545</v>
      </c>
      <c r="D166" s="2" t="s">
        <v>479</v>
      </c>
      <c r="E166" s="2" t="s">
        <v>14</v>
      </c>
      <c r="F166" s="2" t="s">
        <v>15</v>
      </c>
      <c r="G166" s="2" t="s">
        <v>546</v>
      </c>
      <c r="H166" s="2" t="s">
        <v>257</v>
      </c>
      <c r="I166" s="2" t="str">
        <f>IFERROR(__xludf.DUMMYFUNCTION("GOOGLETRANSLATE(C166,""fr"",""en"")"),"After 2 non -responsible claims (electrical damage following thunderstorms) in 4 years of contract, receipt of a termination letter, obviously without prior appeal from my local advisor.")</f>
        <v>After 2 non -responsible claims (electrical damage following thunderstorms) in 4 years of contract, receipt of a termination letter, obviously without prior appeal from my local advisor.</v>
      </c>
    </row>
    <row r="167" ht="15.75" customHeight="1">
      <c r="B167" s="2" t="s">
        <v>547</v>
      </c>
      <c r="C167" s="2" t="s">
        <v>548</v>
      </c>
      <c r="D167" s="2" t="s">
        <v>479</v>
      </c>
      <c r="E167" s="2" t="s">
        <v>14</v>
      </c>
      <c r="F167" s="2" t="s">
        <v>15</v>
      </c>
      <c r="G167" s="2" t="s">
        <v>549</v>
      </c>
      <c r="H167" s="2" t="s">
        <v>550</v>
      </c>
      <c r="I167" s="2" t="str">
        <f>IFERROR(__xludf.DUMMYFUNCTION("GOOGLETRANSLATE(C167,""fr"",""en"")"),"Prohibitive prices in front of comparable competing offer + 30% against mutualist insurers for example")</f>
        <v>Prohibitive prices in front of comparable competing offer + 30% against mutualist insurers for example</v>
      </c>
    </row>
    <row r="168" ht="15.75" customHeight="1">
      <c r="B168" s="2" t="s">
        <v>551</v>
      </c>
      <c r="C168" s="2" t="s">
        <v>552</v>
      </c>
      <c r="D168" s="2" t="s">
        <v>479</v>
      </c>
      <c r="E168" s="2" t="s">
        <v>14</v>
      </c>
      <c r="F168" s="2" t="s">
        <v>15</v>
      </c>
      <c r="G168" s="2" t="s">
        <v>553</v>
      </c>
      <c r="H168" s="2" t="s">
        <v>554</v>
      </c>
      <c r="I168" s="2" t="str">
        <f>IFERROR(__xludf.DUMMYFUNCTION("GOOGLETRANSLATE(C168,""fr"",""en"")"),"""We will not assure you because you have too many valuables, and anyway our competitors too ...""
So knowing that I am already insured, and for exactly the same thing as what I ask for, how do you explain that your competitor assures me?!
""I don't kno"&amp;"w...""
In this case, do not affirm that none of your competitors will not ensure me, knowing that I am already and that I have 4 additional quotes ready to be signed.
I remember dealing with their service for an auto insurance subscription several years"&amp;" ago and it was the same principle, coverage at a discount and Loins contributions to be competitive in the face of solid and essential markets on the market (Allianz, AXA, MAAF etc ...)")</f>
        <v>"We will not assure you because you have too many valuables, and anyway our competitors too ..."
So knowing that I am already insured, and for exactly the same thing as what I ask for, how do you explain that your competitor assures me?!
"I don't know..."
In this case, do not affirm that none of your competitors will not ensure me, knowing that I am already and that I have 4 additional quotes ready to be signed.
I remember dealing with their service for an auto insurance subscription several years ago and it was the same principle, coverage at a discount and Loins contributions to be competitive in the face of solid and essential markets on the market (Allianz, AXA, MAAF etc ...)</v>
      </c>
    </row>
    <row r="169" ht="15.75" customHeight="1">
      <c r="B169" s="2" t="s">
        <v>555</v>
      </c>
      <c r="C169" s="2" t="s">
        <v>556</v>
      </c>
      <c r="D169" s="2" t="s">
        <v>479</v>
      </c>
      <c r="E169" s="2" t="s">
        <v>14</v>
      </c>
      <c r="F169" s="2" t="s">
        <v>15</v>
      </c>
      <c r="G169" s="2" t="s">
        <v>557</v>
      </c>
      <c r="H169" s="2" t="s">
        <v>277</v>
      </c>
      <c r="I169" s="2" t="str">
        <f>IFERROR(__xludf.DUMMYFUNCTION("GOOGLETRANSLATE(C169,""fr"",""en"")"),"Everything is going well until the day we want to leave them")</f>
        <v>Everything is going well until the day we want to leave them</v>
      </c>
    </row>
    <row r="170" ht="15.75" customHeight="1">
      <c r="B170" s="2" t="s">
        <v>558</v>
      </c>
      <c r="C170" s="2" t="s">
        <v>559</v>
      </c>
      <c r="D170" s="2" t="s">
        <v>479</v>
      </c>
      <c r="E170" s="2" t="s">
        <v>14</v>
      </c>
      <c r="F170" s="2" t="s">
        <v>15</v>
      </c>
      <c r="G170" s="2" t="s">
        <v>291</v>
      </c>
      <c r="H170" s="2" t="s">
        <v>288</v>
      </c>
      <c r="I170" s="2" t="str">
        <f>IFERROR(__xludf.DUMMYFUNCTION("GOOGLETRANSLATE(C170,""fr"",""en"")"),"Do not count on Groupama to be responsive I had a disaster there is 1 month ago and they still did nothing he walks me on the phone and crazy")</f>
        <v>Do not count on Groupama to be responsive I had a disaster there is 1 month ago and they still did nothing he walks me on the phone and crazy</v>
      </c>
    </row>
    <row r="171" ht="15.75" customHeight="1">
      <c r="B171" s="2" t="s">
        <v>560</v>
      </c>
      <c r="C171" s="2" t="s">
        <v>561</v>
      </c>
      <c r="D171" s="2" t="s">
        <v>479</v>
      </c>
      <c r="E171" s="2" t="s">
        <v>14</v>
      </c>
      <c r="F171" s="2" t="s">
        <v>15</v>
      </c>
      <c r="G171" s="2" t="s">
        <v>562</v>
      </c>
      <c r="H171" s="2" t="s">
        <v>328</v>
      </c>
      <c r="I171" s="2" t="str">
        <f>IFERROR(__xludf.DUMMYFUNCTION("GOOGLETRANSLATE(C171,""fr"",""en"")"),"Termination in March 2018 following a move, 8 months later, letters from bailiff asking me to be settled for dates where I was no longer with them. 7 months later still no answers to my dozens of emails and threads where the advisers refer the ball ... to"&amp;" ultimately say that I do not follow up to force you to pay 8 months of insurance for accommodation Where I no longer live with proof of termination of my contract in March 2018 and not in October 2018 as they try to make believe!
To be fleece !!!!")</f>
        <v>Termination in March 2018 following a move, 8 months later, letters from bailiff asking me to be settled for dates where I was no longer with them. 7 months later still no answers to my dozens of emails and threads where the advisers refer the ball ... to ultimately say that I do not follow up to force you to pay 8 months of insurance for accommodation Where I no longer live with proof of termination of my contract in March 2018 and not in October 2018 as they try to make believe!
To be fleece !!!!</v>
      </c>
    </row>
    <row r="172" ht="15.75" customHeight="1">
      <c r="B172" s="2" t="s">
        <v>563</v>
      </c>
      <c r="C172" s="2" t="s">
        <v>564</v>
      </c>
      <c r="D172" s="2" t="s">
        <v>479</v>
      </c>
      <c r="E172" s="2" t="s">
        <v>14</v>
      </c>
      <c r="F172" s="2" t="s">
        <v>15</v>
      </c>
      <c r="G172" s="2" t="s">
        <v>565</v>
      </c>
      <c r="H172" s="2" t="s">
        <v>335</v>
      </c>
      <c r="I172" s="2" t="str">
        <f>IFERROR(__xludf.DUMMYFUNCTION("GOOGLETRANSLATE(C172,""fr"",""en"")"),"Assueur dealing with his customers as dogs, legal service that fucks it and who treats your files anything, no support despite several active contracts, I advise any customer to be barred")</f>
        <v>Assueur dealing with his customers as dogs, legal service that fucks it and who treats your files anything, no support despite several active contracts, I advise any customer to be barred</v>
      </c>
    </row>
    <row r="173" ht="15.75" customHeight="1">
      <c r="B173" s="2" t="s">
        <v>566</v>
      </c>
      <c r="C173" s="2" t="s">
        <v>567</v>
      </c>
      <c r="D173" s="2" t="s">
        <v>479</v>
      </c>
      <c r="E173" s="2" t="s">
        <v>14</v>
      </c>
      <c r="F173" s="2" t="s">
        <v>15</v>
      </c>
      <c r="G173" s="2" t="s">
        <v>568</v>
      </c>
      <c r="H173" s="2" t="s">
        <v>339</v>
      </c>
      <c r="I173" s="2" t="str">
        <f>IFERROR(__xludf.DUMMYFUNCTION("GOOGLETRANSLATE(C173,""fr"",""en"")"),"It is an old -fashioned insurer, the online mobile site is precarious, when you have to pay its annual subscription it is by check because on the phone they do not know online as I said the site is bogus. If we send an online message for more than a week "&amp;"to have a response by phone! I have to renew my assurance that I do not stop. Too complicated in the old way does not evolve")</f>
        <v>It is an old -fashioned insurer, the online mobile site is precarious, when you have to pay its annual subscription it is by check because on the phone they do not know online as I said the site is bogus. If we send an online message for more than a week to have a response by phone! I have to renew my assurance that I do not stop. Too complicated in the old way does not evolve</v>
      </c>
    </row>
    <row r="174" ht="15.75" customHeight="1">
      <c r="B174" s="2" t="s">
        <v>569</v>
      </c>
      <c r="C174" s="2" t="s">
        <v>570</v>
      </c>
      <c r="D174" s="2" t="s">
        <v>479</v>
      </c>
      <c r="E174" s="2" t="s">
        <v>14</v>
      </c>
      <c r="F174" s="2" t="s">
        <v>15</v>
      </c>
      <c r="G174" s="2" t="s">
        <v>571</v>
      </c>
      <c r="H174" s="2" t="s">
        <v>572</v>
      </c>
      <c r="I174" s="2" t="str">
        <f>IFERROR(__xludf.DUMMYFUNCTION("GOOGLETRANSLATE(C174,""fr"",""en"")"),"In 2013 I had an insured craftsman made at Groupama, a parquet floor in a very small house in Dordogne, I live in Montpellier, but in 2019 this parquet was collapsed and the room is impracticable. I can no longer go to this little house and I am cut off f"&amp;"rom my family. My children and grandchildren can no longer meet for holidays and family meetings, I can no longer rent.
I want to point out that despite this obvious disaster following this defective and absent floor work because completely rotten, despi"&amp;"te the opinions of the experts Macif and Groupama, Groupama refuses to take care of the ten -year guarantee, this insurer refuses to unandemnis and leave me With an uninhabitable house.
The damage has been going on for a year !!! The damage is undeniable"&amp;"!
Despite the contract and the premiums paid, the insurer assures nothing!
This behavior is unacceptable and very detrimental to the insured people we are.
All documents attest to these facts and the insurer remains deaf indifferent to the difficulties"&amp;" he imposes and by this attitude forced people to go to court, justice overwhelmed by the multiplication of this kind of behavior of refusal to assume his contractual commitments .
I strongly advise against dealing with Groupama.
LM")</f>
        <v>In 2013 I had an insured craftsman made at Groupama, a parquet floor in a very small house in Dordogne, I live in Montpellier, but in 2019 this parquet was collapsed and the room is impracticable. I can no longer go to this little house and I am cut off from my family. My children and grandchildren can no longer meet for holidays and family meetings, I can no longer rent.
I want to point out that despite this obvious disaster following this defective and absent floor work because completely rotten, despite the opinions of the experts Macif and Groupama, Groupama refuses to take care of the ten -year guarantee, this insurer refuses to unandemnis and leave me With an uninhabitable house.
The damage has been going on for a year !!! The damage is undeniable!
Despite the contract and the premiums paid, the insurer assures nothing!
This behavior is unacceptable and very detrimental to the insured people we are.
All documents attest to these facts and the insurer remains deaf indifferent to the difficulties he imposes and by this attitude forced people to go to court, justice overwhelmed by the multiplication of this kind of behavior of refusal to assume his contractual commitments .
I strongly advise against dealing with Groupama.
LM</v>
      </c>
    </row>
    <row r="175" ht="15.75" customHeight="1">
      <c r="B175" s="2" t="s">
        <v>573</v>
      </c>
      <c r="C175" s="2" t="s">
        <v>574</v>
      </c>
      <c r="D175" s="2" t="s">
        <v>479</v>
      </c>
      <c r="E175" s="2" t="s">
        <v>14</v>
      </c>
      <c r="F175" s="2" t="s">
        <v>15</v>
      </c>
      <c r="G175" s="2" t="s">
        <v>575</v>
      </c>
      <c r="H175" s="2" t="s">
        <v>21</v>
      </c>
      <c r="I175" s="2" t="str">
        <f>IFERROR(__xludf.DUMMYFUNCTION("GOOGLETRANSLATE(C175,""fr"",""en"")"),"We had a claim with Enedis Survolution, on 08/16/2018 and since we have been waiting for the Groupama sinister service to compensate us. We accepted Enedis' last proposal to end this problem. No news, we regularly send emails to ask when we receive our co"&amp;"mpensation, nothing. We thought that Groupama would compensate us since the amount that Enedis grants us is known, but Groupama does not want to advance the funds. On the other hand, take from our account every month, they can.")</f>
        <v>We had a claim with Enedis Survolution, on 08/16/2018 and since we have been waiting for the Groupama sinister service to compensate us. We accepted Enedis' last proposal to end this problem. No news, we regularly send emails to ask when we receive our compensation, nothing. We thought that Groupama would compensate us since the amount that Enedis grants us is known, but Groupama does not want to advance the funds. On the other hand, take from our account every month, they can.</v>
      </c>
    </row>
    <row r="176" ht="15.75" customHeight="1">
      <c r="B176" s="2" t="s">
        <v>576</v>
      </c>
      <c r="C176" s="2" t="s">
        <v>577</v>
      </c>
      <c r="D176" s="2" t="s">
        <v>479</v>
      </c>
      <c r="E176" s="2" t="s">
        <v>14</v>
      </c>
      <c r="F176" s="2" t="s">
        <v>15</v>
      </c>
      <c r="G176" s="2" t="s">
        <v>578</v>
      </c>
      <c r="H176" s="2" t="s">
        <v>349</v>
      </c>
      <c r="I176" s="2" t="str">
        <f>IFERROR(__xludf.DUMMYFUNCTION("GOOGLETRANSLATE(C176,""fr"",""en"")"),"I have the impression of making a donation by paying the subscription. Shameful and false responses, not corresponding to the contract. They always find an escape. Are not correct. Looking for another insurer more respectful of their customers, this must "&amp;"exist")</f>
        <v>I have the impression of making a donation by paying the subscription. Shameful and false responses, not corresponding to the contract. They always find an escape. Are not correct. Looking for another insurer more respectful of their customers, this must exist</v>
      </c>
    </row>
    <row r="177" ht="15.75" customHeight="1">
      <c r="B177" s="2" t="s">
        <v>579</v>
      </c>
      <c r="C177" s="2" t="s">
        <v>580</v>
      </c>
      <c r="D177" s="2" t="s">
        <v>479</v>
      </c>
      <c r="E177" s="2" t="s">
        <v>14</v>
      </c>
      <c r="F177" s="2" t="s">
        <v>15</v>
      </c>
      <c r="G177" s="2" t="s">
        <v>581</v>
      </c>
      <c r="H177" s="2" t="s">
        <v>31</v>
      </c>
      <c r="I177" s="2" t="str">
        <f>IFERROR(__xludf.DUMMYFUNCTION("GOOGLETRANSLATE(C177,""fr"",""en"")"),"Very poor reimbursement following burglary in contradiction with the general conditions. who stipulate that they are guaranteed in replacement value, that is to say during the day of the disaster when they did it the occasion auction room or 75% of their "&amp;"estimated value in 1990 near a jeweler of Dinan")</f>
        <v>Very poor reimbursement following burglary in contradiction with the general conditions. who stipulate that they are guaranteed in replacement value, that is to say during the day of the disaster when they did it the occasion auction room or 75% of their estimated value in 1990 near a jeweler of Dinan</v>
      </c>
    </row>
    <row r="178" ht="15.75" customHeight="1">
      <c r="B178" s="2" t="s">
        <v>582</v>
      </c>
      <c r="C178" s="2" t="s">
        <v>583</v>
      </c>
      <c r="D178" s="2" t="s">
        <v>479</v>
      </c>
      <c r="E178" s="2" t="s">
        <v>14</v>
      </c>
      <c r="F178" s="2" t="s">
        <v>15</v>
      </c>
      <c r="G178" s="2" t="s">
        <v>584</v>
      </c>
      <c r="H178" s="2" t="s">
        <v>74</v>
      </c>
      <c r="I178" s="2" t="str">
        <f>IFERROR(__xludf.DUMMYFUNCTION("GOOGLETRANSLATE(C178,""fr"",""en"")"),"Does not apply the duty of advice. Contract signed in 1987 by my father. No updating. On the death of my father big difficulties in terminating the contract. They even claim proof that a new insurance has been taken out. In short, stand out. We also had d"&amp;"ifficulties in receiving the amount of life insurance that my father had subscribed. Life insurance, which is not very efficient. I formally advise against.")</f>
        <v>Does not apply the duty of advice. Contract signed in 1987 by my father. No updating. On the death of my father big difficulties in terminating the contract. They even claim proof that a new insurance has been taken out. In short, stand out. We also had difficulties in receiving the amount of life insurance that my father had subscribed. Life insurance, which is not very efficient. I formally advise against.</v>
      </c>
    </row>
    <row r="179" ht="15.75" customHeight="1">
      <c r="B179" s="2" t="s">
        <v>585</v>
      </c>
      <c r="C179" s="2" t="s">
        <v>586</v>
      </c>
      <c r="D179" s="2" t="s">
        <v>479</v>
      </c>
      <c r="E179" s="2" t="s">
        <v>14</v>
      </c>
      <c r="F179" s="2" t="s">
        <v>15</v>
      </c>
      <c r="G179" s="2" t="s">
        <v>587</v>
      </c>
      <c r="H179" s="2" t="s">
        <v>74</v>
      </c>
      <c r="I179" s="2" t="str">
        <f>IFERROR(__xludf.DUMMYFUNCTION("GOOGLETRANSLATE(C179,""fr"",""en"")"),"As a result of your disaster of road accidents as a victim, despite the clause in their contract.")</f>
        <v>As a result of your disaster of road accidents as a victim, despite the clause in their contract.</v>
      </c>
    </row>
    <row r="180" ht="15.75" customHeight="1">
      <c r="B180" s="2" t="s">
        <v>588</v>
      </c>
      <c r="C180" s="2" t="s">
        <v>589</v>
      </c>
      <c r="D180" s="2" t="s">
        <v>479</v>
      </c>
      <c r="E180" s="2" t="s">
        <v>14</v>
      </c>
      <c r="F180" s="2" t="s">
        <v>15</v>
      </c>
      <c r="G180" s="2" t="s">
        <v>590</v>
      </c>
      <c r="H180" s="2" t="s">
        <v>391</v>
      </c>
      <c r="I180" s="2" t="str">
        <f>IFERROR(__xludf.DUMMYFUNCTION("GOOGLETRANSLATE(C180,""fr"",""en"")"),"Flee this insurer!")</f>
        <v>Flee this insurer!</v>
      </c>
    </row>
    <row r="181" ht="15.75" customHeight="1">
      <c r="B181" s="2" t="s">
        <v>591</v>
      </c>
      <c r="C181" s="2" t="s">
        <v>592</v>
      </c>
      <c r="D181" s="2" t="s">
        <v>479</v>
      </c>
      <c r="E181" s="2" t="s">
        <v>14</v>
      </c>
      <c r="F181" s="2" t="s">
        <v>15</v>
      </c>
      <c r="G181" s="2" t="s">
        <v>398</v>
      </c>
      <c r="H181" s="2" t="s">
        <v>395</v>
      </c>
      <c r="I181" s="2" t="str">
        <f>IFERROR(__xludf.DUMMYFUNCTION("GOOGLETRANSLATE(C181,""fr"",""en"")"),"Following burglary, a carpenter is recommended by Groupama. Cibs badly taken on an entrance door (2 cm day to the bottom of the door ...) windows not closing (on the ground floor on the street ...) State of the deplorable site, shutters placed despite com"&amp;"mon sense. Artisan sent by Groupama refuses to return / silent sinister service. Assessment: new break -in by the window that did not close. Cheer")</f>
        <v>Following burglary, a carpenter is recommended by Groupama. Cibs badly taken on an entrance door (2 cm day to the bottom of the door ...) windows not closing (on the ground floor on the street ...) State of the deplorable site, shutters placed despite common sense. Artisan sent by Groupama refuses to return / silent sinister service. Assessment: new break -in by the window that did not close. Cheer</v>
      </c>
    </row>
    <row r="182" ht="15.75" customHeight="1">
      <c r="B182" s="2" t="s">
        <v>593</v>
      </c>
      <c r="C182" s="2" t="s">
        <v>594</v>
      </c>
      <c r="D182" s="2" t="s">
        <v>479</v>
      </c>
      <c r="E182" s="2" t="s">
        <v>14</v>
      </c>
      <c r="F182" s="2" t="s">
        <v>15</v>
      </c>
      <c r="G182" s="2" t="s">
        <v>595</v>
      </c>
      <c r="H182" s="2" t="s">
        <v>395</v>
      </c>
      <c r="I182" s="2" t="str">
        <f>IFERROR(__xludf.DUMMYFUNCTION("GOOGLETRANSLATE(C182,""fr"",""en"")"),"Following a water damage which dates from more than 5 months and which damaged the bathroom parquet, I have still not received compensation to be able to change the parquet and the broken shower. They ask to change the shower before putting the prosecutio"&amp;"n when it is not possible and then change their mind. When I call them, it is not ashamed to tell me that my file does not advance because I have been forgotten or I must tell them to look at the expert reports they have ordered but they do not read Not i"&amp;"f I don't call them. They find that prices are too high and bring about experts to check the prices announced while I have been a customer at home for 20 years and that the amount (€ 4,000) is far from what I paid each year without ever having Damage and "&amp;"that picking up for this seems strange to me because in addition it is their approved professionals who make the quotes.")</f>
        <v>Following a water damage which dates from more than 5 months and which damaged the bathroom parquet, I have still not received compensation to be able to change the parquet and the broken shower. They ask to change the shower before putting the prosecution when it is not possible and then change their mind. When I call them, it is not ashamed to tell me that my file does not advance because I have been forgotten or I must tell them to look at the expert reports they have ordered but they do not read Not if I don't call them. They find that prices are too high and bring about experts to check the prices announced while I have been a customer at home for 20 years and that the amount (€ 4,000) is far from what I paid each year without ever having Damage and that picking up for this seems strange to me because in addition it is their approved professionals who make the quotes.</v>
      </c>
    </row>
    <row r="183" ht="15.75" customHeight="1">
      <c r="B183" s="2" t="s">
        <v>596</v>
      </c>
      <c r="C183" s="2" t="s">
        <v>597</v>
      </c>
      <c r="D183" s="2" t="s">
        <v>479</v>
      </c>
      <c r="E183" s="2" t="s">
        <v>14</v>
      </c>
      <c r="F183" s="2" t="s">
        <v>15</v>
      </c>
      <c r="G183" s="2" t="s">
        <v>598</v>
      </c>
      <c r="H183" s="2" t="s">
        <v>409</v>
      </c>
      <c r="I183" s="2" t="str">
        <f>IFERROR(__xludf.DUMMYFUNCTION("GOOGLETRANSLATE(C183,""fr"",""en"")"),"Dramatic. Lack of competence and monitoring of claims. Everything is by phone (I spent hours trying to settle this loss amicably) they always refuse to engage in writing. The home policy seems to be we do not answer one customers and we make it wait ... 8"&amp;" months after I am still with my window which was broken with risk of falling on the street. Did you say serious?")</f>
        <v>Dramatic. Lack of competence and monitoring of claims. Everything is by phone (I spent hours trying to settle this loss amicably) they always refuse to engage in writing. The home policy seems to be we do not answer one customers and we make it wait ... 8 months after I am still with my window which was broken with risk of falling on the street. Did you say serious?</v>
      </c>
    </row>
    <row r="184" ht="15.75" customHeight="1">
      <c r="B184" s="2" t="s">
        <v>599</v>
      </c>
      <c r="C184" s="2" t="s">
        <v>600</v>
      </c>
      <c r="D184" s="2" t="s">
        <v>479</v>
      </c>
      <c r="E184" s="2" t="s">
        <v>14</v>
      </c>
      <c r="F184" s="2" t="s">
        <v>15</v>
      </c>
      <c r="G184" s="2" t="s">
        <v>601</v>
      </c>
      <c r="H184" s="2" t="s">
        <v>127</v>
      </c>
      <c r="I184" s="2" t="str">
        <f>IFERROR(__xludf.DUMMYFUNCTION("GOOGLETRANSLATE(C184,""fr"",""en"")"),"By far the best insurance company I have seen. Certainly a little more expensive, but they take care of everything in the event of a glitch. It must also be said that all our insurances are at home (parents, sister, car, housing). Motorcycle side, on the "&amp;"other hand, drop !!!")</f>
        <v>By far the best insurance company I have seen. Certainly a little more expensive, but they take care of everything in the event of a glitch. It must also be said that all our insurances are at home (parents, sister, car, housing). Motorcycle side, on the other hand, drop !!!</v>
      </c>
    </row>
    <row r="185" ht="15.75" customHeight="1">
      <c r="B185" s="2" t="s">
        <v>602</v>
      </c>
      <c r="C185" s="2" t="s">
        <v>603</v>
      </c>
      <c r="D185" s="2" t="s">
        <v>479</v>
      </c>
      <c r="E185" s="2" t="s">
        <v>14</v>
      </c>
      <c r="F185" s="2" t="s">
        <v>15</v>
      </c>
      <c r="G185" s="2" t="s">
        <v>604</v>
      </c>
      <c r="H185" s="2" t="s">
        <v>131</v>
      </c>
      <c r="I185" s="2" t="str">
        <f>IFERROR(__xludf.DUMMYFUNCTION("GOOGLETRANSLATE(C185,""fr"",""en"")"),"Having had a disaster, I moved to the Groupama agency in my sector, the advisor, after giving me a phone number which directed me to the person taking care of the claims, then me
Mandated to go and file a complaint with the gendarmerie, which was done, i"&amp;"n stride.
I then immediately called and I was told that my disaster was not covered by my insurance!
I would have preferred that the advisor in my sector take the trouble to check my contract to tell me that I will not be compensated I will not have los"&amp;"t my time !!!")</f>
        <v>Having had a disaster, I moved to the Groupama agency in my sector, the advisor, after giving me a phone number which directed me to the person taking care of the claims, then me
Mandated to go and file a complaint with the gendarmerie, which was done, in stride.
I then immediately called and I was told that my disaster was not covered by my insurance!
I would have preferred that the advisor in my sector take the trouble to check my contract to tell me that I will not be compensated I will not have lost my time !!!</v>
      </c>
    </row>
    <row r="186" ht="15.75" customHeight="1">
      <c r="B186" s="2" t="s">
        <v>605</v>
      </c>
      <c r="C186" s="2" t="s">
        <v>606</v>
      </c>
      <c r="D186" s="2" t="s">
        <v>479</v>
      </c>
      <c r="E186" s="2" t="s">
        <v>14</v>
      </c>
      <c r="F186" s="2" t="s">
        <v>15</v>
      </c>
      <c r="G186" s="2" t="s">
        <v>607</v>
      </c>
      <c r="H186" s="2" t="s">
        <v>138</v>
      </c>
      <c r="I186" s="2" t="str">
        <f>IFERROR(__xludf.DUMMYFUNCTION("GOOGLETRANSLATE(C186,""fr"",""en"")"),"My sister and I sold on 30/12/2016 a house insured with Groupama until 12/31/2016.
On 12/31, I sent an email to the Groupama agency in Treignac (19260) to indicate this situation by joining the sales certificate established by the notary; I asked that th"&amp;"e levy of € 256.01 to be taken on 01/16/2017 is not applied.
On 12/31/2017 I call the agency and an answering machine tells me that it is closed until 03/01/2017
On 03/01 I receive the acknowledgment of receipt of my email from 12/31.
04/04/2017 I call"&amp;" the Treignac agency and I come across Groupama customer service; The person who answers me tells me that the sample on 01/16/2017 left in the circuit, that it would have been necessary to call 03/01 and that I must oppose my bank for the levy.
To oppose"&amp;" it is paying; It was therefore necessary to supply the account in an emergency, otherwise it was insufficiently supplied with all the consequences that it would have had.
On 04/01 the manager of the Treignac agency indicates to me by email that it suppo"&amp;"rts my request and that it transmits the file to its service.
On January 19 I received an email from Groupama for a satisfaction survey: I indicated my dissatisfaction on the site but I think that no one read it; So what are these surveys for?
On Februa"&amp;"ry 3 at 9:58 a.m. the agency does not answer and the call is automatically transferred to customer service. The correspondent tells me that there have been errors in the transmission of parts; The file has been complete since 01/10/2017 and the refund sho"&amp;"uld take place around February 15 !!!!!!!
To date, 07/02/2017, I had no news from Groupama except that the sample of 16/01 took place.
So you will understand my dissatisfaction: what are the agencies for?
They are good for a subscription but not for a "&amp;"termination !!!!
Groupama's responsiveness leaves in my opinion really to be desired; Is the same for claims?
So I will terminate all my family's contracts, I will ask my sister to do the same.
")</f>
        <v>My sister and I sold on 30/12/2016 a house insured with Groupama until 12/31/2016.
On 12/31, I sent an email to the Groupama agency in Treignac (19260) to indicate this situation by joining the sales certificate established by the notary; I asked that the levy of € 256.01 to be taken on 01/16/2017 is not applied.
On 12/31/2017 I call the agency and an answering machine tells me that it is closed until 03/01/2017
On 03/01 I receive the acknowledgment of receipt of my email from 12/31.
04/04/2017 I call the Treignac agency and I come across Groupama customer service; The person who answers me tells me that the sample on 01/16/2017 left in the circuit, that it would have been necessary to call 03/01 and that I must oppose my bank for the levy.
To oppose it is paying; It was therefore necessary to supply the account in an emergency, otherwise it was insufficiently supplied with all the consequences that it would have had.
On 04/01 the manager of the Treignac agency indicates to me by email that it supports my request and that it transmits the file to its service.
On January 19 I received an email from Groupama for a satisfaction survey: I indicated my dissatisfaction on the site but I think that no one read it; So what are these surveys for?
On February 3 at 9:58 a.m. the agency does not answer and the call is automatically transferred to customer service. The correspondent tells me that there have been errors in the transmission of parts; The file has been complete since 01/10/2017 and the refund should take place around February 15 !!!!!!!
To date, 07/02/2017, I had no news from Groupama except that the sample of 16/01 took place.
So you will understand my dissatisfaction: what are the agencies for?
They are good for a subscription but not for a termination !!!!
Groupama's responsiveness leaves in my opinion really to be desired; Is the same for claims?
So I will terminate all my family's contracts, I will ask my sister to do the same.
</v>
      </c>
    </row>
    <row r="187" ht="15.75" customHeight="1">
      <c r="B187" s="2" t="s">
        <v>608</v>
      </c>
      <c r="C187" s="2" t="s">
        <v>609</v>
      </c>
      <c r="D187" s="2" t="s">
        <v>479</v>
      </c>
      <c r="E187" s="2" t="s">
        <v>14</v>
      </c>
      <c r="F187" s="2" t="s">
        <v>15</v>
      </c>
      <c r="G187" s="2" t="s">
        <v>468</v>
      </c>
      <c r="H187" s="2" t="s">
        <v>469</v>
      </c>
      <c r="I187" s="2" t="str">
        <f>IFERROR(__xludf.DUMMYFUNCTION("GOOGLETRANSLATE(C187,""fr"",""en"")"),"1st a scales in 20 years at Groupama, burglary with very psychologically traumatic break -in and I am stripped of all the valuables accumulated since my birth. Result: Groupama sends me an expert who treats me as an presumed guilty to insurance and uses a"&amp;"ll possible and imaginable intimidation attempts. They drag the reimbursement of the lock to 400 euros which they had validated in writing the quote 6 months ago (I took care to request their agreement before touching anything). In short if you want to be"&amp;" treated like a culprit when you are a victim and to be reimbursed 2 euros when you lose all your life, you have to go to Groupama! A absolutely fleeing !!!!")</f>
        <v>1st a scales in 20 years at Groupama, burglary with very psychologically traumatic break -in and I am stripped of all the valuables accumulated since my birth. Result: Groupama sends me an expert who treats me as an presumed guilty to insurance and uses all possible and imaginable intimidation attempts. They drag the reimbursement of the lock to 400 euros which they had validated in writing the quote 6 months ago (I took care to request their agreement before touching anything). In short if you want to be treated like a culprit when you are a victim and to be reimbursed 2 euros when you lose all your life, you have to go to Groupama! A absolutely fleeing !!!!</v>
      </c>
    </row>
    <row r="188" ht="15.75" customHeight="1">
      <c r="B188" s="2" t="s">
        <v>610</v>
      </c>
      <c r="C188" s="2" t="s">
        <v>611</v>
      </c>
      <c r="D188" s="2" t="s">
        <v>612</v>
      </c>
      <c r="E188" s="2" t="s">
        <v>14</v>
      </c>
      <c r="F188" s="2" t="s">
        <v>15</v>
      </c>
      <c r="G188" s="2" t="s">
        <v>613</v>
      </c>
      <c r="H188" s="2" t="s">
        <v>226</v>
      </c>
      <c r="I188" s="2" t="str">
        <f>IFERROR(__xludf.DUMMYFUNCTION("GOOGLETRANSLATE(C188,""fr"",""en"")"),"The welcome is cold and not friendly. The wait is long. The job is poorly explained and you have to move to make a credit card. On a wheelchair at the time I found it unacceptable (no checkbook)")</f>
        <v>The welcome is cold and not friendly. The wait is long. The job is poorly explained and you have to move to make a credit card. On a wheelchair at the time I found it unacceptable (no checkbook)</v>
      </c>
    </row>
    <row r="189" ht="15.75" customHeight="1">
      <c r="B189" s="2" t="s">
        <v>614</v>
      </c>
      <c r="C189" s="2" t="s">
        <v>615</v>
      </c>
      <c r="D189" s="2" t="s">
        <v>612</v>
      </c>
      <c r="E189" s="2" t="s">
        <v>14</v>
      </c>
      <c r="F189" s="2" t="s">
        <v>15</v>
      </c>
      <c r="G189" s="2" t="s">
        <v>616</v>
      </c>
      <c r="H189" s="2" t="s">
        <v>160</v>
      </c>
      <c r="I189" s="2" t="str">
        <f>IFERROR(__xludf.DUMMYFUNCTION("GOOGLETRANSLATE(C189,""fr"",""en"")"),"I presented myself to the agency, I always remember the pleasant welcome that was reserved for me to signed my contract.
With Axa I trust; it will be to be redone I will choose Axa as my main insurer")</f>
        <v>I presented myself to the agency, I always remember the pleasant welcome that was reserved for me to signed my contract.
With Axa I trust; it will be to be redone I will choose Axa as my main insurer</v>
      </c>
    </row>
    <row r="190" ht="15.75" customHeight="1">
      <c r="B190" s="2" t="s">
        <v>617</v>
      </c>
      <c r="C190" s="2" t="s">
        <v>618</v>
      </c>
      <c r="D190" s="2" t="s">
        <v>612</v>
      </c>
      <c r="E190" s="2" t="s">
        <v>14</v>
      </c>
      <c r="F190" s="2" t="s">
        <v>15</v>
      </c>
      <c r="G190" s="2" t="s">
        <v>619</v>
      </c>
      <c r="H190" s="2" t="s">
        <v>160</v>
      </c>
      <c r="I190" s="2" t="str">
        <f>IFERROR(__xludf.DUMMYFUNCTION("GOOGLETRANSLATE(C190,""fr"",""en"")"),"After about 30 years of multi insurance and various contracts, and very few claims in 30 years, AXA cannot resolve a dispute with an identified third party (2 years that it lasts).
Response of the adviser in a phone agency: if you are not satisfied to ch"&amp;"ange company, and no longer respond to emails because there is a sinister service.
Response of the sinister service: The opposing part (AXA) does not answer I relaunch again and again.
2 years it's long, .... disappointing ...... litigation of -of 4000 "&amp;"euros")</f>
        <v>After about 30 years of multi insurance and various contracts, and very few claims in 30 years, AXA cannot resolve a dispute with an identified third party (2 years that it lasts).
Response of the adviser in a phone agency: if you are not satisfied to change company, and no longer respond to emails because there is a sinister service.
Response of the sinister service: The opposing part (AXA) does not answer I relaunch again and again.
2 years it's long, .... disappointing ...... litigation of -of 4000 euros</v>
      </c>
    </row>
    <row r="191" ht="15.75" customHeight="1">
      <c r="B191" s="2" t="s">
        <v>620</v>
      </c>
      <c r="C191" s="2" t="s">
        <v>621</v>
      </c>
      <c r="D191" s="2" t="s">
        <v>612</v>
      </c>
      <c r="E191" s="2" t="s">
        <v>14</v>
      </c>
      <c r="F191" s="2" t="s">
        <v>15</v>
      </c>
      <c r="G191" s="2" t="s">
        <v>622</v>
      </c>
      <c r="H191" s="2" t="s">
        <v>481</v>
      </c>
      <c r="I191" s="2" t="str">
        <f>IFERROR(__xludf.DUMMYFUNCTION("GOOGLETRANSLATE(C191,""fr"",""en"")"),"Following a lock problem in my apartment I could no longer get into it I call my insurance which sends me an approved locksmith (so supposed to be taken care of) the locksmith intervenes and asks me for 3 checks for a total of € 1100 in telling me to send"&amp;" the invoice to my insurance to be reimbursed, and now, after 1 year my insurance tells me that I could not be refunded because the deadline is exceeded, however, no advisor informed me of this period.")</f>
        <v>Following a lock problem in my apartment I could no longer get into it I call my insurance which sends me an approved locksmith (so supposed to be taken care of) the locksmith intervenes and asks me for 3 checks for a total of € 1100 in telling me to send the invoice to my insurance to be reimbursed, and now, after 1 year my insurance tells me that I could not be refunded because the deadline is exceeded, however, no advisor informed me of this period.</v>
      </c>
    </row>
    <row r="192" ht="15.75" customHeight="1">
      <c r="B192" s="2" t="s">
        <v>623</v>
      </c>
      <c r="C192" s="2" t="s">
        <v>624</v>
      </c>
      <c r="D192" s="2" t="s">
        <v>612</v>
      </c>
      <c r="E192" s="2" t="s">
        <v>14</v>
      </c>
      <c r="F192" s="2" t="s">
        <v>15</v>
      </c>
      <c r="G192" s="2" t="s">
        <v>625</v>
      </c>
      <c r="H192" s="2" t="s">
        <v>481</v>
      </c>
      <c r="I192" s="2" t="str">
        <f>IFERROR(__xludf.DUMMYFUNCTION("GOOGLETRANSLATE(C192,""fr"",""en"")"),"AXA is a very bad insurance !!!
I have several insurance for years for years, and I have had a disaster problem and it's been soon for 1 year that it lasts
They do not answer any emails or calls.
I'm waiting for the birthday to leave their home
They a"&amp;"re mediocre in everything !!!
")</f>
        <v>AXA is a very bad insurance !!!
I have several insurance for years for years, and I have had a disaster problem and it's been soon for 1 year that it lasts
They do not answer any emails or calls.
I'm waiting for the birthday to leave their home
They are mediocre in everything !!!
</v>
      </c>
    </row>
    <row r="193" ht="15.75" customHeight="1">
      <c r="B193" s="2" t="s">
        <v>626</v>
      </c>
      <c r="C193" s="2" t="s">
        <v>627</v>
      </c>
      <c r="D193" s="2" t="s">
        <v>612</v>
      </c>
      <c r="E193" s="2" t="s">
        <v>14</v>
      </c>
      <c r="F193" s="2" t="s">
        <v>15</v>
      </c>
      <c r="G193" s="2" t="s">
        <v>628</v>
      </c>
      <c r="H193" s="2" t="s">
        <v>168</v>
      </c>
      <c r="I193" s="2" t="str">
        <f>IFERROR(__xludf.DUMMYFUNCTION("GOOGLETRANSLATE(C193,""fr"",""en"")"),"Hello,
The subscription on my home contract is exponential since I have been at AXA but in the past two years it is unimaginable:
Increase of 200 euros on my contract in 2020, an increase of 50 euros in 2021 + increase in deductible.
Reason invoked in "&amp;"2020: a catnat and no other contracts at home.
Funny policy and funny mentality, as if I was responsible for the Cat Nat!
In addition management of the very long and complicated file, partial care ...
")</f>
        <v>Hello,
The subscription on my home contract is exponential since I have been at AXA but in the past two years it is unimaginable:
Increase of 200 euros on my contract in 2020, an increase of 50 euros in 2021 + increase in deductible.
Reason invoked in 2020: a catnat and no other contracts at home.
Funny policy and funny mentality, as if I was responsible for the Cat Nat!
In addition management of the very long and complicated file, partial care ...
</v>
      </c>
    </row>
    <row r="194" ht="15.75" customHeight="1">
      <c r="B194" s="2" t="s">
        <v>629</v>
      </c>
      <c r="C194" s="2" t="s">
        <v>630</v>
      </c>
      <c r="D194" s="2" t="s">
        <v>612</v>
      </c>
      <c r="E194" s="2" t="s">
        <v>14</v>
      </c>
      <c r="F194" s="2" t="s">
        <v>15</v>
      </c>
      <c r="G194" s="2" t="s">
        <v>631</v>
      </c>
      <c r="H194" s="2" t="s">
        <v>168</v>
      </c>
      <c r="I194" s="2" t="str">
        <f>IFERROR(__xludf.DUMMYFUNCTION("GOOGLETRANSLATE(C194,""fr"",""en"")"),"To flee !
Everything is good and they always have good reasons not to help you and support you. When you have a problem. And ditto their protection. Juridal seeking a downside.
I left this insurance after 25 years without regret because of their behavio"&amp;"r
")</f>
        <v>To flee !
Everything is good and they always have good reasons not to help you and support you. When you have a problem. And ditto their protection. Juridal seeking a downside.
I left this insurance after 25 years without regret because of their behavior
</v>
      </c>
    </row>
    <row r="195" ht="15.75" customHeight="1">
      <c r="B195" s="2" t="s">
        <v>632</v>
      </c>
      <c r="C195" s="2" t="s">
        <v>633</v>
      </c>
      <c r="D195" s="2" t="s">
        <v>612</v>
      </c>
      <c r="E195" s="2" t="s">
        <v>14</v>
      </c>
      <c r="F195" s="2" t="s">
        <v>15</v>
      </c>
      <c r="G195" s="2" t="s">
        <v>634</v>
      </c>
      <c r="H195" s="2" t="s">
        <v>168</v>
      </c>
      <c r="I195" s="2" t="str">
        <f>IFERROR(__xludf.DUMMYFUNCTION("GOOGLETRANSLATE(C195,""fr"",""en"")"),"Hello,
Following a disaster which I was the victim (a third party damaged my automatic portal), a statement was made to the opposing company. I also made a statement to the claim from AXA (Home Insurance).
The opposing company commissioned an expert a"&amp;"nd a report was rendered, including no problem with third party insurance.
I had the repair carried out and pay the company for the repair costs.
The problem to date comes from the AXA sinister service. Indeed following several reminders on my part for "&amp;"the payment of the file (emails and phones) I noticed that the person in charge of this case is incompetent and stopped since he made the gross error to misbehave the observation (for her It was me the manager) and despite several explanations she did not"&amp;" want to recognize her mistakes.
As a result today there is a complaint and therefore a new expertise from Cie Axa which already has the report of the opposing company.
Which will delay the file by one more month (sinister dating from 02/03/2021). And b"&amp;"illing costs of the expertise firm !!!
Note that the AXA sinister service is managed on a telephone platform and not at your insurance agent !!!!!
")</f>
        <v>Hello,
Following a disaster which I was the victim (a third party damaged my automatic portal), a statement was made to the opposing company. I also made a statement to the claim from AXA (Home Insurance).
The opposing company commissioned an expert and a report was rendered, including no problem with third party insurance.
I had the repair carried out and pay the company for the repair costs.
The problem to date comes from the AXA sinister service. Indeed following several reminders on my part for the payment of the file (emails and phones) I noticed that the person in charge of this case is incompetent and stopped since he made the gross error to misbehave the observation (for her It was me the manager) and despite several explanations she did not want to recognize her mistakes.
As a result today there is a complaint and therefore a new expertise from Cie Axa which already has the report of the opposing company.
Which will delay the file by one more month (sinister dating from 02/03/2021). And billing costs of the expertise firm !!!
Note that the AXA sinister service is managed on a telephone platform and not at your insurance agent !!!!!
</v>
      </c>
    </row>
    <row r="196" ht="15.75" customHeight="1">
      <c r="B196" s="2" t="s">
        <v>635</v>
      </c>
      <c r="C196" s="2" t="s">
        <v>636</v>
      </c>
      <c r="D196" s="2" t="s">
        <v>612</v>
      </c>
      <c r="E196" s="2" t="s">
        <v>14</v>
      </c>
      <c r="F196" s="2" t="s">
        <v>15</v>
      </c>
      <c r="G196" s="2" t="s">
        <v>637</v>
      </c>
      <c r="H196" s="2" t="s">
        <v>496</v>
      </c>
      <c r="I196" s="2" t="str">
        <f>IFERROR(__xludf.DUMMYFUNCTION("GOOGLETRANSLATE(C196,""fr"",""en"")"),"Far too expensive compared to all the other companies and that is why I plan to change rather than continue to pay dear for nothing better and make my friends smile when we talk about our respective insurance")</f>
        <v>Far too expensive compared to all the other companies and that is why I plan to change rather than continue to pay dear for nothing better and make my friends smile when we talk about our respective insurance</v>
      </c>
    </row>
    <row r="197" ht="15.75" customHeight="1">
      <c r="B197" s="2" t="s">
        <v>638</v>
      </c>
      <c r="C197" s="2" t="s">
        <v>639</v>
      </c>
      <c r="D197" s="2" t="s">
        <v>612</v>
      </c>
      <c r="E197" s="2" t="s">
        <v>14</v>
      </c>
      <c r="F197" s="2" t="s">
        <v>15</v>
      </c>
      <c r="G197" s="2" t="s">
        <v>640</v>
      </c>
      <c r="H197" s="2" t="s">
        <v>496</v>
      </c>
      <c r="I197" s="2" t="str">
        <f>IFERROR(__xludf.DUMMYFUNCTION("GOOGLETRANSLATE(C197,""fr"",""en"")"),"Agence available and welcoming but:
Fairly expensive insurance.
Compensation not up to claims.
Methods of opaque compensation and more than questionable.")</f>
        <v>Agence available and welcoming but:
Fairly expensive insurance.
Compensation not up to claims.
Methods of opaque compensation and more than questionable.</v>
      </c>
    </row>
    <row r="198" ht="15.75" customHeight="1">
      <c r="B198" s="2" t="s">
        <v>641</v>
      </c>
      <c r="C198" s="2" t="s">
        <v>642</v>
      </c>
      <c r="D198" s="2" t="s">
        <v>612</v>
      </c>
      <c r="E198" s="2" t="s">
        <v>14</v>
      </c>
      <c r="F198" s="2" t="s">
        <v>15</v>
      </c>
      <c r="G198" s="2" t="s">
        <v>643</v>
      </c>
      <c r="H198" s="2" t="s">
        <v>496</v>
      </c>
      <c r="I198" s="2" t="str">
        <f>IFERROR(__xludf.DUMMYFUNCTION("GOOGLETRANSLATE(C198,""fr"",""en"")"),"Hello,
This opinion does not concern the agency Garches itself, because my interlocutor was very patient and with effective air.
I would like to indicate that instead of receiving a reimbursement check in Prorata (from the payment management center?) "&amp;"Following a contract closure ... I received 2 letters including one formal notice and a SMS of payment of the total sum of the contract I terminated ...
This affair has been dragging on for more than 2 months, where I spent a lot of time justifying with "&amp;"proof in support ...
Conclusion: Is it really worth taking insurance from Axa when you have the impression that behind nothing follows ... despite the professionalism of the agency. ?
Cordially
C h")</f>
        <v>Hello,
This opinion does not concern the agency Garches itself, because my interlocutor was very patient and with effective air.
I would like to indicate that instead of receiving a reimbursement check in Prorata (from the payment management center?) Following a contract closure ... I received 2 letters including one formal notice and a SMS of payment of the total sum of the contract I terminated ...
This affair has been dragging on for more than 2 months, where I spent a lot of time justifying with proof in support ...
Conclusion: Is it really worth taking insurance from Axa when you have the impression that behind nothing follows ... despite the professionalism of the agency. ?
Cordially
C h</v>
      </c>
    </row>
    <row r="199" ht="15.75" customHeight="1">
      <c r="B199" s="2" t="s">
        <v>644</v>
      </c>
      <c r="C199" s="2" t="s">
        <v>645</v>
      </c>
      <c r="D199" s="2" t="s">
        <v>612</v>
      </c>
      <c r="E199" s="2" t="s">
        <v>14</v>
      </c>
      <c r="F199" s="2" t="s">
        <v>15</v>
      </c>
      <c r="G199" s="2" t="s">
        <v>646</v>
      </c>
      <c r="H199" s="2" t="s">
        <v>496</v>
      </c>
      <c r="I199" s="2" t="str">
        <f>IFERROR(__xludf.DUMMYFUNCTION("GOOGLETRANSLATE(C199,""fr"",""en"")"),"Very poor quality insurance. I had a disaster and Axa was unable to bring me the slightest support. No contact they never answer. It's scandalous.")</f>
        <v>Very poor quality insurance. I had a disaster and Axa was unable to bring me the slightest support. No contact they never answer. It's scandalous.</v>
      </c>
    </row>
    <row r="200" ht="15.75" customHeight="1">
      <c r="B200" s="2" t="s">
        <v>647</v>
      </c>
      <c r="C200" s="2" t="s">
        <v>648</v>
      </c>
      <c r="D200" s="2" t="s">
        <v>612</v>
      </c>
      <c r="E200" s="2" t="s">
        <v>14</v>
      </c>
      <c r="F200" s="2" t="s">
        <v>15</v>
      </c>
      <c r="G200" s="2" t="s">
        <v>649</v>
      </c>
      <c r="H200" s="2" t="s">
        <v>496</v>
      </c>
      <c r="I200" s="2" t="str">
        <f>IFERROR(__xludf.DUMMYFUNCTION("GOOGLETRANSLATE(C200,""fr"",""en"")"),"Very expensive insurance! The guarantees are not respected! Insured with value of the new on products excluding ranges, you end up with extraordinary dilapidation and reimbursement to desire because, indeed, we cancel upon reimbursements, fabulous! Large "&amp;"disappointments after long years of loyalty !!! Insurance for companies, cars and home that causes problem with them !!!! Sad reality to this day !!! I do not despair of a reaction from AXA France")</f>
        <v>Very expensive insurance! The guarantees are not respected! Insured with value of the new on products excluding ranges, you end up with extraordinary dilapidation and reimbursement to desire because, indeed, we cancel upon reimbursements, fabulous! Large disappointments after long years of loyalty !!! Insurance for companies, cars and home that causes problem with them !!!! Sad reality to this day !!! I do not despair of a reaction from AXA France</v>
      </c>
    </row>
    <row r="201" ht="15.75" customHeight="1">
      <c r="B201" s="2" t="s">
        <v>650</v>
      </c>
      <c r="C201" s="2" t="s">
        <v>651</v>
      </c>
      <c r="D201" s="2" t="s">
        <v>612</v>
      </c>
      <c r="E201" s="2" t="s">
        <v>14</v>
      </c>
      <c r="F201" s="2" t="s">
        <v>15</v>
      </c>
      <c r="G201" s="2" t="s">
        <v>652</v>
      </c>
      <c r="H201" s="2" t="s">
        <v>214</v>
      </c>
      <c r="I201" s="2" t="str">
        <f>IFERROR(__xludf.DUMMYFUNCTION("GOOGLETRANSLATE(C201,""fr"",""en"")"),"Following the fire in our pavilion, Axa made us sign a subrogative receipt for the amount paid in principal (to our bank for the mortgage on our pavilion) then deferred (which included 12 months of rents in order to relocate) And a sum chosen by AXA for o"&amp;"neself saying a change in VAT rate which did not concern the pavilion which was to be rebuilt. Without forgetting all the contents of the pavilion, furniture, clothing etc ...... Procedure engaged against AXA: lost motive: the subrogative receipt that the"&amp;" insurer has signed is not valid !!!!!!
")</f>
        <v>Following the fire in our pavilion, Axa made us sign a subrogative receipt for the amount paid in principal (to our bank for the mortgage on our pavilion) then deferred (which included 12 months of rents in order to relocate) And a sum chosen by AXA for oneself saying a change in VAT rate which did not concern the pavilion which was to be rebuilt. Without forgetting all the contents of the pavilion, furniture, clothing etc ...... Procedure engaged against AXA: lost motive: the subrogative receipt that the insurer has signed is not valid !!!!!!
</v>
      </c>
    </row>
    <row r="202" ht="15.75" customHeight="1">
      <c r="B202" s="2" t="s">
        <v>653</v>
      </c>
      <c r="C202" s="2" t="s">
        <v>654</v>
      </c>
      <c r="D202" s="2" t="s">
        <v>612</v>
      </c>
      <c r="E202" s="2" t="s">
        <v>14</v>
      </c>
      <c r="F202" s="2" t="s">
        <v>15</v>
      </c>
      <c r="G202" s="2" t="s">
        <v>655</v>
      </c>
      <c r="H202" s="2" t="s">
        <v>214</v>
      </c>
      <c r="I202" s="2" t="str">
        <f>IFERROR(__xludf.DUMMYFUNCTION("GOOGLETRANSLATE(C202,""fr"",""en"")")," Having left my accommodation I wanted to terminate and my contract but I had no inventory (neither at the entrance nor at the exit) and I did not get along with my owner I had everything cut Contact and having explained all this to Axa they did not want "&amp;"to listen to me and do not want to terminate my contract. So I pay 12 € insurance every month in accommodation that I no longer live. I don't know when it will stop but I hope soon ...")</f>
        <v> Having left my accommodation I wanted to terminate and my contract but I had no inventory (neither at the entrance nor at the exit) and I did not get along with my owner I had everything cut Contact and having explained all this to Axa they did not want to listen to me and do not want to terminate my contract. So I pay 12 € insurance every month in accommodation that I no longer live. I don't know when it will stop but I hope soon ...</v>
      </c>
    </row>
    <row r="203" ht="15.75" customHeight="1">
      <c r="B203" s="2" t="s">
        <v>656</v>
      </c>
      <c r="C203" s="2" t="s">
        <v>657</v>
      </c>
      <c r="D203" s="2" t="s">
        <v>612</v>
      </c>
      <c r="E203" s="2" t="s">
        <v>14</v>
      </c>
      <c r="F203" s="2" t="s">
        <v>15</v>
      </c>
      <c r="G203" s="2" t="s">
        <v>223</v>
      </c>
      <c r="H203" s="2" t="s">
        <v>214</v>
      </c>
      <c r="I203" s="2" t="str">
        <f>IFERROR(__xludf.DUMMYFUNCTION("GOOGLETRANSLATE(C203,""fr"",""en"")"),"Lavable, run out above all! Ensured since 1995 ...
Axa blablabla
Sinister fire in the kitchen on October 8, 2020.
Many reminders always with the same answer, we phone you in 48 hours and you send an expert. I bought a new plate to cook 400th still not "&amp;"reimbursed. Sad reality A bailiff then lawyer will follow. A.Ami has undergone fire in his office, my cleaners were there 3 days later ....")</f>
        <v>Lavable, run out above all! Ensured since 1995 ...
Axa blablabla
Sinister fire in the kitchen on October 8, 2020.
Many reminders always with the same answer, we phone you in 48 hours and you send an expert. I bought a new plate to cook 400th still not reimbursed. Sad reality A bailiff then lawyer will follow. A.Ami has undergone fire in his office, my cleaners were there 3 days later ....</v>
      </c>
    </row>
    <row r="204" ht="15.75" customHeight="1">
      <c r="B204" s="2" t="s">
        <v>658</v>
      </c>
      <c r="C204" s="2" t="s">
        <v>659</v>
      </c>
      <c r="D204" s="2" t="s">
        <v>612</v>
      </c>
      <c r="E204" s="2" t="s">
        <v>14</v>
      </c>
      <c r="F204" s="2" t="s">
        <v>15</v>
      </c>
      <c r="G204" s="2" t="s">
        <v>660</v>
      </c>
      <c r="H204" s="2" t="s">
        <v>226</v>
      </c>
      <c r="I204" s="2" t="str">
        <f>IFERROR(__xludf.DUMMYFUNCTION("GOOGLETRANSLATE(C204,""fr"",""en"")"),"All letters addressed to Axa, except one without explanation, remained unanswered.
Today, this sum that Axa is likely to us is very much lacking. We have made revolving credits to get out of it. We are distraught. We paid contributions to be insured and "&amp;"in the end: the deferred part not reimbursed! Thank you to this insurer for not respecting its customers.")</f>
        <v>All letters addressed to Axa, except one without explanation, remained unanswered.
Today, this sum that Axa is likely to us is very much lacking. We have made revolving credits to get out of it. We are distraught. We paid contributions to be insured and in the end: the deferred part not reimbursed! Thank you to this insurer for not respecting its customers.</v>
      </c>
    </row>
    <row r="205" ht="15.75" customHeight="1">
      <c r="B205" s="2" t="s">
        <v>661</v>
      </c>
      <c r="C205" s="2" t="s">
        <v>662</v>
      </c>
      <c r="D205" s="2" t="s">
        <v>612</v>
      </c>
      <c r="E205" s="2" t="s">
        <v>14</v>
      </c>
      <c r="F205" s="2" t="s">
        <v>15</v>
      </c>
      <c r="G205" s="2" t="s">
        <v>663</v>
      </c>
      <c r="H205" s="2" t="s">
        <v>226</v>
      </c>
      <c r="I205" s="2" t="str">
        <f>IFERROR(__xludf.DUMMYFUNCTION("GOOGLETRANSLATE(C205,""fr"",""en"")"),"AXA is a large company but unfortunately customer service abuses this status. Customer service is very slow and incompetent to set up a new contract. Each time the date of the start of the contract is postponed. I hope that anxa could review the quality o"&amp;"f its service. Too bad for this insurer. Its image is negative because of its customer service")</f>
        <v>AXA is a large company but unfortunately customer service abuses this status. Customer service is very slow and incompetent to set up a new contract. Each time the date of the start of the contract is postponed. I hope that anxa could review the quality of its service. Too bad for this insurer. Its image is negative because of its customer service</v>
      </c>
    </row>
    <row r="206" ht="15.75" customHeight="1">
      <c r="B206" s="2" t="s">
        <v>664</v>
      </c>
      <c r="C206" s="2" t="s">
        <v>665</v>
      </c>
      <c r="D206" s="2" t="s">
        <v>612</v>
      </c>
      <c r="E206" s="2" t="s">
        <v>14</v>
      </c>
      <c r="F206" s="2" t="s">
        <v>15</v>
      </c>
      <c r="G206" s="2" t="s">
        <v>666</v>
      </c>
      <c r="H206" s="2" t="s">
        <v>230</v>
      </c>
      <c r="I206" s="2" t="str">
        <f>IFERROR(__xludf.DUMMYFUNCTION("GOOGLETRANSLATE(C206,""fr"",""en"")"),"I do not recommend at all in Axa. After a year of termination they send me a letter telling me that I had not terminated and that suddenly I should pay. A chance that I found proof of termination. They also did it to another person I know.")</f>
        <v>I do not recommend at all in Axa. After a year of termination they send me a letter telling me that I had not terminated and that suddenly I should pay. A chance that I found proof of termination. They also did it to another person I know.</v>
      </c>
    </row>
    <row r="207" ht="15.75" customHeight="1">
      <c r="B207" s="2" t="s">
        <v>667</v>
      </c>
      <c r="C207" s="2" t="s">
        <v>668</v>
      </c>
      <c r="D207" s="2" t="s">
        <v>612</v>
      </c>
      <c r="E207" s="2" t="s">
        <v>14</v>
      </c>
      <c r="F207" s="2" t="s">
        <v>15</v>
      </c>
      <c r="G207" s="2" t="s">
        <v>669</v>
      </c>
      <c r="H207" s="2" t="s">
        <v>242</v>
      </c>
      <c r="I207" s="2" t="str">
        <f>IFERROR(__xludf.DUMMYFUNCTION("GOOGLETRANSLATE(C207,""fr"",""en"")"),"Excellent level of guarantees and covers in home insurance. On the other hand, in the event of a claim, the amount of the double contribution in 2 years! Really not great especially when you have been a customer for over 30 years.")</f>
        <v>Excellent level of guarantees and covers in home insurance. On the other hand, in the event of a claim, the amount of the double contribution in 2 years! Really not great especially when you have been a customer for over 30 years.</v>
      </c>
    </row>
    <row r="208" ht="15.75" customHeight="1">
      <c r="B208" s="2" t="s">
        <v>670</v>
      </c>
      <c r="C208" s="2" t="s">
        <v>671</v>
      </c>
      <c r="D208" s="2" t="s">
        <v>612</v>
      </c>
      <c r="E208" s="2" t="s">
        <v>14</v>
      </c>
      <c r="F208" s="2" t="s">
        <v>15</v>
      </c>
      <c r="G208" s="2" t="s">
        <v>672</v>
      </c>
      <c r="H208" s="2" t="s">
        <v>242</v>
      </c>
      <c r="I208" s="2" t="str">
        <f>IFERROR(__xludf.DUMMYFUNCTION("GOOGLETRANSLATE(C208,""fr"",""en"")"),"They are present to collect your monthly payment but in the event of a refund do not count on them. You will not be reimbursed. To excuse the expert's report which will always be negative.")</f>
        <v>They are present to collect your monthly payment but in the event of a refund do not count on them. You will not be reimbursed. To excuse the expert's report which will always be negative.</v>
      </c>
    </row>
    <row r="209" ht="15.75" customHeight="1">
      <c r="B209" s="2" t="s">
        <v>673</v>
      </c>
      <c r="C209" s="2" t="s">
        <v>674</v>
      </c>
      <c r="D209" s="2" t="s">
        <v>612</v>
      </c>
      <c r="E209" s="2" t="s">
        <v>14</v>
      </c>
      <c r="F209" s="2" t="s">
        <v>15</v>
      </c>
      <c r="G209" s="2" t="s">
        <v>675</v>
      </c>
      <c r="H209" s="2" t="s">
        <v>246</v>
      </c>
      <c r="I209" s="2" t="str">
        <f>IFERROR(__xludf.DUMMYFUNCTION("GOOGLETRANSLATE(C209,""fr"",""en"")"),"Hello,
After having been a customer for several years (10 years I believe) via Diot (a broker) at Axa, I was refused a premium negotiation for this year (I specify that the premium increased every year significantly without my Never needed to call on m"&amp;"y insurance ==&gt; no disputes or accidents) ..... and fortunately because I discovered Acommessure which made me a much more attractive proposal thanxa For the same level of guarantees.
I find it unfortunate that loyalty no longer pays but it is generall"&amp;"y the same everywhere (mobile telephony, Internet, etc.)
I can therefore no longer advise AXA because both in terms of prices and rewards of loyalty, they are not there.
Good research to all!
Ch")</f>
        <v>Hello,
After having been a customer for several years (10 years I believe) via Diot (a broker) at Axa, I was refused a premium negotiation for this year (I specify that the premium increased every year significantly without my Never needed to call on my insurance ==&gt; no disputes or accidents) ..... and fortunately because I discovered Acommessure which made me a much more attractive proposal thanxa For the same level of guarantees.
I find it unfortunate that loyalty no longer pays but it is generally the same everywhere (mobile telephony, Internet, etc.)
I can therefore no longer advise AXA because both in terms of prices and rewards of loyalty, they are not there.
Good research to all!
Ch</v>
      </c>
    </row>
    <row r="210" ht="15.75" customHeight="1">
      <c r="B210" s="2" t="s">
        <v>676</v>
      </c>
      <c r="C210" s="2" t="s">
        <v>677</v>
      </c>
      <c r="D210" s="2" t="s">
        <v>612</v>
      </c>
      <c r="E210" s="2" t="s">
        <v>14</v>
      </c>
      <c r="F210" s="2" t="s">
        <v>15</v>
      </c>
      <c r="G210" s="2" t="s">
        <v>678</v>
      </c>
      <c r="H210" s="2" t="s">
        <v>550</v>
      </c>
      <c r="I210" s="2" t="str">
        <f>IFERROR(__xludf.DUMMYFUNCTION("GOOGLETRANSLATE(C210,""fr"",""en"")"),"Natural disaster: 1/5 reimbursement of serious damage suffered even with proof under the nose, interminable management, no help or advice, lies, inhuman")</f>
        <v>Natural disaster: 1/5 reimbursement of serious damage suffered even with proof under the nose, interminable management, no help or advice, lies, inhuman</v>
      </c>
    </row>
    <row r="211" ht="15.75" customHeight="1">
      <c r="B211" s="2" t="s">
        <v>679</v>
      </c>
      <c r="C211" s="2" t="s">
        <v>680</v>
      </c>
      <c r="D211" s="2" t="s">
        <v>612</v>
      </c>
      <c r="E211" s="2" t="s">
        <v>14</v>
      </c>
      <c r="F211" s="2" t="s">
        <v>15</v>
      </c>
      <c r="G211" s="2" t="s">
        <v>681</v>
      </c>
      <c r="H211" s="2" t="s">
        <v>273</v>
      </c>
      <c r="I211" s="2" t="str">
        <f>IFERROR(__xludf.DUMMYFUNCTION("GOOGLETRANSLATE(C211,""fr"",""en"")"),"My mother has never been able to obtain a certificate of civil liability in the context of her multi -risk home insurance while legally the insurer is required to provide it. This certificate being essential for her admission to EHPAD, she had to take out"&amp;" civil liability insurance with another organization. In addition, on its AXA customer account, only the name of the AXA agent in charge of the file is indicated without any postal address clarification, which does not simplify the steps.")</f>
        <v>My mother has never been able to obtain a certificate of civil liability in the context of her multi -risk home insurance while legally the insurer is required to provide it. This certificate being essential for her admission to EHPAD, she had to take out civil liability insurance with another organization. In addition, on its AXA customer account, only the name of the AXA agent in charge of the file is indicated without any postal address clarification, which does not simplify the steps.</v>
      </c>
    </row>
    <row r="212" ht="15.75" customHeight="1">
      <c r="B212" s="2" t="s">
        <v>682</v>
      </c>
      <c r="C212" s="2" t="s">
        <v>683</v>
      </c>
      <c r="D212" s="2" t="s">
        <v>612</v>
      </c>
      <c r="E212" s="2" t="s">
        <v>14</v>
      </c>
      <c r="F212" s="2" t="s">
        <v>15</v>
      </c>
      <c r="G212" s="2" t="s">
        <v>684</v>
      </c>
      <c r="H212" s="2" t="s">
        <v>554</v>
      </c>
      <c r="I212" s="2" t="str">
        <f>IFERROR(__xludf.DUMMYFUNCTION("GOOGLETRANSLATE(C212,""fr"",""en"")"),"They assured me that the insurance was terminated and then I realize that it was renewed. I was continued for 103 euros without even needing their services. When I called to claim, no answer. Neither by email nor by phone.")</f>
        <v>They assured me that the insurance was terminated and then I realize that it was renewed. I was continued for 103 euros without even needing their services. When I called to claim, no answer. Neither by email nor by phone.</v>
      </c>
    </row>
    <row r="213" ht="15.75" customHeight="1">
      <c r="B213" s="2" t="s">
        <v>685</v>
      </c>
      <c r="C213" s="2" t="s">
        <v>686</v>
      </c>
      <c r="D213" s="2" t="s">
        <v>612</v>
      </c>
      <c r="E213" s="2" t="s">
        <v>14</v>
      </c>
      <c r="F213" s="2" t="s">
        <v>15</v>
      </c>
      <c r="G213" s="2" t="s">
        <v>687</v>
      </c>
      <c r="H213" s="2" t="s">
        <v>554</v>
      </c>
      <c r="I213" s="2" t="str">
        <f>IFERROR(__xludf.DUMMYFUNCTION("GOOGLETRANSLATE(C213,""fr"",""en"")"),"Very bad follow -up of the file; does not defend the insured; takes refuge behind an erroneous opinion from the expert who is untouchable.")</f>
        <v>Very bad follow -up of the file; does not defend the insured; takes refuge behind an erroneous opinion from the expert who is untouchable.</v>
      </c>
    </row>
    <row r="214" ht="15.75" customHeight="1">
      <c r="B214" s="2" t="s">
        <v>688</v>
      </c>
      <c r="C214" s="2" t="s">
        <v>689</v>
      </c>
      <c r="D214" s="2" t="s">
        <v>612</v>
      </c>
      <c r="E214" s="2" t="s">
        <v>14</v>
      </c>
      <c r="F214" s="2" t="s">
        <v>15</v>
      </c>
      <c r="G214" s="2" t="s">
        <v>554</v>
      </c>
      <c r="H214" s="2" t="s">
        <v>554</v>
      </c>
      <c r="I214" s="2" t="str">
        <f>IFERROR(__xludf.DUMMYFUNCTION("GOOGLETRANSLATE(C214,""fr"",""en"")"),"Following a 6 -day electricity cut I had to throw all the contents of my fridge and freezer.
I therefore contact the AXA agency in Vienna (38 ISERE) which tells me that I am well covered for this damage but against a deductible of 167 euros.
So followin"&amp;"g this very good surprise I made the decision to terminate all my contracts at Axa, 2 cars a house and soon due to life insurance.
Result now at GMF I am better guaranteed and I saved 270 euros and no deductible for my fridge
A big thank you to Enedis a"&amp;"nd (AXA which assures nothing other than its profits)")</f>
        <v>Following a 6 -day electricity cut I had to throw all the contents of my fridge and freezer.
I therefore contact the AXA agency in Vienna (38 ISERE) which tells me that I am well covered for this damage but against a deductible of 167 euros.
So following this very good surprise I made the decision to terminate all my contracts at Axa, 2 cars a house and soon due to life insurance.
Result now at GMF I am better guaranteed and I saved 270 euros and no deductible for my fridge
A big thank you to Enedis and (AXA which assures nothing other than its profits)</v>
      </c>
    </row>
    <row r="215" ht="15.75" customHeight="1">
      <c r="B215" s="2" t="s">
        <v>690</v>
      </c>
      <c r="C215" s="2" t="s">
        <v>691</v>
      </c>
      <c r="D215" s="2" t="s">
        <v>612</v>
      </c>
      <c r="E215" s="2" t="s">
        <v>14</v>
      </c>
      <c r="F215" s="2" t="s">
        <v>15</v>
      </c>
      <c r="G215" s="2" t="s">
        <v>692</v>
      </c>
      <c r="H215" s="2" t="s">
        <v>277</v>
      </c>
      <c r="I215" s="2" t="str">
        <f>IFERROR(__xludf.DUMMYFUNCTION("GOOGLETRANSLATE(C215,""fr"",""en"")"),"I had a water damage from to a road maintenance company a year and a half ago and has always been reimbursements for work despite the many experts of all kinds of experts I have been a customer for at least 20 years")</f>
        <v>I had a water damage from to a road maintenance company a year and a half ago and has always been reimbursements for work despite the many experts of all kinds of experts I have been a customer for at least 20 years</v>
      </c>
    </row>
    <row r="216" ht="15.75" customHeight="1">
      <c r="B216" s="2" t="s">
        <v>693</v>
      </c>
      <c r="C216" s="2" t="s">
        <v>694</v>
      </c>
      <c r="D216" s="2" t="s">
        <v>612</v>
      </c>
      <c r="E216" s="2" t="s">
        <v>14</v>
      </c>
      <c r="F216" s="2" t="s">
        <v>15</v>
      </c>
      <c r="G216" s="2" t="s">
        <v>695</v>
      </c>
      <c r="H216" s="2" t="s">
        <v>277</v>
      </c>
      <c r="I216" s="2" t="str">
        <f>IFERROR(__xludf.DUMMYFUNCTION("GOOGLETRANSLATE(C216,""fr"",""en"")"),"If you don't need to choose anything Axa
Victim of a district of waters in August 2019 for my apartment under sales compromise, five months after the duck is still alive.
Advisors abroad and different at each call, impossible to join the person in charg"&amp;"e of my file after 4 reminders by phone, partial reimbursement on the account of my sister who died in December 2016 while the contract is on my name, expertise without Back, only happiness.
My sale is very compromised and the claim is not settled.")</f>
        <v>If you don't need to choose anything Axa
Victim of a district of waters in August 2019 for my apartment under sales compromise, five months after the duck is still alive.
Advisors abroad and different at each call, impossible to join the person in charge of my file after 4 reminders by phone, partial reimbursement on the account of my sister who died in December 2016 while the contract is on my name, expertise without Back, only happiness.
My sale is very compromised and the claim is not settled.</v>
      </c>
    </row>
    <row r="217" ht="15.75" customHeight="1">
      <c r="B217" s="2" t="s">
        <v>696</v>
      </c>
      <c r="C217" s="2" t="s">
        <v>697</v>
      </c>
      <c r="D217" s="2" t="s">
        <v>612</v>
      </c>
      <c r="E217" s="2" t="s">
        <v>14</v>
      </c>
      <c r="F217" s="2" t="s">
        <v>15</v>
      </c>
      <c r="G217" s="2" t="s">
        <v>698</v>
      </c>
      <c r="H217" s="2" t="s">
        <v>277</v>
      </c>
      <c r="I217" s="2" t="str">
        <f>IFERROR(__xludf.DUMMYFUNCTION("GOOGLETRANSLATE(C217,""fr"",""en"")"),"I am assured Matmut. Unfortunately I have a deal in AXA because following a water damage the plumber implicated is assured at AXA. AXA did not move during the expertise and then appointed an external expert to AXA My sinister to manage the claim. Shameful"&amp;" result. No support by AXA. should reduce its sponsorship and increase the reimbursement of its customers.")</f>
        <v>I am assured Matmut. Unfortunately I have a deal in AXA because following a water damage the plumber implicated is assured at AXA. AXA did not move during the expertise and then appointed an external expert to AXA My sinister to manage the claim. Shameful result. No support by AXA. should reduce its sponsorship and increase the reimbursement of its customers.</v>
      </c>
    </row>
    <row r="218" ht="15.75" customHeight="1">
      <c r="B218" s="2" t="s">
        <v>699</v>
      </c>
      <c r="C218" s="2" t="s">
        <v>700</v>
      </c>
      <c r="D218" s="2" t="s">
        <v>612</v>
      </c>
      <c r="E218" s="2" t="s">
        <v>14</v>
      </c>
      <c r="F218" s="2" t="s">
        <v>15</v>
      </c>
      <c r="G218" s="2" t="s">
        <v>701</v>
      </c>
      <c r="H218" s="2" t="s">
        <v>277</v>
      </c>
      <c r="I218" s="2" t="str">
        <f>IFERROR(__xludf.DUMMYFUNCTION("GOOGLETRANSLATE(C218,""fr"",""en"")"),"Vec a pleasant kindness and devoutness. As much at the headquarters as at the agency in the Gard in St Hyppolite du Fort. They were very well dealt with the sinister of mom.
They thought of warning me that once her house sold she would no longer have civ"&amp;"il liability insurance and offered to lower the guarantees the house was no longer busy.")</f>
        <v>Vec a pleasant kindness and devoutness. As much at the headquarters as at the agency in the Gard in St Hyppolite du Fort. They were very well dealt with the sinister of mom.
They thought of warning me that once her house sold she would no longer have civil liability insurance and offered to lower the guarantees the house was no longer busy.</v>
      </c>
    </row>
    <row r="219" ht="15.75" customHeight="1">
      <c r="B219" s="2" t="s">
        <v>702</v>
      </c>
      <c r="C219" s="2" t="s">
        <v>703</v>
      </c>
      <c r="D219" s="2" t="s">
        <v>612</v>
      </c>
      <c r="E219" s="2" t="s">
        <v>14</v>
      </c>
      <c r="F219" s="2" t="s">
        <v>15</v>
      </c>
      <c r="G219" s="2" t="s">
        <v>704</v>
      </c>
      <c r="H219" s="2" t="s">
        <v>284</v>
      </c>
      <c r="I219" s="2" t="str">
        <f>IFERROR(__xludf.DUMMYFUNCTION("GOOGLETRANSLATE(C219,""fr"",""en"")"),"I declared a claim that was not guaranteed. I was therefore not reimbursed but a plus I had an increase of 30% of my deadline or + 130 euros")</f>
        <v>I declared a claim that was not guaranteed. I was therefore not reimbursed but a plus I had an increase of 30% of my deadline or + 130 euros</v>
      </c>
    </row>
    <row r="220" ht="15.75" customHeight="1">
      <c r="B220" s="2" t="s">
        <v>705</v>
      </c>
      <c r="C220" s="2" t="s">
        <v>706</v>
      </c>
      <c r="D220" s="2" t="s">
        <v>612</v>
      </c>
      <c r="E220" s="2" t="s">
        <v>14</v>
      </c>
      <c r="F220" s="2" t="s">
        <v>15</v>
      </c>
      <c r="G220" s="2" t="s">
        <v>707</v>
      </c>
      <c r="H220" s="2" t="s">
        <v>284</v>
      </c>
      <c r="I220" s="2" t="str">
        <f>IFERROR(__xludf.DUMMYFUNCTION("GOOGLETRANSLATE(C220,""fr"",""en"")"),"No claim in forty years at AXA.
Increases of 10 % per year. This year: +12.5% ​​after +9.88% last year. When I announced that I was leaving a gesture was made to limit the increase, but I have already made my arrangements to terminate this contract.
Tru"&amp;"thful and I can prove it. Mr. Insurer, I want to terminate my contract because one of your colleagues told me that the price was ""abnormal"".
After what I consider as a hack, we went from 1000 euros to ..... 276.72 euros. To the question ""why such a ga"&amp;"p?"" Watch out for the answer ... ""We assured a risk that did not exist""
Over 10 years it is 7000 euros just for this contract.
Save that can flee !!!
I add that I have never had a loss responsible in 40 years and that on more than 20 contracts at AX"&amp;"A, there will soon be none.
And if you knew how good I am ...")</f>
        <v>No claim in forty years at AXA.
Increases of 10 % per year. This year: +12.5% ​​after +9.88% last year. When I announced that I was leaving a gesture was made to limit the increase, but I have already made my arrangements to terminate this contract.
Truthful and I can prove it. Mr. Insurer, I want to terminate my contract because one of your colleagues told me that the price was "abnormal".
After what I consider as a hack, we went from 1000 euros to ..... 276.72 euros. To the question "why such a gap?" Watch out for the answer ... "We assured a risk that did not exist"
Over 10 years it is 7000 euros just for this contract.
Save that can flee !!!
I add that I have never had a loss responsible in 40 years and that on more than 20 contracts at AXA, there will soon be none.
And if you knew how good I am ...</v>
      </c>
    </row>
    <row r="221" ht="15.75" customHeight="1">
      <c r="B221" s="2" t="s">
        <v>708</v>
      </c>
      <c r="C221" s="2" t="s">
        <v>709</v>
      </c>
      <c r="D221" s="2" t="s">
        <v>612</v>
      </c>
      <c r="E221" s="2" t="s">
        <v>14</v>
      </c>
      <c r="F221" s="2" t="s">
        <v>15</v>
      </c>
      <c r="G221" s="2" t="s">
        <v>287</v>
      </c>
      <c r="H221" s="2" t="s">
        <v>288</v>
      </c>
      <c r="I221" s="2" t="str">
        <f>IFERROR(__xludf.DUMMYFUNCTION("GOOGLETRANSLATE(C221,""fr"",""en"")"),"Hello, the agency Axa Alésia Paris 14 is closed and no one at Axa France can tell me anything! I want to redirect me to a number that does not answer but we do not want to give me the number. It's top secret! Axa cannot take responsibility for reminding m"&amp;"e. I have to recall, we have known better as a customer service!")</f>
        <v>Hello, the agency Axa Alésia Paris 14 is closed and no one at Axa France can tell me anything! I want to redirect me to a number that does not answer but we do not want to give me the number. It's top secret! Axa cannot take responsibility for reminding me. I have to recall, we have known better as a customer service!</v>
      </c>
    </row>
    <row r="222" ht="15.75" customHeight="1">
      <c r="B222" s="2" t="s">
        <v>710</v>
      </c>
      <c r="C222" s="2" t="s">
        <v>711</v>
      </c>
      <c r="D222" s="2" t="s">
        <v>612</v>
      </c>
      <c r="E222" s="2" t="s">
        <v>14</v>
      </c>
      <c r="F222" s="2" t="s">
        <v>15</v>
      </c>
      <c r="G222" s="2" t="s">
        <v>712</v>
      </c>
      <c r="H222" s="2" t="s">
        <v>317</v>
      </c>
      <c r="I222" s="2" t="str">
        <f>IFERROR(__xludf.DUMMYFUNCTION("GOOGLETRANSLATE(C222,""fr"",""en"")"),"0 positive points. Very expensive for more than minimal coverage. To run away absolutely if you are counting on good civil protection in particular")</f>
        <v>0 positive points. Very expensive for more than minimal coverage. To run away absolutely if you are counting on good civil protection in particular</v>
      </c>
    </row>
    <row r="223" ht="15.75" customHeight="1">
      <c r="B223" s="2" t="s">
        <v>713</v>
      </c>
      <c r="C223" s="2" t="s">
        <v>714</v>
      </c>
      <c r="D223" s="2" t="s">
        <v>612</v>
      </c>
      <c r="E223" s="2" t="s">
        <v>14</v>
      </c>
      <c r="F223" s="2" t="s">
        <v>15</v>
      </c>
      <c r="G223" s="2" t="s">
        <v>715</v>
      </c>
      <c r="H223" s="2" t="s">
        <v>317</v>
      </c>
      <c r="I223" s="2" t="str">
        <f>IFERROR(__xludf.DUMMYFUNCTION("GOOGLETRANSLATE(C223,""fr"",""en"")"),"We have been at Axa for several years we are very satisfied we went to their home and we regret but here we came back")</f>
        <v>We have been at Axa for several years we are very satisfied we went to their home and we regret but here we came back</v>
      </c>
    </row>
    <row r="224" ht="15.75" customHeight="1">
      <c r="B224" s="2" t="s">
        <v>716</v>
      </c>
      <c r="C224" s="2" t="s">
        <v>717</v>
      </c>
      <c r="D224" s="2" t="s">
        <v>612</v>
      </c>
      <c r="E224" s="2" t="s">
        <v>14</v>
      </c>
      <c r="F224" s="2" t="s">
        <v>15</v>
      </c>
      <c r="G224" s="2" t="s">
        <v>718</v>
      </c>
      <c r="H224" s="2" t="s">
        <v>328</v>
      </c>
      <c r="I224" s="2" t="str">
        <f>IFERROR(__xludf.DUMMYFUNCTION("GOOGLETRANSLATE(C224,""fr"",""en"")"),"Yesterday I was in Axa to make an auto insurance quote when the secretary asks me if I am currently with them I replied that no however she tells me that I still have my in progress home this accommodation had been late on termination Because there was a "&amp;"sinister broken ice to repair, however, they are deceiving measure which has delayed the termination despite my sending letter recommended and many mails it still does not accept termination even if I proves with my inventory of out. An email was sent to "&amp;"me just two months ago telling me that he had received the inventory but not the letter of termination and in addition he only reimburses me 28euro on 88euro more when Jhabitais has this Apartment I got robbed I lost more than 4000euro when I call to decl"&amp;"are this burglary AXA announced that what I had in my hands was only a vulgar quote and that I continue to pay since Instead of time my old accommodation when I had called Axa to declare a change of address and stay with them. How to explain it to the ins"&amp;"urer? I who were satisfied (at the time) of their services he was never agreed with a quote but of a subscription I had the good idea to ask to regain the recording of the call of course he Don't we have to save you always insured at Axa since I had my sc"&amp;"ooter at 15 I have 25 today and always I have my home at home after having lost more of 5000euro as much to tell you that we will never see each other again and an approach with the customers who leave something to be desired I wanted to leave you a chanc"&amp;"e yesterday by wanting to take out car insurance for my first car I had the right to A dispute with secretary Daxa de Tarnos she will call me with what I had not done things correctly when the director of Biarritz had confirmed that if I send my state of "&amp;"the outing it was normal to me repay the whole since I left it and well I have not had the same welcome On the part of this secretary she made me lose 60euro in 10 min and she believes in good situation to get me back in my place when I came to take out i"&amp;"nsurance")</f>
        <v>Yesterday I was in Axa to make an auto insurance quote when the secretary asks me if I am currently with them I replied that no however she tells me that I still have my in progress home this accommodation had been late on termination Because there was a sinister broken ice to repair, however, they are deceiving measure which has delayed the termination despite my sending letter recommended and many mails it still does not accept termination even if I proves with my inventory of out. An email was sent to me just two months ago telling me that he had received the inventory but not the letter of termination and in addition he only reimburses me 28euro on 88euro more when Jhabitais has this Apartment I got robbed I lost more than 4000euro when I call to declare this burglary AXA announced that what I had in my hands was only a vulgar quote and that I continue to pay since Instead of time my old accommodation when I had called Axa to declare a change of address and stay with them. How to explain it to the insurer? I who were satisfied (at the time) of their services he was never agreed with a quote but of a subscription I had the good idea to ask to regain the recording of the call of course he Don't we have to save you always insured at Axa since I had my scooter at 15 I have 25 today and always I have my home at home after having lost more of 5000euro as much to tell you that we will never see each other again and an approach with the customers who leave something to be desired I wanted to leave you a chance yesterday by wanting to take out car insurance for my first car I had the right to A dispute with secretary Daxa de Tarnos she will call me with what I had not done things correctly when the director of Biarritz had confirmed that if I send my state of the outing it was normal to me repay the whole since I left it and well I have not had the same welcome On the part of this secretary she made me lose 60euro in 10 min and she believes in good situation to get me back in my place when I came to take out insurance</v>
      </c>
    </row>
    <row r="225" ht="15.75" customHeight="1">
      <c r="B225" s="2" t="s">
        <v>719</v>
      </c>
      <c r="C225" s="2" t="s">
        <v>720</v>
      </c>
      <c r="D225" s="2" t="s">
        <v>612</v>
      </c>
      <c r="E225" s="2" t="s">
        <v>14</v>
      </c>
      <c r="F225" s="2" t="s">
        <v>15</v>
      </c>
      <c r="G225" s="2" t="s">
        <v>721</v>
      </c>
      <c r="H225" s="2" t="s">
        <v>328</v>
      </c>
      <c r="I225" s="2" t="str">
        <f>IFERROR(__xludf.DUMMYFUNCTION("GOOGLETRANSLATE(C225,""fr"",""en"")"),"By experiences (claims): quality services in automotive insurance and guarantee of privacy accidents; But I do not recommend for the home: in the event of a claim, with a third party, it is better to enter your legal protection and follow its recommendati"&amp;"ons;")</f>
        <v>By experiences (claims): quality services in automotive insurance and guarantee of privacy accidents; But I do not recommend for the home: in the event of a claim, with a third party, it is better to enter your legal protection and follow its recommendations;</v>
      </c>
    </row>
    <row r="226" ht="15.75" customHeight="1">
      <c r="B226" s="2" t="s">
        <v>722</v>
      </c>
      <c r="C226" s="2" t="s">
        <v>723</v>
      </c>
      <c r="D226" s="2" t="s">
        <v>612</v>
      </c>
      <c r="E226" s="2" t="s">
        <v>14</v>
      </c>
      <c r="F226" s="2" t="s">
        <v>15</v>
      </c>
      <c r="G226" s="2" t="s">
        <v>724</v>
      </c>
      <c r="H226" s="2" t="s">
        <v>328</v>
      </c>
      <c r="I226" s="2" t="str">
        <f>IFERROR(__xludf.DUMMYFUNCTION("GOOGLETRANSLATE(C226,""fr"",""en"")"),"The inconpective sinister service !!! And it is a shame because I appreciated Axa and the J really plans to leave because I worry if I have to undergo a new sinister")</f>
        <v>The inconpective sinister service !!! And it is a shame because I appreciated Axa and the J really plans to leave because I worry if I have to undergo a new sinister</v>
      </c>
    </row>
    <row r="227" ht="15.75" customHeight="1">
      <c r="B227" s="2" t="s">
        <v>725</v>
      </c>
      <c r="C227" s="2" t="s">
        <v>726</v>
      </c>
      <c r="D227" s="2" t="s">
        <v>612</v>
      </c>
      <c r="E227" s="2" t="s">
        <v>14</v>
      </c>
      <c r="F227" s="2" t="s">
        <v>15</v>
      </c>
      <c r="G227" s="2" t="s">
        <v>331</v>
      </c>
      <c r="H227" s="2" t="s">
        <v>328</v>
      </c>
      <c r="I227" s="2" t="str">
        <f>IFERROR(__xludf.DUMMYFUNCTION("GOOGLETRANSLATE(C227,""fr"",""en"")"),"Following a minimum water damage, a simple kitchen paint is 22 in Asnières; Unreachable platform, lost file, never the same interlocutor who understands almost anything! File in standby for 5 months while I have 5 contracts at AXA")</f>
        <v>Following a minimum water damage, a simple kitchen paint is 22 in Asnières; Unreachable platform, lost file, never the same interlocutor who understands almost anything! File in standby for 5 months while I have 5 contracts at AXA</v>
      </c>
    </row>
    <row r="228" ht="15.75" customHeight="1">
      <c r="B228" s="2" t="s">
        <v>727</v>
      </c>
      <c r="C228" s="2" t="s">
        <v>728</v>
      </c>
      <c r="D228" s="2" t="s">
        <v>612</v>
      </c>
      <c r="E228" s="2" t="s">
        <v>14</v>
      </c>
      <c r="F228" s="2" t="s">
        <v>15</v>
      </c>
      <c r="G228" s="2" t="s">
        <v>328</v>
      </c>
      <c r="H228" s="2" t="s">
        <v>328</v>
      </c>
      <c r="I228" s="2" t="str">
        <f>IFERROR(__xludf.DUMMYFUNCTION("GOOGLETRANSLATE(C228,""fr"",""en"")"),"A horror, 3 years on the same disaster (it is a question of changing 15 m2 of carpet following a water damage. Do not respond, does the ostrich, and the timines from one service to another")</f>
        <v>A horror, 3 years on the same disaster (it is a question of changing 15 m2 of carpet following a water damage. Do not respond, does the ostrich, and the timines from one service to another</v>
      </c>
    </row>
    <row r="229" ht="15.75" customHeight="1">
      <c r="B229" s="2" t="s">
        <v>729</v>
      </c>
      <c r="C229" s="2" t="s">
        <v>730</v>
      </c>
      <c r="D229" s="2" t="s">
        <v>612</v>
      </c>
      <c r="E229" s="2" t="s">
        <v>14</v>
      </c>
      <c r="F229" s="2" t="s">
        <v>15</v>
      </c>
      <c r="G229" s="2" t="s">
        <v>731</v>
      </c>
      <c r="H229" s="2" t="s">
        <v>335</v>
      </c>
      <c r="I229" s="2" t="str">
        <f>IFERROR(__xludf.DUMMYFUNCTION("GOOGLETRANSLATE(C229,""fr"",""en"")"),"Hello, concerning AXA home insurance I completely share the words of Leaa and Anne because I am the victim exactly of the same behavior of customer service! Hazard?. By browsing customer opinions I discover the extent of the damage. Let us unite, do not d"&amp;"rop")</f>
        <v>Hello, concerning AXA home insurance I completely share the words of Leaa and Anne because I am the victim exactly of the same behavior of customer service! Hazard?. By browsing customer opinions I discover the extent of the damage. Let us unite, do not drop</v>
      </c>
    </row>
    <row r="230" ht="15.75" customHeight="1">
      <c r="B230" s="2" t="s">
        <v>732</v>
      </c>
      <c r="C230" s="2" t="s">
        <v>733</v>
      </c>
      <c r="D230" s="2" t="s">
        <v>612</v>
      </c>
      <c r="E230" s="2" t="s">
        <v>14</v>
      </c>
      <c r="F230" s="2" t="s">
        <v>15</v>
      </c>
      <c r="G230" s="2" t="s">
        <v>734</v>
      </c>
      <c r="H230" s="2" t="s">
        <v>335</v>
      </c>
      <c r="I230" s="2" t="str">
        <f>IFERROR(__xludf.DUMMYFUNCTION("GOOGLETRANSLATE(C230,""fr"",""en"")"),"Degats des Eaux in June 2018.Fuite from the neighbor .8,000 euros in costs on 17,000 in total. No compensation for the moment. A shame this insurance?")</f>
        <v>Degats des Eaux in June 2018.Fuite from the neighbor .8,000 euros in costs on 17,000 in total. No compensation for the moment. A shame this insurance?</v>
      </c>
    </row>
    <row r="231" ht="15.75" customHeight="1">
      <c r="B231" s="2" t="s">
        <v>735</v>
      </c>
      <c r="C231" s="2" t="s">
        <v>736</v>
      </c>
      <c r="D231" s="2" t="s">
        <v>612</v>
      </c>
      <c r="E231" s="2" t="s">
        <v>14</v>
      </c>
      <c r="F231" s="2" t="s">
        <v>15</v>
      </c>
      <c r="G231" s="2" t="s">
        <v>737</v>
      </c>
      <c r="H231" s="2" t="s">
        <v>572</v>
      </c>
      <c r="I231" s="2" t="str">
        <f>IFERROR(__xludf.DUMMYFUNCTION("GOOGLETRANSLATE(C231,""fr"",""en"")"),"Client for over 30 years, I underwent a DDE from the neighboring accommodation. After contradictory expertise in which this neighbor refrained from participating, I was (laboriously) was partially compensated. But since Axa has refused to appeal against t"&amp;"he neighbor or his insurer to fill my overdraft.")</f>
        <v>Client for over 30 years, I underwent a DDE from the neighboring accommodation. After contradictory expertise in which this neighbor refrained from participating, I was (laboriously) was partially compensated. But since Axa has refused to appeal against the neighbor or his insurer to fill my overdraft.</v>
      </c>
    </row>
    <row r="232" ht="15.75" customHeight="1">
      <c r="B232" s="2" t="s">
        <v>738</v>
      </c>
      <c r="C232" s="2" t="s">
        <v>739</v>
      </c>
      <c r="D232" s="2" t="s">
        <v>612</v>
      </c>
      <c r="E232" s="2" t="s">
        <v>14</v>
      </c>
      <c r="F232" s="2" t="s">
        <v>15</v>
      </c>
      <c r="G232" s="2" t="s">
        <v>740</v>
      </c>
      <c r="H232" s="2" t="s">
        <v>572</v>
      </c>
      <c r="I232" s="2" t="str">
        <f>IFERROR(__xludf.DUMMYFUNCTION("GOOGLETRANSLATE(C232,""fr"",""en"")"),"Battled by fire on January 10, 2018 in Choisy le Roi, Axa imposed compensation for me only up to 2/3 of the market value for the loss of use of my apartment. And in return, Axa imposed me to commit myself to renouncing any claim or future action against t"&amp;"hem.
What a scandal! Flee this insurance that is irresponsible!
")</f>
        <v>Battled by fire on January 10, 2018 in Choisy le Roi, Axa imposed compensation for me only up to 2/3 of the market value for the loss of use of my apartment. And in return, Axa imposed me to commit myself to renouncing any claim or future action against them.
What a scandal! Flee this insurance that is irresponsible!
</v>
      </c>
    </row>
    <row r="233" ht="15.75" customHeight="1">
      <c r="B233" s="2" t="s">
        <v>741</v>
      </c>
      <c r="C233" s="2" t="s">
        <v>742</v>
      </c>
      <c r="D233" s="2" t="s">
        <v>612</v>
      </c>
      <c r="E233" s="2" t="s">
        <v>14</v>
      </c>
      <c r="F233" s="2" t="s">
        <v>15</v>
      </c>
      <c r="G233" s="2" t="s">
        <v>743</v>
      </c>
      <c r="H233" s="2" t="s">
        <v>572</v>
      </c>
      <c r="I233" s="2" t="str">
        <f>IFERROR(__xludf.DUMMYFUNCTION("GOOGLETRANSLATE(C233,""fr"",""en"")"),"Following drought in 2017 decree, my swimming pool is cracked seriously. The AXA Expert (EXEX) in two lines says that drought is not the cause. This expert had already raged two years ago and said the same thing without having seen the swimming pool and o"&amp;"f course Axa returns the same. Customer for 40 years of AXA I do not think of making 1 more. Axa does not give a damn about its customers. I will ask for a counter expertise and possibly legal expertise")</f>
        <v>Following drought in 2017 decree, my swimming pool is cracked seriously. The AXA Expert (EXEX) in two lines says that drought is not the cause. This expert had already raged two years ago and said the same thing without having seen the swimming pool and of course Axa returns the same. Customer for 40 years of AXA I do not think of making 1 more. Axa does not give a damn about its customers. I will ask for a counter expertise and possibly legal expertise</v>
      </c>
    </row>
    <row r="234" ht="15.75" customHeight="1">
      <c r="B234" s="2" t="s">
        <v>744</v>
      </c>
      <c r="C234" s="2" t="s">
        <v>745</v>
      </c>
      <c r="D234" s="2" t="s">
        <v>612</v>
      </c>
      <c r="E234" s="2" t="s">
        <v>14</v>
      </c>
      <c r="F234" s="2" t="s">
        <v>15</v>
      </c>
      <c r="G234" s="2" t="s">
        <v>746</v>
      </c>
      <c r="H234" s="2" t="s">
        <v>17</v>
      </c>
      <c r="I234" s="2" t="str">
        <f>IFERROR(__xludf.DUMMYFUNCTION("GOOGLETRANSLATE(C234,""fr"",""en"")"),"Sinister declared 11 10 18. Landy expertise of 3 lines on 3 1 19. I am not responsible. Axa le Puy en Velay fell the file and transmits it to the regional management. No more news
No mail. Transparent director. 6 contracts at home
")</f>
        <v>Sinister declared 11 10 18. Landy expertise of 3 lines on 3 1 19. I am not responsible. Axa le Puy en Velay fell the file and transmits it to the regional management. No more news
No mail. Transparent director. 6 contracts at home
</v>
      </c>
    </row>
    <row r="235" ht="15.75" customHeight="1">
      <c r="B235" s="2" t="s">
        <v>747</v>
      </c>
      <c r="C235" s="2" t="s">
        <v>748</v>
      </c>
      <c r="D235" s="2" t="s">
        <v>612</v>
      </c>
      <c r="E235" s="2" t="s">
        <v>14</v>
      </c>
      <c r="F235" s="2" t="s">
        <v>15</v>
      </c>
      <c r="G235" s="2" t="s">
        <v>749</v>
      </c>
      <c r="H235" s="2" t="s">
        <v>17</v>
      </c>
      <c r="I235" s="2" t="str">
        <f>IFERROR(__xludf.DUMMYFUNCTION("GOOGLETRANSLATE(C235,""fr"",""en"")"),"No means of direct communication (email) in the event of a claim, hours spent on the phone recalling the person who took care of my file and was not available, without the possibility of sending him a message directly, in short it is high time to pass in "&amp;"2019 !!")</f>
        <v>No means of direct communication (email) in the event of a claim, hours spent on the phone recalling the person who took care of my file and was not available, without the possibility of sending him a message directly, in short it is high time to pass in 2019 !!</v>
      </c>
    </row>
    <row r="236" ht="15.75" customHeight="1">
      <c r="B236" s="2" t="s">
        <v>750</v>
      </c>
      <c r="C236" s="2" t="s">
        <v>751</v>
      </c>
      <c r="D236" s="2" t="s">
        <v>612</v>
      </c>
      <c r="E236" s="2" t="s">
        <v>14</v>
      </c>
      <c r="F236" s="2" t="s">
        <v>15</v>
      </c>
      <c r="G236" s="2" t="s">
        <v>752</v>
      </c>
      <c r="H236" s="2" t="s">
        <v>17</v>
      </c>
      <c r="I236" s="2" t="str">
        <f>IFERROR(__xludf.DUMMYFUNCTION("GOOGLETRANSLATE(C236,""fr"",""en"")"),"Following a water damage for which HE is not responsible for my studio is uninhabitable. No news from the expert, the agent who takes care of my file does not remember despite the reminders, no visibility on the future. I am not relocated after the 7 days"&amp;" of assistance. I live like a homemade to squat on the right and on the left. Total negligence of AXA.")</f>
        <v>Following a water damage for which HE is not responsible for my studio is uninhabitable. No news from the expert, the agent who takes care of my file does not remember despite the reminders, no visibility on the future. I am not relocated after the 7 days of assistance. I live like a homemade to squat on the right and on the left. Total negligence of AXA.</v>
      </c>
    </row>
    <row r="237" ht="15.75" customHeight="1">
      <c r="B237" s="2" t="s">
        <v>753</v>
      </c>
      <c r="C237" s="2" t="s">
        <v>754</v>
      </c>
      <c r="D237" s="2" t="s">
        <v>612</v>
      </c>
      <c r="E237" s="2" t="s">
        <v>14</v>
      </c>
      <c r="F237" s="2" t="s">
        <v>15</v>
      </c>
      <c r="G237" s="2" t="s">
        <v>575</v>
      </c>
      <c r="H237" s="2" t="s">
        <v>21</v>
      </c>
      <c r="I237" s="2" t="str">
        <f>IFERROR(__xludf.DUMMYFUNCTION("GOOGLETRANSLATE(C237,""fr"",""en"")"),"I received a quote of 617 euros for a small village house. This is three times what my friends pay. In addition, insurance has so many exclusions that it is not worth much. The customer service of my AXA agency is abominable - they made me wait 5 months f"&amp;"or an expertise on my disaster house, and they were rude on the phone when I call for the news. Avoid at all costs.")</f>
        <v>I received a quote of 617 euros for a small village house. This is three times what my friends pay. In addition, insurance has so many exclusions that it is not worth much. The customer service of my AXA agency is abominable - they made me wait 5 months for an expertise on my disaster house, and they were rude on the phone when I call for the news. Avoid at all costs.</v>
      </c>
    </row>
    <row r="238" ht="15.75" customHeight="1">
      <c r="B238" s="2" t="s">
        <v>755</v>
      </c>
      <c r="C238" s="2" t="s">
        <v>756</v>
      </c>
      <c r="D238" s="2" t="s">
        <v>612</v>
      </c>
      <c r="E238" s="2" t="s">
        <v>14</v>
      </c>
      <c r="F238" s="2" t="s">
        <v>15</v>
      </c>
      <c r="G238" s="2" t="s">
        <v>757</v>
      </c>
      <c r="H238" s="2" t="s">
        <v>27</v>
      </c>
      <c r="I238" s="2" t="str">
        <f>IFERROR(__xludf.DUMMYFUNCTION("GOOGLETRANSLATE(C238,""fr"",""en"")"),"The prices are correct. Good insurance for the home. Normal basic contract.")</f>
        <v>The prices are correct. Good insurance for the home. Normal basic contract.</v>
      </c>
    </row>
    <row r="239" ht="15.75" customHeight="1">
      <c r="B239" s="2" t="s">
        <v>758</v>
      </c>
      <c r="C239" s="2" t="s">
        <v>759</v>
      </c>
      <c r="D239" s="2" t="s">
        <v>612</v>
      </c>
      <c r="E239" s="2" t="s">
        <v>14</v>
      </c>
      <c r="F239" s="2" t="s">
        <v>15</v>
      </c>
      <c r="G239" s="2" t="s">
        <v>760</v>
      </c>
      <c r="H239" s="2" t="s">
        <v>27</v>
      </c>
      <c r="I239" s="2" t="str">
        <f>IFERROR(__xludf.DUMMYFUNCTION("GOOGLETRANSLATE(C239,""fr"",""en"")"),"Catastrophic, null, ineffective!
Administrative management, customer relations, growing prices each year ...
No recognition of loyal customers (20 years).
Just pathetic and disappointing.")</f>
        <v>Catastrophic, null, ineffective!
Administrative management, customer relations, growing prices each year ...
No recognition of loyal customers (20 years).
Just pathetic and disappointing.</v>
      </c>
    </row>
    <row r="240" ht="15.75" customHeight="1">
      <c r="B240" s="2" t="s">
        <v>761</v>
      </c>
      <c r="C240" s="2" t="s">
        <v>762</v>
      </c>
      <c r="D240" s="2" t="s">
        <v>612</v>
      </c>
      <c r="E240" s="2" t="s">
        <v>14</v>
      </c>
      <c r="F240" s="2" t="s">
        <v>15</v>
      </c>
      <c r="G240" s="2" t="s">
        <v>763</v>
      </c>
      <c r="H240" s="2" t="s">
        <v>27</v>
      </c>
      <c r="I240" s="2" t="str">
        <f>IFERROR(__xludf.DUMMYFUNCTION("GOOGLETRANSLATE(C240,""fr"",""en"")"),"Very unhappy with AXA which will not take care of repair expenses resulting from a very classic water damage. The contract actually has multitudes of particular clauses which make the risk is ultimately more covered. A situation that is not acceptable.")</f>
        <v>Very unhappy with AXA which will not take care of repair expenses resulting from a very classic water damage. The contract actually has multitudes of particular clauses which make the risk is ultimately more covered. A situation that is not acceptable.</v>
      </c>
    </row>
    <row r="241" ht="15.75" customHeight="1">
      <c r="B241" s="2" t="s">
        <v>764</v>
      </c>
      <c r="C241" s="2" t="s">
        <v>765</v>
      </c>
      <c r="D241" s="2" t="s">
        <v>612</v>
      </c>
      <c r="E241" s="2" t="s">
        <v>14</v>
      </c>
      <c r="F241" s="2" t="s">
        <v>15</v>
      </c>
      <c r="G241" s="2" t="s">
        <v>39</v>
      </c>
      <c r="H241" s="2" t="s">
        <v>31</v>
      </c>
      <c r="I241" s="2" t="str">
        <f>IFERROR(__xludf.DUMMYFUNCTION("GOOGLETRANSLATE(C241,""fr"",""en"")"),"After a termination within the framework of the Hamon law carried out by my new insurance, they still claim the contribution of the year 2017 ... It becomes harassment there. Threat of bailiff ect ... insurer to avoid !!!")</f>
        <v>After a termination within the framework of the Hamon law carried out by my new insurance, they still claim the contribution of the year 2017 ... It becomes harassment there. Threat of bailiff ect ... insurer to avoid !!!</v>
      </c>
    </row>
    <row r="242" ht="15.75" customHeight="1">
      <c r="B242" s="2" t="s">
        <v>766</v>
      </c>
      <c r="C242" s="2" t="s">
        <v>767</v>
      </c>
      <c r="D242" s="2" t="s">
        <v>612</v>
      </c>
      <c r="E242" s="2" t="s">
        <v>14</v>
      </c>
      <c r="F242" s="2" t="s">
        <v>15</v>
      </c>
      <c r="G242" s="2" t="s">
        <v>768</v>
      </c>
      <c r="H242" s="2" t="s">
        <v>46</v>
      </c>
      <c r="I242" s="2" t="str">
        <f>IFERROR(__xludf.DUMMYFUNCTION("GOOGLETRANSLATE(C242,""fr"",""en"")"),"Sleeping merchant - Customer with six contracts at AXA. Yesterday only two contracts due to paragraphs of life. Considered as volatile customers and therefore increase in annual contributions (home + vehicle) to benefit from a pricing offers opening of a "&amp;"bank account with credit card so additional costs")</f>
        <v>Sleeping merchant - Customer with six contracts at AXA. Yesterday only two contracts due to paragraphs of life. Considered as volatile customers and therefore increase in annual contributions (home + vehicle) to benefit from a pricing offers opening of a bank account with credit card so additional costs</v>
      </c>
    </row>
    <row r="243" ht="15.75" customHeight="1">
      <c r="B243" s="2" t="s">
        <v>769</v>
      </c>
      <c r="C243" s="2" t="s">
        <v>770</v>
      </c>
      <c r="D243" s="2" t="s">
        <v>612</v>
      </c>
      <c r="E243" s="2" t="s">
        <v>14</v>
      </c>
      <c r="F243" s="2" t="s">
        <v>15</v>
      </c>
      <c r="G243" s="2" t="s">
        <v>771</v>
      </c>
      <c r="H243" s="2" t="s">
        <v>46</v>
      </c>
      <c r="I243" s="2" t="str">
        <f>IFERROR(__xludf.DUMMYFUNCTION("GOOGLETRANSLATE(C243,""fr"",""en"")"),"Insured for 10 years at AXA the day when I have a disaster person does not answer you or contact you, please do not make me spend letters ""your AXA advisor to listen ..."", and when by miracle the phone of the emergency number answers we ask you to recal"&amp;"l we are overwhelmed")</f>
        <v>Insured for 10 years at AXA the day when I have a disaster person does not answer you or contact you, please do not make me spend letters "your AXA advisor to listen ...", and when by miracle the phone of the emergency number answers we ask you to recall we are overwhelmed</v>
      </c>
    </row>
    <row r="244" ht="15.75" customHeight="1">
      <c r="B244" s="2" t="s">
        <v>772</v>
      </c>
      <c r="C244" s="2" t="s">
        <v>773</v>
      </c>
      <c r="D244" s="2" t="s">
        <v>612</v>
      </c>
      <c r="E244" s="2" t="s">
        <v>14</v>
      </c>
      <c r="F244" s="2" t="s">
        <v>15</v>
      </c>
      <c r="G244" s="2" t="s">
        <v>774</v>
      </c>
      <c r="H244" s="2" t="s">
        <v>46</v>
      </c>
      <c r="I244" s="2" t="str">
        <f>IFERROR(__xludf.DUMMYFUNCTION("GOOGLETRANSLATE(C244,""fr"",""en"")"),"My father was overturned by a car in October 2016. AXA never followed the file with care. Expertise was scheduled in 2018 my father died on 01/11/2018. No one has contacted my mother. No compensation in the face of a fracture of the basin, collarbone + Al"&amp;"zeimer which has worsened and caused its placement. He spent the last year of his life in a prison for sick paid full pot by my mother. It is shameful.")</f>
        <v>My father was overturned by a car in October 2016. AXA never followed the file with care. Expertise was scheduled in 2018 my father died on 01/11/2018. No one has contacted my mother. No compensation in the face of a fracture of the basin, collarbone + Alzeimer which has worsened and caused its placement. He spent the last year of his life in a prison for sick paid full pot by my mother. It is shameful.</v>
      </c>
    </row>
    <row r="245" ht="15.75" customHeight="1">
      <c r="B245" s="2" t="s">
        <v>775</v>
      </c>
      <c r="C245" s="2" t="s">
        <v>776</v>
      </c>
      <c r="D245" s="2" t="s">
        <v>612</v>
      </c>
      <c r="E245" s="2" t="s">
        <v>14</v>
      </c>
      <c r="F245" s="2" t="s">
        <v>15</v>
      </c>
      <c r="G245" s="2" t="s">
        <v>777</v>
      </c>
      <c r="H245" s="2" t="s">
        <v>59</v>
      </c>
      <c r="I245" s="2" t="str">
        <f>IFERROR(__xludf.DUMMYFUNCTION("GOOGLETRANSLATE(C245,""fr"",""en"")"),"Feeling of being a milk cow. Each year resembles the previous one, increased premium. No optimization search to ensure that the premium decreases. No contact by the broker allowing an exchange or an explanation. Only commercial procedures are efficient.")</f>
        <v>Feeling of being a milk cow. Each year resembles the previous one, increased premium. No optimization search to ensure that the premium decreases. No contact by the broker allowing an exchange or an explanation. Only commercial procedures are efficient.</v>
      </c>
    </row>
    <row r="246" ht="15.75" customHeight="1">
      <c r="B246" s="2" t="s">
        <v>778</v>
      </c>
      <c r="C246" s="2" t="s">
        <v>779</v>
      </c>
      <c r="D246" s="2" t="s">
        <v>612</v>
      </c>
      <c r="E246" s="2" t="s">
        <v>14</v>
      </c>
      <c r="F246" s="2" t="s">
        <v>15</v>
      </c>
      <c r="G246" s="2" t="s">
        <v>780</v>
      </c>
      <c r="H246" s="2" t="s">
        <v>59</v>
      </c>
      <c r="I246" s="2" t="str">
        <f>IFERROR(__xludf.DUMMYFUNCTION("GOOGLETRANSLATE(C246,""fr"",""en"")"),"Do not want to repay the claims. Do not answer on the phone, the platform is in Africa. No return following my complaint sent to AR. Save yourself!")</f>
        <v>Do not want to repay the claims. Do not answer on the phone, the platform is in Africa. No return following my complaint sent to AR. Save yourself!</v>
      </c>
    </row>
    <row r="247" ht="15.75" customHeight="1">
      <c r="B247" s="2" t="s">
        <v>781</v>
      </c>
      <c r="C247" s="2" t="s">
        <v>782</v>
      </c>
      <c r="D247" s="2" t="s">
        <v>612</v>
      </c>
      <c r="E247" s="2" t="s">
        <v>14</v>
      </c>
      <c r="F247" s="2" t="s">
        <v>15</v>
      </c>
      <c r="G247" s="2" t="s">
        <v>66</v>
      </c>
      <c r="H247" s="2" t="s">
        <v>66</v>
      </c>
      <c r="I247" s="2" t="str">
        <f>IFERROR(__xludf.DUMMYFUNCTION("GOOGLETRANSLATE(C247,""fr"",""en"")"),"The AXA advisor forgot to terminate my home insurance for the sale of my apartment when I had sent two recommended letters with acknowledgment of receipt. I made several complaints but Axa never responded to any of my letters. Instead I received a formal "&amp;"notice for sums that I should not. On the phone each person returned me to another service. Finally I was forced to pay significant sums that I did not owe as well as prosecution costs for sums that I did not have.")</f>
        <v>The AXA advisor forgot to terminate my home insurance for the sale of my apartment when I had sent two recommended letters with acknowledgment of receipt. I made several complaints but Axa never responded to any of my letters. Instead I received a formal notice for sums that I should not. On the phone each person returned me to another service. Finally I was forced to pay significant sums that I did not owe as well as prosecution costs for sums that I did not have.</v>
      </c>
    </row>
    <row r="248" ht="15.75" customHeight="1">
      <c r="B248" s="2" t="s">
        <v>783</v>
      </c>
      <c r="C248" s="2" t="s">
        <v>784</v>
      </c>
      <c r="D248" s="2" t="s">
        <v>612</v>
      </c>
      <c r="E248" s="2" t="s">
        <v>14</v>
      </c>
      <c r="F248" s="2" t="s">
        <v>15</v>
      </c>
      <c r="G248" s="2" t="s">
        <v>785</v>
      </c>
      <c r="H248" s="2" t="s">
        <v>70</v>
      </c>
      <c r="I248" s="2" t="str">
        <f>IFERROR(__xludf.DUMMYFUNCTION("GOOGLETRANSLATE(C248,""fr"",""en"")"),"Axa client water damage that has occurred
Since the start of the interlocutors have been professional and concerned about the satisfaction of their customers!
I who am not very informed of the use and approach I had human and understanding people as rar"&amp;"ely I had! Thank you
")</f>
        <v>Axa client water damage that has occurred
Since the start of the interlocutors have been professional and concerned about the satisfaction of their customers!
I who am not very informed of the use and approach I had human and understanding people as rarely I had! Thank you
</v>
      </c>
    </row>
    <row r="249" ht="15.75" customHeight="1">
      <c r="B249" s="2" t="s">
        <v>786</v>
      </c>
      <c r="C249" s="2" t="s">
        <v>787</v>
      </c>
      <c r="D249" s="2" t="s">
        <v>612</v>
      </c>
      <c r="E249" s="2" t="s">
        <v>14</v>
      </c>
      <c r="F249" s="2" t="s">
        <v>15</v>
      </c>
      <c r="G249" s="2" t="s">
        <v>788</v>
      </c>
      <c r="H249" s="2" t="s">
        <v>74</v>
      </c>
      <c r="I249" s="2" t="str">
        <f>IFERROR(__xludf.DUMMYFUNCTION("GOOGLETRANSLATE(C249,""fr"",""en"")"),"After a sinister housing after a fire the beginning of the care of more than two after this disaster always traumatized by this event I find myself screaming disappointed by Mr. Expert and I really support this cold contact very badly knowing that I am di"&amp;"sabled they are there to help us rebuild ourselves or are they there to make our lives more difficult and play with customers' health. Continuously like its.")</f>
        <v>After a sinister housing after a fire the beginning of the care of more than two after this disaster always traumatized by this event I find myself screaming disappointed by Mr. Expert and I really support this cold contact very badly knowing that I am disabled they are there to help us rebuild ourselves or are they there to make our lives more difficult and play with customers' health. Continuously like its.</v>
      </c>
    </row>
    <row r="250" ht="15.75" customHeight="1">
      <c r="B250" s="2" t="s">
        <v>789</v>
      </c>
      <c r="C250" s="2" t="s">
        <v>790</v>
      </c>
      <c r="D250" s="2" t="s">
        <v>612</v>
      </c>
      <c r="E250" s="2" t="s">
        <v>14</v>
      </c>
      <c r="F250" s="2" t="s">
        <v>15</v>
      </c>
      <c r="G250" s="2" t="s">
        <v>788</v>
      </c>
      <c r="H250" s="2" t="s">
        <v>74</v>
      </c>
      <c r="I250" s="2" t="str">
        <f>IFERROR(__xludf.DUMMYFUNCTION("GOOGLETRANSLATE(C250,""fr"",""en"")"),"Take advantage of Erasmus students present 6 months in France to then claim money for places that are no longer inhabited and make reminders via Effico collection, then bailiff!")</f>
        <v>Take advantage of Erasmus students present 6 months in France to then claim money for places that are no longer inhabited and make reminders via Effico collection, then bailiff!</v>
      </c>
    </row>
    <row r="251" ht="15.75" customHeight="1">
      <c r="B251" s="2" t="s">
        <v>791</v>
      </c>
      <c r="C251" s="2" t="s">
        <v>792</v>
      </c>
      <c r="D251" s="2" t="s">
        <v>612</v>
      </c>
      <c r="E251" s="2" t="s">
        <v>14</v>
      </c>
      <c r="F251" s="2" t="s">
        <v>15</v>
      </c>
      <c r="G251" s="2" t="s">
        <v>793</v>
      </c>
      <c r="H251" s="2" t="s">
        <v>74</v>
      </c>
      <c r="I251" s="2" t="str">
        <f>IFERROR(__xludf.DUMMYFUNCTION("GOOGLETRANSLATE(C251,""fr"",""en"")"),"Axa Sautron agency to avoid. Saint Priest non -reliable platform not kept.
The queen of incompetence. Total silence during a serious disaster. Shameful for Axa. Nostalgic for the UAP where the slogan ""number 1 obliges"" was assumed. An inspection of the"&amp;" mandate is essential. Scandalous!")</f>
        <v>Axa Sautron agency to avoid. Saint Priest non -reliable platform not kept.
The queen of incompetence. Total silence during a serious disaster. Shameful for Axa. Nostalgic for the UAP where the slogan "number 1 obliges" was assumed. An inspection of the mandate is essential. Scandalous!</v>
      </c>
    </row>
    <row r="252" ht="15.75" customHeight="1">
      <c r="B252" s="2" t="s">
        <v>794</v>
      </c>
      <c r="C252" s="2" t="s">
        <v>795</v>
      </c>
      <c r="D252" s="2" t="s">
        <v>612</v>
      </c>
      <c r="E252" s="2" t="s">
        <v>14</v>
      </c>
      <c r="F252" s="2" t="s">
        <v>15</v>
      </c>
      <c r="G252" s="2" t="s">
        <v>796</v>
      </c>
      <c r="H252" s="2" t="s">
        <v>81</v>
      </c>
      <c r="I252" s="2" t="str">
        <f>IFERROR(__xludf.DUMMYFUNCTION("GOOGLETRANSLATE(C252,""fr"",""en"")"),"The AXA technical service is zero, it has trouble making a decision. I do not recommend people to take the AXA household appliances package. My dishwasher has been HS for over a month and the technical service is on my record. Nabil Zerbane of Lyon")</f>
        <v>The AXA technical service is zero, it has trouble making a decision. I do not recommend people to take the AXA household appliances package. My dishwasher has been HS for over a month and the technical service is on my record. Nabil Zerbane of Lyon</v>
      </c>
    </row>
    <row r="253" ht="15.75" customHeight="1">
      <c r="B253" s="2" t="s">
        <v>797</v>
      </c>
      <c r="C253" s="2" t="s">
        <v>798</v>
      </c>
      <c r="D253" s="2" t="s">
        <v>612</v>
      </c>
      <c r="E253" s="2" t="s">
        <v>14</v>
      </c>
      <c r="F253" s="2" t="s">
        <v>15</v>
      </c>
      <c r="G253" s="2" t="s">
        <v>799</v>
      </c>
      <c r="H253" s="2" t="s">
        <v>395</v>
      </c>
      <c r="I253" s="2" t="str">
        <f>IFERROR(__xludf.DUMMYFUNCTION("GOOGLETRANSLATE(C253,""fr"",""en"")"),"Bravo to my agent AXA, insurance of Rueil, which has just taken charge of a disaster of water damage for which the expert of the trustee of the building did not want to assume responsibility. AXA, on the advice of his expert agreed to take charge of the c"&amp;"laim 100% and then to make the appeal against MMA, the insurer of the trustee, who only wanted to pay 20% of the claim.
An insurer who ensures that deserves to be reported.")</f>
        <v>Bravo to my agent AXA, insurance of Rueil, which has just taken charge of a disaster of water damage for which the expert of the trustee of the building did not want to assume responsibility. AXA, on the advice of his expert agreed to take charge of the claim 100% and then to make the appeal against MMA, the insurer of the trustee, who only wanted to pay 20% of the claim.
An insurer who ensures that deserves to be reported.</v>
      </c>
    </row>
    <row r="254" ht="15.75" customHeight="1">
      <c r="B254" s="2" t="s">
        <v>650</v>
      </c>
      <c r="C254" s="2" t="s">
        <v>800</v>
      </c>
      <c r="D254" s="2" t="s">
        <v>612</v>
      </c>
      <c r="E254" s="2" t="s">
        <v>14</v>
      </c>
      <c r="F254" s="2" t="s">
        <v>15</v>
      </c>
      <c r="G254" s="2" t="s">
        <v>801</v>
      </c>
      <c r="H254" s="2" t="s">
        <v>402</v>
      </c>
      <c r="I254" s="2" t="str">
        <f>IFERROR(__xludf.DUMMYFUNCTION("GOOGLETRANSLATE(C254,""fr"",""en"")"),"Following the fire of our pavilion, we signed a subrogative receipt - AXA refuses to compensate us for a reason: this receipt is not a transaction !!!!! We had never had - no claim - over 35 years old.")</f>
        <v>Following the fire of our pavilion, we signed a subrogative receipt - AXA refuses to compensate us for a reason: this receipt is not a transaction !!!!! We had never had - no claim - over 35 years old.</v>
      </c>
    </row>
    <row r="255" ht="15.75" customHeight="1">
      <c r="B255" s="2" t="s">
        <v>802</v>
      </c>
      <c r="C255" s="2" t="s">
        <v>803</v>
      </c>
      <c r="D255" s="2" t="s">
        <v>612</v>
      </c>
      <c r="E255" s="2" t="s">
        <v>14</v>
      </c>
      <c r="F255" s="2" t="s">
        <v>15</v>
      </c>
      <c r="G255" s="2" t="s">
        <v>409</v>
      </c>
      <c r="H255" s="2" t="s">
        <v>409</v>
      </c>
      <c r="I255" s="2" t="str">
        <f>IFERROR(__xludf.DUMMYFUNCTION("GOOGLETRANSLATE(C255,""fr"",""en"")"),"I have been axa customer for 2 years, I have three contracts (health, housing and car) yesterday November 30, 2017, my garage was filled with smoke, so I phoned who moved very quickly, the gendarmerie and the EDF were on site, my heating system works perf"&amp;"ectly well, and I have my fireplace bloom each year. The firefighters asked me to leave all the windows and open doors to spend the night like that (we are in winter and I remain in the east) to warn my thing that I made, the agent of Insurance to blablat"&amp;"er for 10 minutes. This morning the chimney sweep came to control the installation, a heating specialist came this afternoon to spend a camera in the boiler room system, everything was perfect, it seems that it may be due to time, this little joke M 'cost"&amp;" 500 euros, that my charming insurer does not want to take into account, (he made me think that he too had the same heating as me, that he had no problem, then axa, I do not I have not married it, I am doing the steps to change your insurance company, wit"&amp;"h the Chatel law, we can leave them when we want. What is the point of having insurance,")</f>
        <v>I have been axa customer for 2 years, I have three contracts (health, housing and car) yesterday November 30, 2017, my garage was filled with smoke, so I phoned who moved very quickly, the gendarmerie and the EDF were on site, my heating system works perfectly well, and I have my fireplace bloom each year. The firefighters asked me to leave all the windows and open doors to spend the night like that (we are in winter and I remain in the east) to warn my thing that I made, the agent of Insurance to blablater for 10 minutes. This morning the chimney sweep came to control the installation, a heating specialist came this afternoon to spend a camera in the boiler room system, everything was perfect, it seems that it may be due to time, this little joke M 'cost 500 euros, that my charming insurer does not want to take into account, (he made me think that he too had the same heating as me, that he had no problem, then axa, I do not I have not married it, I am doing the steps to change your insurance company, with the Chatel law, we can leave them when we want. What is the point of having insurance,</v>
      </c>
    </row>
    <row r="256" ht="15.75" customHeight="1">
      <c r="B256" s="2" t="s">
        <v>804</v>
      </c>
      <c r="C256" s="2" t="s">
        <v>805</v>
      </c>
      <c r="D256" s="2" t="s">
        <v>612</v>
      </c>
      <c r="E256" s="2" t="s">
        <v>14</v>
      </c>
      <c r="F256" s="2" t="s">
        <v>15</v>
      </c>
      <c r="G256" s="2" t="s">
        <v>806</v>
      </c>
      <c r="H256" s="2" t="s">
        <v>92</v>
      </c>
      <c r="I256" s="2" t="str">
        <f>IFERROR(__xludf.DUMMYFUNCTION("GOOGLETRANSLATE(C256,""fr"",""en"")"),"Never a claim since 2012 and still not responsible
October 2017on enters me into the wall of my house
Deplorable employee expert who makes fun of customers and when I say make fun the person redone in an ironic tone responsible for insolent agency
clai"&amp;"m manager who gives false advice in short I do not recommend axa we are very far from the pub on television
Axa it's pay and be silent and if you have a sinister bar you")</f>
        <v>Never a claim since 2012 and still not responsible
October 2017on enters me into the wall of my house
Deplorable employee expert who makes fun of customers and when I say make fun the person redone in an ironic tone responsible for insolent agency
claim manager who gives false advice in short I do not recommend axa we are very far from the pub on television
Axa it's pay and be silent and if you have a sinister bar you</v>
      </c>
    </row>
    <row r="257" ht="15.75" customHeight="1">
      <c r="B257" s="2" t="s">
        <v>807</v>
      </c>
      <c r="C257" s="2" t="s">
        <v>808</v>
      </c>
      <c r="D257" s="2" t="s">
        <v>612</v>
      </c>
      <c r="E257" s="2" t="s">
        <v>14</v>
      </c>
      <c r="F257" s="2" t="s">
        <v>15</v>
      </c>
      <c r="G257" s="2" t="s">
        <v>809</v>
      </c>
      <c r="H257" s="2" t="s">
        <v>92</v>
      </c>
      <c r="I257" s="2" t="str">
        <f>IFERROR(__xludf.DUMMYFUNCTION("GOOGLETRANSLATE(C257,""fr"",""en"")"),"AXA is to be fleeing absolutely! Inimaginable premium increases from years to years. In addition we discover by peeling the little sentences, surprises like ""coverage for lightning"" except for electrical devices .... and this, for an amount claimed from"&amp;" the modest sum of 1485, Euro 20. In short, I My contract and directs me to the competition, which, when I announced the amount of my bonus this year, asked me if I did not live in a castle ..... AXA calculates the amount of its premiums at the head clien"&amp;"t. So if you are AXA customer, check that the amount is justified ... do not do like me which is only reacted this year and therefore and was treated as a pigeon that somewhere, I am .....")</f>
        <v>AXA is to be fleeing absolutely! Inimaginable premium increases from years to years. In addition we discover by peeling the little sentences, surprises like "coverage for lightning" except for electrical devices .... and this, for an amount claimed from the modest sum of 1485, Euro 20. In short, I My contract and directs me to the competition, which, when I announced the amount of my bonus this year, asked me if I did not live in a castle ..... AXA calculates the amount of its premiums at the head client. So if you are AXA customer, check that the amount is justified ... do not do like me which is only reacted this year and therefore and was treated as a pigeon that somewhere, I am .....</v>
      </c>
    </row>
    <row r="258" ht="15.75" customHeight="1">
      <c r="B258" s="2" t="s">
        <v>810</v>
      </c>
      <c r="C258" s="2" t="s">
        <v>811</v>
      </c>
      <c r="D258" s="2" t="s">
        <v>612</v>
      </c>
      <c r="E258" s="2" t="s">
        <v>14</v>
      </c>
      <c r="F258" s="2" t="s">
        <v>15</v>
      </c>
      <c r="G258" s="2" t="s">
        <v>812</v>
      </c>
      <c r="H258" s="2" t="s">
        <v>96</v>
      </c>
      <c r="I258" s="2" t="str">
        <f>IFERROR(__xludf.DUMMYFUNCTION("GOOGLETRANSLATE(C258,""fr"",""en"")"),"Nonexistent assistance (two letters, no answer) !!!, no advice, zero pointed. I wonder even if it is not going to have to go further ...")</f>
        <v>Nonexistent assistance (two letters, no answer) !!!, no advice, zero pointed. I wonder even if it is not going to have to go further ...</v>
      </c>
    </row>
    <row r="259" ht="15.75" customHeight="1">
      <c r="B259" s="2" t="s">
        <v>813</v>
      </c>
      <c r="C259" s="2" t="s">
        <v>814</v>
      </c>
      <c r="D259" s="2" t="s">
        <v>612</v>
      </c>
      <c r="E259" s="2" t="s">
        <v>14</v>
      </c>
      <c r="F259" s="2" t="s">
        <v>15</v>
      </c>
      <c r="G259" s="2" t="s">
        <v>815</v>
      </c>
      <c r="H259" s="2" t="s">
        <v>106</v>
      </c>
      <c r="I259" s="2" t="str">
        <f>IFERROR(__xludf.DUMMYFUNCTION("GOOGLETRANSLATE(C259,""fr"",""en"")"),"does not provide anything. We have been waiting for almost 5 years that the insurance is ensuring, or we pay the compensation linked to the decennial of the craftsman who has badly built our house, and stops dragging things as much as possible.")</f>
        <v>does not provide anything. We have been waiting for almost 5 years that the insurance is ensuring, or we pay the compensation linked to the decennial of the craftsman who has badly built our house, and stops dragging things as much as possible.</v>
      </c>
    </row>
    <row r="260" ht="15.75" customHeight="1">
      <c r="B260" s="2" t="s">
        <v>816</v>
      </c>
      <c r="C260" s="2" t="s">
        <v>817</v>
      </c>
      <c r="D260" s="2" t="s">
        <v>612</v>
      </c>
      <c r="E260" s="2" t="s">
        <v>14</v>
      </c>
      <c r="F260" s="2" t="s">
        <v>15</v>
      </c>
      <c r="G260" s="2" t="s">
        <v>439</v>
      </c>
      <c r="H260" s="2" t="s">
        <v>106</v>
      </c>
      <c r="I260" s="2" t="str">
        <f>IFERROR(__xludf.DUMMYFUNCTION("GOOGLETRANSLATE(C260,""fr"",""en"")"),"An increase of +34% of my home insurance in 3 years when I have never had claims, it's huge !!!
I was told that the increase would be frozen in 2017 but it is not a commercial gesture !! We removed guarantees in my contract (example: electrical damage)"&amp;" and without I was informed beforehand, it is by reading the conditions that I noticed: so even price in 2016 but with Less guarantees!
I look forward to the amount of my vehicle insurance (how is it impossible to give me in September 2017 the amount o"&amp;"f my car subscription of 01/11/2017 ???)
I am not at all satisfied with the AXA services, except for the change of a windshield.
For the rest everything is deteriorating from year to year: interest services by the AXA account: 1 % when I subscribed, 3"&amp;" years after 0.25 % !!, contributions that increase, no contact, response by brief and incomplete email: 2 Questions, 1 answer! ....)")</f>
        <v>An increase of +34% of my home insurance in 3 years when I have never had claims, it's huge !!!
I was told that the increase would be frozen in 2017 but it is not a commercial gesture !! We removed guarantees in my contract (example: electrical damage) and without I was informed beforehand, it is by reading the conditions that I noticed: so even price in 2016 but with Less guarantees!
I look forward to the amount of my vehicle insurance (how is it impossible to give me in September 2017 the amount of my car subscription of 01/11/2017 ???)
I am not at all satisfied with the AXA services, except for the change of a windshield.
For the rest everything is deteriorating from year to year: interest services by the AXA account: 1 % when I subscribed, 3 years after 0.25 % !!, contributions that increase, no contact, response by brief and incomplete email: 2 Questions, 1 answer! ....)</v>
      </c>
    </row>
    <row r="261" ht="15.75" customHeight="1">
      <c r="B261" s="2" t="s">
        <v>818</v>
      </c>
      <c r="C261" s="2" t="s">
        <v>819</v>
      </c>
      <c r="D261" s="2" t="s">
        <v>612</v>
      </c>
      <c r="E261" s="2" t="s">
        <v>14</v>
      </c>
      <c r="F261" s="2" t="s">
        <v>15</v>
      </c>
      <c r="G261" s="2" t="s">
        <v>820</v>
      </c>
      <c r="H261" s="2" t="s">
        <v>106</v>
      </c>
      <c r="I261" s="2" t="str">
        <f>IFERROR(__xludf.DUMMYFUNCTION("GOOGLETRANSLATE(C261,""fr"",""en"")"),"Axa to avoid")</f>
        <v>Axa to avoid</v>
      </c>
    </row>
    <row r="262" ht="15.75" customHeight="1">
      <c r="B262" s="2" t="s">
        <v>821</v>
      </c>
      <c r="C262" s="2" t="s">
        <v>822</v>
      </c>
      <c r="D262" s="2" t="s">
        <v>612</v>
      </c>
      <c r="E262" s="2" t="s">
        <v>14</v>
      </c>
      <c r="F262" s="2" t="s">
        <v>15</v>
      </c>
      <c r="G262" s="2" t="s">
        <v>823</v>
      </c>
      <c r="H262" s="2" t="s">
        <v>110</v>
      </c>
      <c r="I262" s="2" t="str">
        <f>IFERROR(__xludf.DUMMYFUNCTION("GOOGLETRANSLATE(C262,""fr"",""en"")"),"Hello, New subscription: plus € 158 without explanation or 40% increase! Agent on vacation and replacement can do anything! No explanation: nothing visible on the computer file. She had to remind me in the middle of the week, I'm still waiting!
In additi"&amp;"on, contribution published in early August, sent in eco tariff on August 11 and received on August 16! 20 days to terminate from the date on mail stamp, well filled with 5 days (""it's the post of post"" replied the replacement for my agent!): And in this"&amp;" vacation period not Obvious to quickly get quotes!
Finally, following a storm, the trampoline of my neighbor destroyed two panels of my fence: catastrophic management by the customer service which first put the case in the claim by claiming me the clima"&amp;"te event when it is about From an appeal, claims quotes x times when he is good in the file, do not contact me to give me the OK for the work, and the icing on the cake: being a victim, I did not settle the Invoice but after 3 months of waiting, the craft"&amp;"sman landed a weekend at home to claim the amount of the invoice: € 154! In order not to put myself bad with this craftsman whom I have known for a long time, I paid by check and then transmitted to my agent the invoice paid to my agent who: has transmitt"&amp;"ed to the headquarters for reimbursement: to last Saturday, since his shipment , nothing in my file! I've been waiting for a month !!! Fortunately, the amount is not huge!
Following the increase, I had quotes made with other insurances and I discovered t"&amp;"hat the disaster of January which I am a victim is counted as a disaster without distinction (if responsible or victim) and raises the amount of the Quote with some insurers!
Axa obviously wants to lose its customers: because if I leave Axa for the home,"&amp;" I will also remove the contract of the car and by snowball effect, my parents (customers for decades) risk removing their 3 contracts. .")</f>
        <v>Hello, New subscription: plus € 158 without explanation or 40% increase! Agent on vacation and replacement can do anything! No explanation: nothing visible on the computer file. She had to remind me in the middle of the week, I'm still waiting!
In addition, contribution published in early August, sent in eco tariff on August 11 and received on August 16! 20 days to terminate from the date on mail stamp, well filled with 5 days ("it's the post of post" replied the replacement for my agent!): And in this vacation period not Obvious to quickly get quotes!
Finally, following a storm, the trampoline of my neighbor destroyed two panels of my fence: catastrophic management by the customer service which first put the case in the claim by claiming me the climate event when it is about From an appeal, claims quotes x times when he is good in the file, do not contact me to give me the OK for the work, and the icing on the cake: being a victim, I did not settle the Invoice but after 3 months of waiting, the craftsman landed a weekend at home to claim the amount of the invoice: € 154! In order not to put myself bad with this craftsman whom I have known for a long time, I paid by check and then transmitted to my agent the invoice paid to my agent who: has transmitted to the headquarters for reimbursement: to last Saturday, since his shipment , nothing in my file! I've been waiting for a month !!! Fortunately, the amount is not huge!
Following the increase, I had quotes made with other insurances and I discovered that the disaster of January which I am a victim is counted as a disaster without distinction (if responsible or victim) and raises the amount of the Quote with some insurers!
Axa obviously wants to lose its customers: because if I leave Axa for the home, I will also remove the contract of the car and by snowball effect, my parents (customers for decades) risk removing their 3 contracts. .</v>
      </c>
    </row>
    <row r="263" ht="15.75" customHeight="1">
      <c r="B263" s="2" t="s">
        <v>824</v>
      </c>
      <c r="C263" s="2" t="s">
        <v>825</v>
      </c>
      <c r="D263" s="2" t="s">
        <v>612</v>
      </c>
      <c r="E263" s="2" t="s">
        <v>14</v>
      </c>
      <c r="F263" s="2" t="s">
        <v>15</v>
      </c>
      <c r="G263" s="2" t="s">
        <v>826</v>
      </c>
      <c r="H263" s="2" t="s">
        <v>110</v>
      </c>
      <c r="I263" s="2" t="str">
        <f>IFERROR(__xludf.DUMMYFUNCTION("GOOGLETRANSLATE(C263,""fr"",""en"")"),"AXA does not respect the termination clauses, must so much be in deficit even after termination of the contract, does not know the Chatel law apparently. I initiate prosecution.")</f>
        <v>AXA does not respect the termination clauses, must so much be in deficit even after termination of the contract, does not know the Chatel law apparently. I initiate prosecution.</v>
      </c>
    </row>
    <row r="264" ht="15.75" customHeight="1">
      <c r="B264" s="2" t="s">
        <v>827</v>
      </c>
      <c r="C264" s="2" t="s">
        <v>828</v>
      </c>
      <c r="D264" s="2" t="s">
        <v>612</v>
      </c>
      <c r="E264" s="2" t="s">
        <v>14</v>
      </c>
      <c r="F264" s="2" t="s">
        <v>15</v>
      </c>
      <c r="G264" s="2" t="s">
        <v>829</v>
      </c>
      <c r="H264" s="2" t="s">
        <v>460</v>
      </c>
      <c r="I264" s="2" t="str">
        <f>IFERROR(__xludf.DUMMYFUNCTION("GOOGLETRANSLATE(C264,""fr"",""en"")"),"I have been insured at Axa for 3 years (accommodation + legal protection). This day I had no claim, or even the slightest request to formulate. I don't know much about this insurer, apart from the fact that He is an international insurance giant, that he "&amp;"is therefore very rich. I noticed a sharp increase in the cost of my subscription (home insurance), from 134 to 169 euros. No explanation has been provided on the part of the said insurer to this fact, however significant.")</f>
        <v>I have been insured at Axa for 3 years (accommodation + legal protection). This day I had no claim, or even the slightest request to formulate. I don't know much about this insurer, apart from the fact that He is an international insurance giant, that he is therefore very rich. I noticed a sharp increase in the cost of my subscription (home insurance), from 134 to 169 euros. No explanation has been provided on the part of the said insurer to this fact, however significant.</v>
      </c>
    </row>
    <row r="265" ht="15.75" customHeight="1">
      <c r="B265" s="2" t="s">
        <v>830</v>
      </c>
      <c r="C265" s="2" t="s">
        <v>831</v>
      </c>
      <c r="D265" s="2" t="s">
        <v>612</v>
      </c>
      <c r="E265" s="2" t="s">
        <v>14</v>
      </c>
      <c r="F265" s="2" t="s">
        <v>15</v>
      </c>
      <c r="G265" s="2" t="s">
        <v>832</v>
      </c>
      <c r="H265" s="2" t="s">
        <v>131</v>
      </c>
      <c r="I265" s="2" t="str">
        <f>IFERROR(__xludf.DUMMYFUNCTION("GOOGLETRANSLATE(C265,""fr"",""en"")"),"AXA NOGENT SUR MARNE agency for multi -risk insurance co -ownership: extremely high prices that increases every year despite a drop -down rate.")</f>
        <v>AXA NOGENT SUR MARNE agency for multi -risk insurance co -ownership: extremely high prices that increases every year despite a drop -down rate.</v>
      </c>
    </row>
    <row r="266" ht="15.75" customHeight="1">
      <c r="B266" s="2" t="s">
        <v>833</v>
      </c>
      <c r="C266" s="2" t="s">
        <v>834</v>
      </c>
      <c r="D266" s="2" t="s">
        <v>612</v>
      </c>
      <c r="E266" s="2" t="s">
        <v>14</v>
      </c>
      <c r="F266" s="2" t="s">
        <v>15</v>
      </c>
      <c r="G266" s="2" t="s">
        <v>835</v>
      </c>
      <c r="H266" s="2" t="s">
        <v>836</v>
      </c>
      <c r="I266" s="2" t="str">
        <f>IFERROR(__xludf.DUMMYFUNCTION("GOOGLETRANSLATE(C266,""fr"",""en"")"),"Axa, ideal insurance when you have nothing to ask !!
After a disaster recognized as a natural disaster in June 2016, today and after multiple calls and letters, no refund !! All the basement of the house under 20cm of water, the damage is only worse sinc"&amp;"e the expert was passed until the end of the year and, following his visit (still not the report), Axa answers us the most stupid of ""lack of maintenance and non -conformity"" answers ""we will have seen everything with Axa !! Flee because the only solut"&amp;"ion visibly is to take a lawyer and make them respected article L. 125-2 of the insurance code among others .. in any case I am there!")</f>
        <v>Axa, ideal insurance when you have nothing to ask !!
After a disaster recognized as a natural disaster in June 2016, today and after multiple calls and letters, no refund !! All the basement of the house under 20cm of water, the damage is only worse since the expert was passed until the end of the year and, following his visit (still not the report), Axa answers us the most stupid of "lack of maintenance and non -conformity" answers "we will have seen everything with Axa !! Flee because the only solution visibly is to take a lawyer and make them respected article L. 125-2 of the insurance code among others .. in any case I am there!</v>
      </c>
    </row>
    <row r="267" ht="15.75" customHeight="1">
      <c r="B267" s="2" t="s">
        <v>837</v>
      </c>
      <c r="C267" s="2" t="s">
        <v>838</v>
      </c>
      <c r="D267" s="2" t="s">
        <v>612</v>
      </c>
      <c r="E267" s="2" t="s">
        <v>14</v>
      </c>
      <c r="F267" s="2" t="s">
        <v>15</v>
      </c>
      <c r="G267" s="2" t="s">
        <v>839</v>
      </c>
      <c r="H267" s="2" t="s">
        <v>469</v>
      </c>
      <c r="I267" s="2" t="str">
        <f>IFERROR(__xludf.DUMMYFUNCTION("GOOGLETRANSLATE(C267,""fr"",""en"")"),"After an innnondation of my home I had the expected reimbursement and even more than what I hoped for. Request to request quotes and not overwhelm the value of your goods because it only serves to increase your contributions")</f>
        <v>After an innnondation of my home I had the expected reimbursement and even more than what I hoped for. Request to request quotes and not overwhelm the value of your goods because it only serves to increase your contributions</v>
      </c>
    </row>
    <row r="268" ht="15.75" customHeight="1">
      <c r="B268" s="2" t="s">
        <v>840</v>
      </c>
      <c r="C268" s="2" t="s">
        <v>841</v>
      </c>
      <c r="D268" s="2" t="s">
        <v>612</v>
      </c>
      <c r="E268" s="2" t="s">
        <v>14</v>
      </c>
      <c r="F268" s="2" t="s">
        <v>15</v>
      </c>
      <c r="G268" s="2" t="s">
        <v>842</v>
      </c>
      <c r="H268" s="2" t="s">
        <v>469</v>
      </c>
      <c r="I268" s="2" t="str">
        <f>IFERROR(__xludf.DUMMYFUNCTION("GOOGLETRANSLATE(C268,""fr"",""en"")"),"After a disaster ""natural disaster"" and the consequences of not followed it by my agent AXA, I asked for the change of agency on November 19, 2016 and today on January 4, 2017 nothing has moved. .. that is to think that agents are the masters of managem"&amp;"ent and apparently they do what they want ..!")</f>
        <v>After a disaster "natural disaster" and the consequences of not followed it by my agent AXA, I asked for the change of agency on November 19, 2016 and today on January 4, 2017 nothing has moved. .. that is to think that agents are the masters of management and apparently they do what they want ..!</v>
      </c>
    </row>
    <row r="269" ht="15.75" customHeight="1">
      <c r="B269" s="2" t="s">
        <v>843</v>
      </c>
      <c r="C269" s="2" t="s">
        <v>844</v>
      </c>
      <c r="D269" s="2" t="s">
        <v>612</v>
      </c>
      <c r="E269" s="2" t="s">
        <v>14</v>
      </c>
      <c r="F269" s="2" t="s">
        <v>15</v>
      </c>
      <c r="G269" s="2" t="s">
        <v>845</v>
      </c>
      <c r="H269" s="2" t="s">
        <v>145</v>
      </c>
      <c r="I269" s="2" t="str">
        <f>IFERROR(__xludf.DUMMYFUNCTION("GOOGLETRANSLATE(C269,""fr"",""en"")"),"Once again unhappy with insurers !!!!
I receive my new subscription with an increase hold 30%!!! (While I have no responsible accident, and I have been a customer for 5 years with 3 cars and 1 housing ...) Explanation, AXA France increases its prices. Th"&amp;"is behavior seems ashamed to me.")</f>
        <v>Once again unhappy with insurers !!!!
I receive my new subscription with an increase hold 30%!!! (While I have no responsible accident, and I have been a customer for 5 years with 3 cars and 1 housing ...) Explanation, AXA France increases its prices. This behavior seems ashamed to me.</v>
      </c>
    </row>
    <row r="270" ht="15.75" customHeight="1">
      <c r="B270" s="2" t="s">
        <v>846</v>
      </c>
      <c r="C270" s="2" t="s">
        <v>847</v>
      </c>
      <c r="D270" s="2" t="s">
        <v>848</v>
      </c>
      <c r="E270" s="2" t="s">
        <v>14</v>
      </c>
      <c r="F270" s="2" t="s">
        <v>15</v>
      </c>
      <c r="G270" s="2" t="s">
        <v>849</v>
      </c>
      <c r="H270" s="2" t="s">
        <v>160</v>
      </c>
      <c r="I270" s="2" t="str">
        <f>IFERROR(__xludf.DUMMYFUNCTION("GOOGLETRANSLATE(C270,""fr"",""en"")"),"Poor information, no claims follow -up, impossible to reach them ... medical follow -up (post -operative return and notice without visit to the doctor advice !!!!!!)")</f>
        <v>Poor information, no claims follow -up, impossible to reach them ... medical follow -up (post -operative return and notice without visit to the doctor advice !!!!!!)</v>
      </c>
    </row>
    <row r="271" ht="15.75" customHeight="1">
      <c r="B271" s="2" t="s">
        <v>850</v>
      </c>
      <c r="C271" s="2" t="s">
        <v>851</v>
      </c>
      <c r="D271" s="2" t="s">
        <v>848</v>
      </c>
      <c r="E271" s="2" t="s">
        <v>14</v>
      </c>
      <c r="F271" s="2" t="s">
        <v>15</v>
      </c>
      <c r="G271" s="2" t="s">
        <v>852</v>
      </c>
      <c r="H271" s="2" t="s">
        <v>481</v>
      </c>
      <c r="I271" s="2" t="str">
        <f>IFERROR(__xludf.DUMMYFUNCTION("GOOGLETRANSLATE(C271,""fr"",""en"")"),"A large branch fell on my roof following a storm. We could no longer access the main entrance and following the maaf agreement we made it removed to see the condition of the roof.
The roofer made a quote for replacing the broken tiles and seeing the stat"&amp;"e of the voliges but the MAAF has transmitted our file to an expert who must give his opinion by phone and in September !!! Not the right to involve the roofer.
How can we assess by phone?. And if it rains, there is a risk of infiltration. No. We have to"&amp;" make the roof at our expense. We walk on the head. I was happy with the maaf but there, I do not recommend it. This morning I will have to harvest the experts with the elements that I had provided to the MAAF by Internet and I spent in the morning on a s"&amp;"ite that did not work before asking for help from the Maaf agency. Thank you to the advisers who do everything to help you")</f>
        <v>A large branch fell on my roof following a storm. We could no longer access the main entrance and following the maaf agreement we made it removed to see the condition of the roof.
The roofer made a quote for replacing the broken tiles and seeing the state of the voliges but the MAAF has transmitted our file to an expert who must give his opinion by phone and in September !!! Not the right to involve the roofer.
How can we assess by phone?. And if it rains, there is a risk of infiltration. No. We have to make the roof at our expense. We walk on the head. I was happy with the maaf but there, I do not recommend it. This morning I will have to harvest the experts with the elements that I had provided to the MAAF by Internet and I spent in the morning on a site that did not work before asking for help from the Maaf agency. Thank you to the advisers who do everything to help you</v>
      </c>
    </row>
    <row r="272" ht="15.75" customHeight="1">
      <c r="B272" s="2" t="s">
        <v>853</v>
      </c>
      <c r="C272" s="2" t="s">
        <v>854</v>
      </c>
      <c r="D272" s="2" t="s">
        <v>848</v>
      </c>
      <c r="E272" s="2" t="s">
        <v>14</v>
      </c>
      <c r="F272" s="2" t="s">
        <v>15</v>
      </c>
      <c r="G272" s="2" t="s">
        <v>855</v>
      </c>
      <c r="H272" s="2" t="s">
        <v>164</v>
      </c>
      <c r="I272" s="2" t="str">
        <f>IFERROR(__xludf.DUMMYFUNCTION("GOOGLETRANSLATE(C272,""fr"",""en"")"),"Hello,
I have declared a loss of the waters on my main accommodation for 15 days. No response to date, despite my reminders via my space or by email. The telephone line is not even reachable; Once you have indicated the subject, the call is cut.
Wit"&amp;"h a start in leave planned in a few days, I am without solution or visibility.
It is a scandal !")</f>
        <v>Hello,
I have declared a loss of the waters on my main accommodation for 15 days. No response to date, despite my reminders via my space or by email. The telephone line is not even reachable; Once you have indicated the subject, the call is cut.
With a start in leave planned in a few days, I am without solution or visibility.
It is a scandal !</v>
      </c>
    </row>
    <row r="273" ht="15.75" customHeight="1">
      <c r="B273" s="2" t="s">
        <v>856</v>
      </c>
      <c r="C273" s="2" t="s">
        <v>857</v>
      </c>
      <c r="D273" s="2" t="s">
        <v>848</v>
      </c>
      <c r="E273" s="2" t="s">
        <v>14</v>
      </c>
      <c r="F273" s="2" t="s">
        <v>15</v>
      </c>
      <c r="G273" s="2" t="s">
        <v>164</v>
      </c>
      <c r="H273" s="2" t="s">
        <v>164</v>
      </c>
      <c r="I273" s="2" t="str">
        <f>IFERROR(__xludf.DUMMYFUNCTION("GOOGLETRANSLATE(C273,""fr"",""en"")"),"2 claims in 4 years. Small water damage and tenant dispute = termination of the insurance contract. Completely in contrast to their marketing, the maaf takes the money from the insured and establishes a loss/benefit ratio. If it turns out that it has a ri"&amp;"sk of not being in profit with a customer they are the contract. It is Odieu, shameful, immoral. Only the money counts for these insurers whose all the budget apparently goes into TV pubs with a very reassuring discourse completely opposite their real fin"&amp;"ancial policy. Avoid at all costs and relay information on all social networks. Do not hesitate to screen my post and share with as many people as possible so that people do not allow themselves to be trapped by this unscrupulous insurer.
David")</f>
        <v>2 claims in 4 years. Small water damage and tenant dispute = termination of the insurance contract. Completely in contrast to their marketing, the maaf takes the money from the insured and establishes a loss/benefit ratio. If it turns out that it has a risk of not being in profit with a customer they are the contract. It is Odieu, shameful, immoral. Only the money counts for these insurers whose all the budget apparently goes into TV pubs with a very reassuring discourse completely opposite their real financial policy. Avoid at all costs and relay information on all social networks. Do not hesitate to screen my post and share with as many people as possible so that people do not allow themselves to be trapped by this unscrupulous insurer.
David</v>
      </c>
    </row>
    <row r="274" ht="15.75" customHeight="1">
      <c r="B274" s="2" t="s">
        <v>858</v>
      </c>
      <c r="C274" s="2" t="s">
        <v>859</v>
      </c>
      <c r="D274" s="2" t="s">
        <v>848</v>
      </c>
      <c r="E274" s="2" t="s">
        <v>14</v>
      </c>
      <c r="F274" s="2" t="s">
        <v>15</v>
      </c>
      <c r="G274" s="2" t="s">
        <v>860</v>
      </c>
      <c r="H274" s="2" t="s">
        <v>168</v>
      </c>
      <c r="I274" s="2" t="str">
        <f>IFERROR(__xludf.DUMMYFUNCTION("GOOGLETRANSLATE(C274,""fr"",""en"")"),"Following a quote made Wednesday evening, I receive an unlined call from a ""sales"" from the MAAF Thursday morning a little before 10 hours.
The latter, lasting 49 seconds, ends with: I would like someone from my Perreux agency to remind me of.
Without"&amp;" news since and this quote to be completed quickly, the MAAF is recalled today on Saturday June 19 at the end of the morning.
The interlocutor, certainly clumsy, in fact this lack of recall, informs us of the false comment left by this indelicate salespe"&amp;"rson I quote ""hung up on the nose"". After 50 years of customers it is unpleasant to say the least.
Is it needed by the Academy's opinion to find out if recalled by someone and hung up on the nose are synonymous….
The quality service of the MAAF can in"&amp;"form me, after investigation, these conversations being recorded of the reality of things and the practice of these questionable comments in this case to be completely false.
RGPD Personal Data The recent example of IKEA must make people think.")</f>
        <v>Following a quote made Wednesday evening, I receive an unlined call from a "sales" from the MAAF Thursday morning a little before 10 hours.
The latter, lasting 49 seconds, ends with: I would like someone from my Perreux agency to remind me of.
Without news since and this quote to be completed quickly, the MAAF is recalled today on Saturday June 19 at the end of the morning.
The interlocutor, certainly clumsy, in fact this lack of recall, informs us of the false comment left by this indelicate salesperson I quote "hung up on the nose". After 50 years of customers it is unpleasant to say the least.
Is it needed by the Academy's opinion to find out if recalled by someone and hung up on the nose are synonymous….
The quality service of the MAAF can inform me, after investigation, these conversations being recorded of the reality of things and the practice of these questionable comments in this case to be completely false.
RGPD Personal Data The recent example of IKEA must make people think.</v>
      </c>
    </row>
    <row r="275" ht="15.75" customHeight="1">
      <c r="B275" s="2" t="s">
        <v>861</v>
      </c>
      <c r="C275" s="2" t="s">
        <v>862</v>
      </c>
      <c r="D275" s="2" t="s">
        <v>848</v>
      </c>
      <c r="E275" s="2" t="s">
        <v>14</v>
      </c>
      <c r="F275" s="2" t="s">
        <v>15</v>
      </c>
      <c r="G275" s="2" t="s">
        <v>863</v>
      </c>
      <c r="H275" s="2" t="s">
        <v>168</v>
      </c>
      <c r="I275" s="2" t="str">
        <f>IFERROR(__xludf.DUMMYFUNCTION("GOOGLETRANSLATE(C275,""fr"",""en"")"),"I was customer Maaf for more than 20 years. The few times I needed to play my home insurance everything was quick and without any hassle.
I recommend the Thionville agency (57) which is particularly effective.")</f>
        <v>I was customer Maaf for more than 20 years. The few times I needed to play my home insurance everything was quick and without any hassle.
I recommend the Thionville agency (57) which is particularly effective.</v>
      </c>
    </row>
    <row r="276" ht="15.75" customHeight="1">
      <c r="B276" s="2" t="s">
        <v>864</v>
      </c>
      <c r="C276" s="2" t="s">
        <v>865</v>
      </c>
      <c r="D276" s="2" t="s">
        <v>848</v>
      </c>
      <c r="E276" s="2" t="s">
        <v>14</v>
      </c>
      <c r="F276" s="2" t="s">
        <v>15</v>
      </c>
      <c r="G276" s="2" t="s">
        <v>866</v>
      </c>
      <c r="H276" s="2" t="s">
        <v>172</v>
      </c>
      <c r="I276" s="2" t="str">
        <f>IFERROR(__xludf.DUMMYFUNCTION("GOOGLETRANSLATE(C276,""fr"",""en"")"),"Insurance with which the exchanges are easy by phone, internet and agency C (is the positive side. After a black series of claims, Maaf crazy because too many declarations while I am assured for these damage; .I must be taken, paying contributions but not"&amp;" having claims if you want to be an insured maaf.
COTE PRO I have another contract with 8 vehicles and 5 employees, I do research to leave the maaf and find another insurer")</f>
        <v>Insurance with which the exchanges are easy by phone, internet and agency C (is the positive side. After a black series of claims, Maaf crazy because too many declarations while I am assured for these damage; .I must be taken, paying contributions but not having claims if you want to be an insured maaf.
COTE PRO I have another contract with 8 vehicles and 5 employees, I do research to leave the maaf and find another insurer</v>
      </c>
    </row>
    <row r="277" ht="15.75" customHeight="1">
      <c r="B277" s="2" t="s">
        <v>867</v>
      </c>
      <c r="C277" s="2" t="s">
        <v>868</v>
      </c>
      <c r="D277" s="2" t="s">
        <v>848</v>
      </c>
      <c r="E277" s="2" t="s">
        <v>14</v>
      </c>
      <c r="F277" s="2" t="s">
        <v>15</v>
      </c>
      <c r="G277" s="2" t="s">
        <v>492</v>
      </c>
      <c r="H277" s="2" t="s">
        <v>172</v>
      </c>
      <c r="I277" s="2" t="str">
        <f>IFERROR(__xludf.DUMMYFUNCTION("GOOGLETRANSLATE(C277,""fr"",""en"")"),"Is an insurer that provides the same good twice is a good insurer? I am not used to putting such negative opinions, but I have been fighting for my stepfather for the death for the death for the death for the death of my step. Already already assured by t"&amp;"he owner in another insurance company and despite sending documents while attesting to the MAAF, nothing happens. Unanswered emails, phone agents to whom I must constantly re -explain the situation and an agency director who awaits two months to validate "&amp;"the sending of a document that I should not even have sent and more papers requested for no reason. They do not know the Hamon law, nor the cessation of contract following a death. Are we insured for life and over several generations at the MAAF ??? In sh"&amp;"ort, as long as you ask nothing well and if a death arrives do not seek to terminate. A shame for renowned insurance.")</f>
        <v>Is an insurer that provides the same good twice is a good insurer? I am not used to putting such negative opinions, but I have been fighting for my stepfather for the death for the death for the death for the death of my step. Already already assured by the owner in another insurance company and despite sending documents while attesting to the MAAF, nothing happens. Unanswered emails, phone agents to whom I must constantly re -explain the situation and an agency director who awaits two months to validate the sending of a document that I should not even have sent and more papers requested for no reason. They do not know the Hamon law, nor the cessation of contract following a death. Are we insured for life and over several generations at the MAAF ??? In short, as long as you ask nothing well and if a death arrives do not seek to terminate. A shame for renowned insurance.</v>
      </c>
    </row>
    <row r="278" ht="15.75" customHeight="1">
      <c r="B278" s="2" t="s">
        <v>869</v>
      </c>
      <c r="C278" s="2" t="s">
        <v>870</v>
      </c>
      <c r="D278" s="2" t="s">
        <v>848</v>
      </c>
      <c r="E278" s="2" t="s">
        <v>14</v>
      </c>
      <c r="F278" s="2" t="s">
        <v>15</v>
      </c>
      <c r="G278" s="2" t="s">
        <v>871</v>
      </c>
      <c r="H278" s="2" t="s">
        <v>172</v>
      </c>
      <c r="I278" s="2" t="str">
        <f>IFERROR(__xludf.DUMMYFUNCTION("GOOGLETRANSLATE(C278,""fr"",""en"")"),"A member for 45 years, we have had two sinister water damage with all the Tiles of the RDC renovated. We were in a cottage during the 5 weeks of work, this was taken care of by the MAAF.
We had a burglary everything was taken care of very quickly.
Whene"&amp;"ver we have a telephone exchange for a modification or a new contract this is done by exchange of emails without bp.
We are very happy with our insurer.")</f>
        <v>A member for 45 years, we have had two sinister water damage with all the Tiles of the RDC renovated. We were in a cottage during the 5 weeks of work, this was taken care of by the MAAF.
We had a burglary everything was taken care of very quickly.
Whenever we have a telephone exchange for a modification or a new contract this is done by exchange of emails without bp.
We are very happy with our insurer.</v>
      </c>
    </row>
    <row r="279" ht="15.75" customHeight="1">
      <c r="B279" s="2" t="s">
        <v>872</v>
      </c>
      <c r="C279" s="2" t="s">
        <v>873</v>
      </c>
      <c r="D279" s="2" t="s">
        <v>848</v>
      </c>
      <c r="E279" s="2" t="s">
        <v>14</v>
      </c>
      <c r="F279" s="2" t="s">
        <v>15</v>
      </c>
      <c r="G279" s="2" t="s">
        <v>874</v>
      </c>
      <c r="H279" s="2" t="s">
        <v>179</v>
      </c>
      <c r="I279" s="2" t="str">
        <f>IFERROR(__xludf.DUMMYFUNCTION("GOOGLETRANSLATE(C279,""fr"",""en"")"),"My father had been a customer for thirty years. After his death, my mother was burgled and in the year she had a break in ice. Magged the past thirty-six years, with a business, a car, and the house, she s is made excluded from the maff. then when I see t"&amp;"he advertising spots annoying this insurance, I am revolted. View, to avoid")</f>
        <v>My father had been a customer for thirty years. After his death, my mother was burgled and in the year she had a break in ice. Magged the past thirty-six years, with a business, a car, and the house, she s is made excluded from the maff. then when I see the advertising spots annoying this insurance, I am revolted. View, to avoid</v>
      </c>
    </row>
    <row r="280" ht="15.75" customHeight="1">
      <c r="B280" s="2" t="s">
        <v>875</v>
      </c>
      <c r="C280" s="2" t="s">
        <v>876</v>
      </c>
      <c r="D280" s="2" t="s">
        <v>848</v>
      </c>
      <c r="E280" s="2" t="s">
        <v>14</v>
      </c>
      <c r="F280" s="2" t="s">
        <v>15</v>
      </c>
      <c r="G280" s="2" t="s">
        <v>877</v>
      </c>
      <c r="H280" s="2" t="s">
        <v>179</v>
      </c>
      <c r="I280" s="2" t="str">
        <f>IFERROR(__xludf.DUMMYFUNCTION("GOOGLETRANSLATE(C280,""fr"",""en"")"),"First sinister, a disaster. Since September, my water damage file does not advance despite a dozen calls, a manifest casualture of employees and no response to date, or, moreover, I have been waiting for ... 10mn. A single experience ..... which will make"&amp;" me leave this insurance.")</f>
        <v>First sinister, a disaster. Since September, my water damage file does not advance despite a dozen calls, a manifest casualture of employees and no response to date, or, moreover, I have been waiting for ... 10mn. A single experience ..... which will make me leave this insurance.</v>
      </c>
    </row>
    <row r="281" ht="15.75" customHeight="1">
      <c r="B281" s="2" t="s">
        <v>878</v>
      </c>
      <c r="C281" s="2" t="s">
        <v>879</v>
      </c>
      <c r="D281" s="2" t="s">
        <v>848</v>
      </c>
      <c r="E281" s="2" t="s">
        <v>14</v>
      </c>
      <c r="F281" s="2" t="s">
        <v>15</v>
      </c>
      <c r="G281" s="2" t="s">
        <v>880</v>
      </c>
      <c r="H281" s="2" t="s">
        <v>194</v>
      </c>
      <c r="I281" s="2" t="str">
        <f>IFERROR(__xludf.DUMMYFUNCTION("GOOGLETRANSLATE(C281,""fr"",""en"")"),"The MAAF of Paris 17th, which makes me my housing contract (and in the gentleness accident of family life), knowing that from 1/ I live alone, and 2/ I never asked, I wanted Just the home insurance contract to sign my rental lease in the same day. Shamefu"&amp;"l, moreover when I terminate a year afterwards (via Hamon law), the I learned much later by e-mail that I owe them a sum for the GAV (accident accident guarantee), never asked, then their company SOGEDI send me an email, run away and go you ensure elsewhe"&amp;"re it is cheaper, and with the same services, without policy to subscribe minimum 2 contracts !!!!!")</f>
        <v>The MAAF of Paris 17th, which makes me my housing contract (and in the gentleness accident of family life), knowing that from 1/ I live alone, and 2/ I never asked, I wanted Just the home insurance contract to sign my rental lease in the same day. Shameful, moreover when I terminate a year afterwards (via Hamon law), the I learned much later by e-mail that I owe them a sum for the GAV (accident accident guarantee), never asked, then their company SOGEDI send me an email, run away and go you ensure elsewhere it is cheaper, and with the same services, without policy to subscribe minimum 2 contracts !!!!!</v>
      </c>
    </row>
    <row r="282" ht="15.75" customHeight="1">
      <c r="B282" s="2" t="s">
        <v>881</v>
      </c>
      <c r="C282" s="2" t="s">
        <v>882</v>
      </c>
      <c r="D282" s="2" t="s">
        <v>848</v>
      </c>
      <c r="E282" s="2" t="s">
        <v>14</v>
      </c>
      <c r="F282" s="2" t="s">
        <v>15</v>
      </c>
      <c r="G282" s="2" t="s">
        <v>200</v>
      </c>
      <c r="H282" s="2" t="s">
        <v>194</v>
      </c>
      <c r="I282" s="2" t="str">
        <f>IFERROR(__xludf.DUMMYFUNCTION("GOOGLETRANSLATE(C282,""fr"",""en"")"),"It’s still ashamed to charge costs in the event of insurance monthly payment and after they are surprised when you want to terminate insurance with them ...")</f>
        <v>It’s still ashamed to charge costs in the event of insurance monthly payment and after they are surprised when you want to terminate insurance with them ...</v>
      </c>
    </row>
    <row r="283" ht="15.75" customHeight="1">
      <c r="B283" s="2" t="s">
        <v>883</v>
      </c>
      <c r="C283" s="2" t="s">
        <v>884</v>
      </c>
      <c r="D283" s="2" t="s">
        <v>848</v>
      </c>
      <c r="E283" s="2" t="s">
        <v>14</v>
      </c>
      <c r="F283" s="2" t="s">
        <v>15</v>
      </c>
      <c r="G283" s="2" t="s">
        <v>885</v>
      </c>
      <c r="H283" s="2" t="s">
        <v>204</v>
      </c>
      <c r="I283" s="2" t="str">
        <f>IFERROR(__xludf.DUMMYFUNCTION("GOOGLETRANSLATE(C283,""fr"",""en"")"),"I am quoted in a natural disaster decree for damage to my home and my swimming pool following the dryness like 46 other houses in my town. Following the expertise of the MAAF, my file is rejected.
I see the day and the sun by a crack of the facade, the s"&amp;"idewalk sags 4 centimeters, the pool pipes are crushed and cut (which the expert refused to look), a walk from the Staircase is split, the interior insulation plastering is dislocated, but the expert believes that the drought has nothing to do with it, wh"&amp;"ile all the victims of the neighborhood are recognized as victims of the dialresse. On the other hand for the only staircase crack noted, the expert decides that it dates from 2020 and will have to be the subject of a new request for a decree next year. I"&amp;"n other words, the maaf essentially leaves me to leave rainwater for another year penetrate inside my house. Otherwise I am offered to start the process that will lead me, at best, to undertake work in two years. The expert is so reliable that in his repo"&amp;"rt, he calls on the ground floor which is on the first floor and notes a basement while my house has no basement. In addition, a partitioning for storage of various objects stacked in my garage is declared ""living room"". Is it on the part of the MAAF of"&amp;" incompetence or a desire not to respect the clauses of a contract but it is obvious that, in addition to the litigation to be engaged, I decide to terminate the 7 contracts currently subscribed to the 'Toulouse agency. I also point out that I waited for "&amp;"a long time that the agency informs me of the expert report (dated 27/11/2020), but that this information was communicated to me only after the contributions of the year were taken (2047.49 € on 01/11/2021). Precaution or deficient administration? The maa"&amp;"f should even be grateful to me since to avoid an accident in my swimming pool where only a 10 cm cesspool remained at the bottom, I had the whole repaired at my expense. I consider that the MAAF is primarily responsible for its own interests and, on the "&amp;"occasion of its members.")</f>
        <v>I am quoted in a natural disaster decree for damage to my home and my swimming pool following the dryness like 46 other houses in my town. Following the expertise of the MAAF, my file is rejected.
I see the day and the sun by a crack of the facade, the sidewalk sags 4 centimeters, the pool pipes are crushed and cut (which the expert refused to look), a walk from the Staircase is split, the interior insulation plastering is dislocated, but the expert believes that the drought has nothing to do with it, while all the victims of the neighborhood are recognized as victims of the dialresse. On the other hand for the only staircase crack noted, the expert decides that it dates from 2020 and will have to be the subject of a new request for a decree next year. In other words, the maaf essentially leaves me to leave rainwater for another year penetrate inside my house. Otherwise I am offered to start the process that will lead me, at best, to undertake work in two years. The expert is so reliable that in his report, he calls on the ground floor which is on the first floor and notes a basement while my house has no basement. In addition, a partitioning for storage of various objects stacked in my garage is declared "living room". Is it on the part of the MAAF of incompetence or a desire not to respect the clauses of a contract but it is obvious that, in addition to the litigation to be engaged, I decide to terminate the 7 contracts currently subscribed to the 'Toulouse agency. I also point out that I waited for a long time that the agency informs me of the expert report (dated 27/11/2020), but that this information was communicated to me only after the contributions of the year were taken (2047.49 € on 01/11/2021). Precaution or deficient administration? The maaf should even be grateful to me since to avoid an accident in my swimming pool where only a 10 cm cesspool remained at the bottom, I had the whole repaired at my expense. I consider that the MAAF is primarily responsible for its own interests and, on the occasion of its members.</v>
      </c>
    </row>
    <row r="284" ht="15.75" customHeight="1">
      <c r="B284" s="2" t="s">
        <v>886</v>
      </c>
      <c r="C284" s="2" t="s">
        <v>887</v>
      </c>
      <c r="D284" s="2" t="s">
        <v>848</v>
      </c>
      <c r="E284" s="2" t="s">
        <v>14</v>
      </c>
      <c r="F284" s="2" t="s">
        <v>15</v>
      </c>
      <c r="G284" s="2" t="s">
        <v>669</v>
      </c>
      <c r="H284" s="2" t="s">
        <v>242</v>
      </c>
      <c r="I284" s="2" t="str">
        <f>IFERROR(__xludf.DUMMYFUNCTION("GOOGLETRANSLATE(C284,""fr"",""en"")"),"Hello, I had a water damage which lasted more than 14 months to finally end well. I very strongly thank an expert who has finally taken matters into hand as they say and solved the problem very quickly. In May 2019 Declaration of the claim to the MAAF, I "&amp;"was dealing with another expert who was near retirement and did not have the same energy as the last. This dragged until the arrival of the new in June 2020 and even with the health crisis, he managed to find a serious business for the work because the on"&amp;"e that the MAAF advocated (CMBB company) is really not to recommend . I was reimbursed 100%, nothing of my pocket.
I have been at the MAAF for over 8 years and I am very happy with this insurance, but you have to come across the right people and very g"&amp;"ood experts (like everywhere else).
Big thank you again to this last expert who unfortunately I cannot name.
My file was: B 4183707")</f>
        <v>Hello, I had a water damage which lasted more than 14 months to finally end well. I very strongly thank an expert who has finally taken matters into hand as they say and solved the problem very quickly. In May 2019 Declaration of the claim to the MAAF, I was dealing with another expert who was near retirement and did not have the same energy as the last. This dragged until the arrival of the new in June 2020 and even with the health crisis, he managed to find a serious business for the work because the one that the MAAF advocated (CMBB company) is really not to recommend . I was reimbursed 100%, nothing of my pocket.
I have been at the MAAF for over 8 years and I am very happy with this insurance, but you have to come across the right people and very good experts (like everywhere else).
Big thank you again to this last expert who unfortunately I cannot name.
My file was: B 4183707</v>
      </c>
    </row>
    <row r="285" ht="15.75" customHeight="1">
      <c r="B285" s="2" t="s">
        <v>888</v>
      </c>
      <c r="C285" s="2" t="s">
        <v>889</v>
      </c>
      <c r="D285" s="2" t="s">
        <v>848</v>
      </c>
      <c r="E285" s="2" t="s">
        <v>14</v>
      </c>
      <c r="F285" s="2" t="s">
        <v>15</v>
      </c>
      <c r="G285" s="2" t="s">
        <v>890</v>
      </c>
      <c r="H285" s="2" t="s">
        <v>242</v>
      </c>
      <c r="I285" s="2" t="str">
        <f>IFERROR(__xludf.DUMMYFUNCTION("GOOGLETRANSLATE(C285,""fr"",""en"")"),"If you do not have a claim everything is fine, you just have to pay your contributions to the maaf but if the claims point their noses the maaf will not support you, neither financially nor psychologically because the different interlocutors are on averag"&amp;"e very unpleasant.
6 months to adjust water damage to a house on sale (never more than 6 months otherwise they are in wrong) I missed 2 sales and for the 3rd I had to lower the price. I seized the conciliator of the MAAF but after three months still no c"&amp;"ontact on his part.
I will terminate all my contracts on the anniversary date unless they resound me (after reading my comment) as they often do according to the opinions of other Internet users.
Client for a very long time I have been more and more dis"&amp;"appointed especially in the past 3 years. I no longer recommend the maaf")</f>
        <v>If you do not have a claim everything is fine, you just have to pay your contributions to the maaf but if the claims point their noses the maaf will not support you, neither financially nor psychologically because the different interlocutors are on average very unpleasant.
6 months to adjust water damage to a house on sale (never more than 6 months otherwise they are in wrong) I missed 2 sales and for the 3rd I had to lower the price. I seized the conciliator of the MAAF but after three months still no contact on his part.
I will terminate all my contracts on the anniversary date unless they resound me (after reading my comment) as they often do according to the opinions of other Internet users.
Client for a very long time I have been more and more disappointed especially in the past 3 years. I no longer recommend the maaf</v>
      </c>
    </row>
    <row r="286" ht="15.75" customHeight="1">
      <c r="B286" s="2" t="s">
        <v>891</v>
      </c>
      <c r="C286" s="2" t="s">
        <v>892</v>
      </c>
      <c r="D286" s="2" t="s">
        <v>848</v>
      </c>
      <c r="E286" s="2" t="s">
        <v>14</v>
      </c>
      <c r="F286" s="2" t="s">
        <v>15</v>
      </c>
      <c r="G286" s="2" t="s">
        <v>893</v>
      </c>
      <c r="H286" s="2" t="s">
        <v>242</v>
      </c>
      <c r="I286" s="2" t="str">
        <f>IFERROR(__xludf.DUMMYFUNCTION("GOOGLETRANSLATE(C286,""fr"",""en"")"),"Assures for many years at the MAAF in home insurance, auto/motorcycle and death, I wanted to terminate the latter. I am explained to me that this must be done by registered letter without further details, I am looking for a standard letter on the Internet"&amp;" and the shipments. Termination refused on the grounds that the Hamon law is not valid for this type of insurance. I redo a châtel law type, as agreed to such, re refusal because this law is not valid either, but all the interlocutors have kept telling me"&amp;" before. Suddenly, I have terminated everything .... and the insurer wants to go to the litigation for death insurance. See you to make people of bad faith sometimes even rude (not fortunately). Too bad because a few years ago, in agency there were correc"&amp;"t advisers. For me, never finished the maaf.")</f>
        <v>Assures for many years at the MAAF in home insurance, auto/motorcycle and death, I wanted to terminate the latter. I am explained to me that this must be done by registered letter without further details, I am looking for a standard letter on the Internet and the shipments. Termination refused on the grounds that the Hamon law is not valid for this type of insurance. I redo a châtel law type, as agreed to such, re refusal because this law is not valid either, but all the interlocutors have kept telling me before. Suddenly, I have terminated everything .... and the insurer wants to go to the litigation for death insurance. See you to make people of bad faith sometimes even rude (not fortunately). Too bad because a few years ago, in agency there were correct advisers. For me, never finished the maaf.</v>
      </c>
    </row>
    <row r="287" ht="15.75" customHeight="1">
      <c r="B287" s="2" t="s">
        <v>894</v>
      </c>
      <c r="C287" s="2" t="s">
        <v>895</v>
      </c>
      <c r="D287" s="2" t="s">
        <v>848</v>
      </c>
      <c r="E287" s="2" t="s">
        <v>14</v>
      </c>
      <c r="F287" s="2" t="s">
        <v>15</v>
      </c>
      <c r="G287" s="2" t="s">
        <v>896</v>
      </c>
      <c r="H287" s="2" t="s">
        <v>246</v>
      </c>
      <c r="I287" s="2" t="str">
        <f>IFERROR(__xludf.DUMMYFUNCTION("GOOGLETRANSLATE(C287,""fr"",""en"")"),"An insurer who will not hesitate to throw you as soon as you cost. Insured for 20 years and really few claims. Not even warned by the agency. Just received a recommended to tell us that they are solving us. Great customer relationship !! We had 7 contract"&amp;"s at home! Goodbye")</f>
        <v>An insurer who will not hesitate to throw you as soon as you cost. Insured for 20 years and really few claims. Not even warned by the agency. Just received a recommended to tell us that they are solving us. Great customer relationship !! We had 7 contracts at home! Goodbye</v>
      </c>
    </row>
    <row r="288" ht="15.75" customHeight="1">
      <c r="B288" s="2" t="s">
        <v>897</v>
      </c>
      <c r="C288" s="2" t="s">
        <v>898</v>
      </c>
      <c r="D288" s="2" t="s">
        <v>848</v>
      </c>
      <c r="E288" s="2" t="s">
        <v>14</v>
      </c>
      <c r="F288" s="2" t="s">
        <v>15</v>
      </c>
      <c r="G288" s="2" t="s">
        <v>899</v>
      </c>
      <c r="H288" s="2" t="s">
        <v>550</v>
      </c>
      <c r="I288" s="2" t="str">
        <f>IFERROR(__xludf.DUMMYFUNCTION("GOOGLETRANSLATE(C288,""fr"",""en"")"),"Customer for 23 years terminated for 2 claims in 4 years, without being informed because they sent the mail to a bad address, the incapable ... to flee")</f>
        <v>Customer for 23 years terminated for 2 claims in 4 years, without being informed because they sent the mail to a bad address, the incapable ... to flee</v>
      </c>
    </row>
    <row r="289" ht="15.75" customHeight="1">
      <c r="B289" s="2" t="s">
        <v>900</v>
      </c>
      <c r="C289" s="2" t="s">
        <v>901</v>
      </c>
      <c r="D289" s="2" t="s">
        <v>848</v>
      </c>
      <c r="E289" s="2" t="s">
        <v>14</v>
      </c>
      <c r="F289" s="2" t="s">
        <v>15</v>
      </c>
      <c r="G289" s="2" t="s">
        <v>678</v>
      </c>
      <c r="H289" s="2" t="s">
        <v>550</v>
      </c>
      <c r="I289" s="2" t="str">
        <f>IFERROR(__xludf.DUMMYFUNCTION("GOOGLETRANSLATE(C289,""fr"",""en"")"),"Family insurer on 4 generations. As far as I am concerned, more than forty years of contributions from this insurer with on these 40 years, 3 declared claims, of which only one has been taken care of, the MAAF invoking any pretext to exempt its responsibi"&amp;"lity, and a termination following these 3 claims declared. Shameful and scandalous.")</f>
        <v>Family insurer on 4 generations. As far as I am concerned, more than forty years of contributions from this insurer with on these 40 years, 3 declared claims, of which only one has been taken care of, the MAAF invoking any pretext to exempt its responsibility, and a termination following these 3 claims declared. Shameful and scandalous.</v>
      </c>
    </row>
    <row r="290" ht="15.75" customHeight="1">
      <c r="B290" s="2" t="s">
        <v>902</v>
      </c>
      <c r="C290" s="2" t="s">
        <v>903</v>
      </c>
      <c r="D290" s="2" t="s">
        <v>848</v>
      </c>
      <c r="E290" s="2" t="s">
        <v>14</v>
      </c>
      <c r="F290" s="2" t="s">
        <v>15</v>
      </c>
      <c r="G290" s="2" t="s">
        <v>904</v>
      </c>
      <c r="H290" s="2" t="s">
        <v>554</v>
      </c>
      <c r="I290" s="2" t="str">
        <f>IFERROR(__xludf.DUMMYFUNCTION("GOOGLETRANSLATE(C290,""fr"",""en"")"),"Null guarantees with exorbitant deductible and exaggerated price")</f>
        <v>Null guarantees with exorbitant deductible and exaggerated price</v>
      </c>
    </row>
    <row r="291" ht="15.75" customHeight="1">
      <c r="B291" s="2" t="s">
        <v>905</v>
      </c>
      <c r="C291" s="2" t="s">
        <v>906</v>
      </c>
      <c r="D291" s="2" t="s">
        <v>848</v>
      </c>
      <c r="E291" s="2" t="s">
        <v>14</v>
      </c>
      <c r="F291" s="2" t="s">
        <v>15</v>
      </c>
      <c r="G291" s="2" t="s">
        <v>695</v>
      </c>
      <c r="H291" s="2" t="s">
        <v>277</v>
      </c>
      <c r="I291" s="2" t="str">
        <f>IFERROR(__xludf.DUMMYFUNCTION("GOOGLETRANSLATE(C291,""fr"",""en"")"),"Had 2 or 3 water damage at my home and everything has always gone well.
My mom had her door smashed by the firefighters and they also agree to change the door.
Often the deadlines are due to craftsmen who are overloaded, but the air insurance in any cas"&amp;"e to manage quickly.
This is my opinion in any case.")</f>
        <v>Had 2 or 3 water damage at my home and everything has always gone well.
My mom had her door smashed by the firefighters and they also agree to change the door.
Often the deadlines are due to craftsmen who are overloaded, but the air insurance in any case to manage quickly.
This is my opinion in any case.</v>
      </c>
    </row>
    <row r="292" ht="15.75" customHeight="1">
      <c r="B292" s="2" t="s">
        <v>907</v>
      </c>
      <c r="C292" s="2" t="s">
        <v>908</v>
      </c>
      <c r="D292" s="2" t="s">
        <v>848</v>
      </c>
      <c r="E292" s="2" t="s">
        <v>14</v>
      </c>
      <c r="F292" s="2" t="s">
        <v>15</v>
      </c>
      <c r="G292" s="2" t="s">
        <v>909</v>
      </c>
      <c r="H292" s="2" t="s">
        <v>284</v>
      </c>
      <c r="I292" s="2" t="str">
        <f>IFERROR(__xludf.DUMMYFUNCTION("GOOGLETRANSLATE(C292,""fr"",""en"")"),"This an insurer who does not hesitate to increase the prices after claim (9%).
The increase is significantly greater than the average of increases.
I think this is the first step, because after claims the maaf thanks you as we can read here on many occa"&amp;"sions.")</f>
        <v>This an insurer who does not hesitate to increase the prices after claim (9%).
The increase is significantly greater than the average of increases.
I think this is the first step, because after claims the maaf thanks you as we can read here on many occasions.</v>
      </c>
    </row>
    <row r="293" ht="15.75" customHeight="1">
      <c r="B293" s="2" t="s">
        <v>910</v>
      </c>
      <c r="C293" s="2" t="s">
        <v>911</v>
      </c>
      <c r="D293" s="2" t="s">
        <v>848</v>
      </c>
      <c r="E293" s="2" t="s">
        <v>14</v>
      </c>
      <c r="F293" s="2" t="s">
        <v>15</v>
      </c>
      <c r="G293" s="2" t="s">
        <v>287</v>
      </c>
      <c r="H293" s="2" t="s">
        <v>288</v>
      </c>
      <c r="I293" s="2" t="str">
        <f>IFERROR(__xludf.DUMMYFUNCTION("GOOGLETRANSLATE(C293,""fr"",""en"")"),"I had a water damage in May. At the end of November, I am still waiting ... dozens of calls to the MAAF, promises of reminders and follow -up of files not held. The interlocutors of the Maaf platform are all nice but are helpless and are above all well co"&amp;"ached to deal with any request that they cannot honor. It is impossible to speak to an official despite several requests, the agency director, nor a loss service manager has contacted me despite telephone appointments! There is no monitoring of the claim "&amp;"on the customer area, just the declaration date of the disaster.
On the other hand, when you make a quote on your customer area for a car credit, an employee calls you 2 days later ....")</f>
        <v>I had a water damage in May. At the end of November, I am still waiting ... dozens of calls to the MAAF, promises of reminders and follow -up of files not held. The interlocutors of the Maaf platform are all nice but are helpless and are above all well coached to deal with any request that they cannot honor. It is impossible to speak to an official despite several requests, the agency director, nor a loss service manager has contacted me despite telephone appointments! There is no monitoring of the claim on the customer area, just the declaration date of the disaster.
On the other hand, when you make a quote on your customer area for a car credit, an employee calls you 2 days later ....</v>
      </c>
    </row>
    <row r="294" ht="15.75" customHeight="1">
      <c r="B294" s="2" t="s">
        <v>912</v>
      </c>
      <c r="C294" s="2" t="s">
        <v>913</v>
      </c>
      <c r="D294" s="2" t="s">
        <v>848</v>
      </c>
      <c r="E294" s="2" t="s">
        <v>14</v>
      </c>
      <c r="F294" s="2" t="s">
        <v>15</v>
      </c>
      <c r="G294" s="2" t="s">
        <v>914</v>
      </c>
      <c r="H294" s="2" t="s">
        <v>288</v>
      </c>
      <c r="I294" s="2" t="str">
        <f>IFERROR(__xludf.DUMMYFUNCTION("GOOGLETRANSLATE(C294,""fr"",""en"")"),"We have been insured for years for years for several contracts, home vehicles etc. We had no claims. In 2015 we operated the legal assistance guarantee and had an electric lightning type damage in 2017. For these 2 claims the maaf has just notified its in"&amp;"tention to terminate this contract. As a result of this seriousness we were solving all our contracts at home. We found better and cheaper elsewhere.")</f>
        <v>We have been insured for years for years for several contracts, home vehicles etc. We had no claims. In 2015 we operated the legal assistance guarantee and had an electric lightning type damage in 2017. For these 2 claims the maaf has just notified its intention to terminate this contract. As a result of this seriousness we were solving all our contracts at home. We found better and cheaper elsewhere.</v>
      </c>
    </row>
    <row r="295" ht="15.75" customHeight="1">
      <c r="B295" s="2" t="s">
        <v>915</v>
      </c>
      <c r="C295" s="2" t="s">
        <v>916</v>
      </c>
      <c r="D295" s="2" t="s">
        <v>848</v>
      </c>
      <c r="E295" s="2" t="s">
        <v>14</v>
      </c>
      <c r="F295" s="2" t="s">
        <v>15</v>
      </c>
      <c r="G295" s="2" t="s">
        <v>303</v>
      </c>
      <c r="H295" s="2" t="s">
        <v>288</v>
      </c>
      <c r="I295" s="2" t="str">
        <f>IFERROR(__xludf.DUMMYFUNCTION("GOOGLETRANSLATE(C295,""fr"",""en"")"),"Following an infiltration of which I was not in addition and multiple exchanges and appointment and negotiation I am explained to me that only part of my ceiling and a wall will be ""repainted"". It does not matter that the pattern of the paper is differe"&amp;"nt on the uninfiltrated walls. No matter the differences in colors ... I have to be assured for twenty years, without any liable liable with several options to my contracts but nothing helps. cheap but you are served badly")</f>
        <v>Following an infiltration of which I was not in addition and multiple exchanges and appointment and negotiation I am explained to me that only part of my ceiling and a wall will be "repainted". It does not matter that the pattern of the paper is different on the uninfiltrated walls. No matter the differences in colors ... I have to be assured for twenty years, without any liable liable with several options to my contracts but nothing helps. cheap but you are served badly</v>
      </c>
    </row>
    <row r="296" ht="15.75" customHeight="1">
      <c r="B296" s="2" t="s">
        <v>917</v>
      </c>
      <c r="C296" s="2" t="s">
        <v>918</v>
      </c>
      <c r="D296" s="2" t="s">
        <v>848</v>
      </c>
      <c r="E296" s="2" t="s">
        <v>14</v>
      </c>
      <c r="F296" s="2" t="s">
        <v>15</v>
      </c>
      <c r="G296" s="2" t="s">
        <v>303</v>
      </c>
      <c r="H296" s="2" t="s">
        <v>288</v>
      </c>
      <c r="I296" s="2" t="str">
        <f>IFERROR(__xludf.DUMMYFUNCTION("GOOGLETRANSLATE(C296,""fr"",""en"")"),"Hello,
It's been 8 weeks now that there was a fire at home (uninhabitable apartment of course),
The expert came only 2 weeks after and since the expert report is awaiting validation? Whether in the Expertise Cabinet (Texa) or at the MAAF, no one can tel"&amp;"l you or that is. So my 3 children, my wife and I are sleeping in a 10 -meter square room for eight weeks because the file does not advance.")</f>
        <v>Hello,
It's been 8 weeks now that there was a fire at home (uninhabitable apartment of course),
The expert came only 2 weeks after and since the expert report is awaiting validation? Whether in the Expertise Cabinet (Texa) or at the MAAF, no one can tell you or that is. So my 3 children, my wife and I are sleeping in a 10 -meter square room for eight weeks because the file does not advance.</v>
      </c>
    </row>
    <row r="297" ht="15.75" customHeight="1">
      <c r="B297" s="2" t="s">
        <v>919</v>
      </c>
      <c r="C297" s="2" t="s">
        <v>920</v>
      </c>
      <c r="D297" s="2" t="s">
        <v>848</v>
      </c>
      <c r="E297" s="2" t="s">
        <v>14</v>
      </c>
      <c r="F297" s="2" t="s">
        <v>15</v>
      </c>
      <c r="G297" s="2" t="s">
        <v>921</v>
      </c>
      <c r="H297" s="2" t="s">
        <v>324</v>
      </c>
      <c r="I297" s="2" t="str">
        <f>IFERROR(__xludf.DUMMYFUNCTION("GOOGLETRANSLATE(C297,""fr"",""en"")"),"Internet users reflect well before ensuring the maaf except if you never have a claim, here is my case having had 2 claims water damage in 2015 and 2017 each of them less than 3000 euros I see my contract terminated for too much of claims while I have bee"&amp;"n insured for many years: Morality Maaf assures you if you do not have a loss to good hearing
")</f>
        <v>Internet users reflect well before ensuring the maaf except if you never have a claim, here is my case having had 2 claims water damage in 2015 and 2017 each of them less than 3000 euros I see my contract terminated for too much of claims while I have been insured for many years: Morality Maaf assures you if you do not have a loss to good hearing
</v>
      </c>
    </row>
    <row r="298" ht="15.75" customHeight="1">
      <c r="B298" s="2" t="s">
        <v>922</v>
      </c>
      <c r="C298" s="2" t="s">
        <v>923</v>
      </c>
      <c r="D298" s="2" t="s">
        <v>848</v>
      </c>
      <c r="E298" s="2" t="s">
        <v>14</v>
      </c>
      <c r="F298" s="2" t="s">
        <v>15</v>
      </c>
      <c r="G298" s="2" t="s">
        <v>924</v>
      </c>
      <c r="H298" s="2" t="s">
        <v>328</v>
      </c>
      <c r="I298" s="2" t="str">
        <f>IFERROR(__xludf.DUMMYFUNCTION("GOOGLETRANSLATE(C298,""fr"",""en"")"),"Catastrophic as to the termination of the old IARD insurance contract. Double paid home insurance.")</f>
        <v>Catastrophic as to the termination of the old IARD insurance contract. Double paid home insurance.</v>
      </c>
    </row>
    <row r="299" ht="15.75" customHeight="1">
      <c r="B299" s="2" t="s">
        <v>925</v>
      </c>
      <c r="C299" s="2" t="s">
        <v>926</v>
      </c>
      <c r="D299" s="2" t="s">
        <v>848</v>
      </c>
      <c r="E299" s="2" t="s">
        <v>14</v>
      </c>
      <c r="F299" s="2" t="s">
        <v>15</v>
      </c>
      <c r="G299" s="2" t="s">
        <v>924</v>
      </c>
      <c r="H299" s="2" t="s">
        <v>328</v>
      </c>
      <c r="I299" s="2" t="str">
        <f>IFERROR(__xludf.DUMMYFUNCTION("GOOGLETRANSLATE(C299,""fr"",""en"")"),"Prices are slightly higher than others. If you have 2 damage declarations then they dwell from home .... even after more than 10 years with them without problem. In short if you do not bring them enough money, you do not interest them.")</f>
        <v>Prices are slightly higher than others. If you have 2 damage declarations then they dwell from home .... even after more than 10 years with them without problem. In short if you do not bring them enough money, you do not interest them.</v>
      </c>
    </row>
    <row r="300" ht="15.75" customHeight="1">
      <c r="B300" s="2" t="s">
        <v>927</v>
      </c>
      <c r="C300" s="2" t="s">
        <v>928</v>
      </c>
      <c r="D300" s="2" t="s">
        <v>848</v>
      </c>
      <c r="E300" s="2" t="s">
        <v>14</v>
      </c>
      <c r="F300" s="2" t="s">
        <v>15</v>
      </c>
      <c r="G300" s="2" t="s">
        <v>929</v>
      </c>
      <c r="H300" s="2" t="s">
        <v>328</v>
      </c>
      <c r="I300" s="2" t="str">
        <f>IFERROR(__xludf.DUMMYFUNCTION("GOOGLETRANSLATE(C300,""fr"",""en"")"),"Hello with websites there are all prices we no longer know what is the best insurance")</f>
        <v>Hello with websites there are all prices we no longer know what is the best insurance</v>
      </c>
    </row>
    <row r="301" ht="15.75" customHeight="1">
      <c r="B301" s="2" t="s">
        <v>930</v>
      </c>
      <c r="C301" s="2" t="s">
        <v>931</v>
      </c>
      <c r="D301" s="2" t="s">
        <v>848</v>
      </c>
      <c r="E301" s="2" t="s">
        <v>14</v>
      </c>
      <c r="F301" s="2" t="s">
        <v>15</v>
      </c>
      <c r="G301" s="2" t="s">
        <v>932</v>
      </c>
      <c r="H301" s="2" t="s">
        <v>335</v>
      </c>
      <c r="I301" s="2" t="str">
        <f>IFERROR(__xludf.DUMMYFUNCTION("GOOGLETRANSLATE(C301,""fr"",""en"")"),"40 years of subscription, all contracts combined, cars, life accidents, housing, to be announced by phone, that the headquarters decided to end our housing contract, because we have had over the past 4 years, 4 damage to water, 40 years of contributions, "&amp;"compared to 4,200 euros in costs for the MAAF (in total). We think we are dreaming, it's odious, we only serve to be milk cows.
In other words take insurance (compulsory), but do not use it.
Or is consideration in relation to the customer in all of this"&amp;".
Limit, if we did not also handle my word in question, and maybe I must also say thanks that I am kept as a member for my other insurance.
Aberrant, and above all do not ask who to complain about the siege is an irrevocable decision.
Basically farm yo"&amp;"ur mouth, and do it.
A word of advice if you need serious and responsible insurance run away and go elsewhere.")</f>
        <v>40 years of subscription, all contracts combined, cars, life accidents, housing, to be announced by phone, that the headquarters decided to end our housing contract, because we have had over the past 4 years, 4 damage to water, 40 years of contributions, compared to 4,200 euros in costs for the MAAF (in total). We think we are dreaming, it's odious, we only serve to be milk cows.
In other words take insurance (compulsory), but do not use it.
Or is consideration in relation to the customer in all of this.
Limit, if we did not also handle my word in question, and maybe I must also say thanks that I am kept as a member for my other insurance.
Aberrant, and above all do not ask who to complain about the siege is an irrevocable decision.
Basically farm your mouth, and do it.
A word of advice if you need serious and responsible insurance run away and go elsewhere.</v>
      </c>
    </row>
    <row r="302" ht="15.75" customHeight="1">
      <c r="B302" s="2" t="s">
        <v>933</v>
      </c>
      <c r="C302" s="2" t="s">
        <v>934</v>
      </c>
      <c r="D302" s="2" t="s">
        <v>848</v>
      </c>
      <c r="E302" s="2" t="s">
        <v>14</v>
      </c>
      <c r="F302" s="2" t="s">
        <v>15</v>
      </c>
      <c r="G302" s="2" t="s">
        <v>935</v>
      </c>
      <c r="H302" s="2" t="s">
        <v>572</v>
      </c>
      <c r="I302" s="2" t="str">
        <f>IFERROR(__xludf.DUMMYFUNCTION("GOOGLETRANSLATE(C302,""fr"",""en"")"),"My wife had an accident in November 2018, she was overturned by a car while she was traveling by bicycle. His responsibility is by no means engaged. Broken helmet and portable, as well as the bicycle. It's been almost 6 months, and no compensation if it i"&amp;"s only 200 euros royally advanced by opposing insurance, the Macif. What about total compensation? we relaunch them sir !! Uh and until when? Uh until they pay .... everything is said. I will deposit an injunction to pay directly with the court myself I t"&amp;"hink it will go faster.
I still wonder what the Maaf is for if you have to do yourself.
I was insured precedely at Allianz and Maif, and we have never managed our files so badly. Is it the maaf I prefer? On Mars, maybe, or Pluto, know ...")</f>
        <v>My wife had an accident in November 2018, she was overturned by a car while she was traveling by bicycle. His responsibility is by no means engaged. Broken helmet and portable, as well as the bicycle. It's been almost 6 months, and no compensation if it is only 200 euros royally advanced by opposing insurance, the Macif. What about total compensation? we relaunch them sir !! Uh and until when? Uh until they pay .... everything is said. I will deposit an injunction to pay directly with the court myself I think it will go faster.
I still wonder what the Maaf is for if you have to do yourself.
I was insured precedely at Allianz and Maif, and we have never managed our files so badly. Is it the maaf I prefer? On Mars, maybe, or Pluto, know ...</v>
      </c>
    </row>
    <row r="303" ht="15.75" customHeight="1">
      <c r="B303" s="2" t="s">
        <v>936</v>
      </c>
      <c r="C303" s="2" t="s">
        <v>937</v>
      </c>
      <c r="D303" s="2" t="s">
        <v>848</v>
      </c>
      <c r="E303" s="2" t="s">
        <v>14</v>
      </c>
      <c r="F303" s="2" t="s">
        <v>15</v>
      </c>
      <c r="G303" s="2" t="s">
        <v>938</v>
      </c>
      <c r="H303" s="2" t="s">
        <v>572</v>
      </c>
      <c r="I303" s="2" t="str">
        <f>IFERROR(__xludf.DUMMYFUNCTION("GOOGLETRANSLATE(C303,""fr"",""en"")"),"Housing contract subscribed in September 2007. Since that date, I have not changed anything in the contract, no claim, no payment incident but my annual subscription increased by 68.99%. I sent a recommended to my agency to request explanations and a comm"&amp;"ercial gesture. Response by phone: normal increase. I asked for confirmation in writing: no confirmation in writing (neither mail nor email). I am approaching other companies to leave Maaf.")</f>
        <v>Housing contract subscribed in September 2007. Since that date, I have not changed anything in the contract, no claim, no payment incident but my annual subscription increased by 68.99%. I sent a recommended to my agency to request explanations and a commercial gesture. Response by phone: normal increase. I asked for confirmation in writing: no confirmation in writing (neither mail nor email). I am approaching other companies to leave Maaf.</v>
      </c>
    </row>
    <row r="304" ht="15.75" customHeight="1">
      <c r="B304" s="2" t="s">
        <v>939</v>
      </c>
      <c r="C304" s="2" t="s">
        <v>940</v>
      </c>
      <c r="D304" s="2" t="s">
        <v>848</v>
      </c>
      <c r="E304" s="2" t="s">
        <v>14</v>
      </c>
      <c r="F304" s="2" t="s">
        <v>15</v>
      </c>
      <c r="G304" s="2" t="s">
        <v>941</v>
      </c>
      <c r="H304" s="2" t="s">
        <v>27</v>
      </c>
      <c r="I304" s="2" t="str">
        <f>IFERROR(__xludf.DUMMYFUNCTION("GOOGLETRANSLATE(C304,""fr"",""en"")"),"Very angry .... more than 2 months after having to leave the house because of cracks ... still no news. The expert passed a month ago and he still did not report ... I am told that the deadlines will be very long !!! Does anyone care about the fact that 1"&amp;"5 days I have no more accommodation and that I have a 3 -month and another 2 year old baby?!")</f>
        <v>Very angry .... more than 2 months after having to leave the house because of cracks ... still no news. The expert passed a month ago and he still did not report ... I am told that the deadlines will be very long !!! Does anyone care about the fact that 15 days I have no more accommodation and that I have a 3 -month and another 2 year old baby?!</v>
      </c>
    </row>
    <row r="305" ht="15.75" customHeight="1">
      <c r="B305" s="2" t="s">
        <v>942</v>
      </c>
      <c r="C305" s="2" t="s">
        <v>943</v>
      </c>
      <c r="D305" s="2" t="s">
        <v>848</v>
      </c>
      <c r="E305" s="2" t="s">
        <v>14</v>
      </c>
      <c r="F305" s="2" t="s">
        <v>15</v>
      </c>
      <c r="G305" s="2" t="s">
        <v>944</v>
      </c>
      <c r="H305" s="2" t="s">
        <v>27</v>
      </c>
      <c r="I305" s="2" t="str">
        <f>IFERROR(__xludf.DUMMYFUNCTION("GOOGLETRANSLATE(C305,""fr"",""en"")"),"Customers for more than fifteen years at Maaf in car insurance (2 vehicles) and multi -risk housing, we have never had the slightest claim in housing or any automotive claims for 5 years. Very recently, my wife damaged her glasses. This kind of damage is "&amp;"not covered by the MAAF, even with the ""all risks"" option to which we had not subscribed. After asking by email the latest multi -risk Housing CGVs to check, the MAAF phoned us to offer us, on a commercial basis, to take charge exceptionally the rest of"&amp;" the costs of restoring glasses. Pleasant surprise but the MAAF has, on its own initiative, without any request or prior agreement on our part, a sinister file. Incredible but true. We have repeatedly asked for the deletion of this sinister file, but to d"&amp;"ate, in vain. The MAAF claims that a claim file cannot be deleted. We will therefore go to the next legal and judicial stage and send them an official formal notice. Accepting such practices would open the door to all ""drifts"": since when can an insurer"&amp;" - he created a claim file without any request from the insured?")</f>
        <v>Customers for more than fifteen years at Maaf in car insurance (2 vehicles) and multi -risk housing, we have never had the slightest claim in housing or any automotive claims for 5 years. Very recently, my wife damaged her glasses. This kind of damage is not covered by the MAAF, even with the "all risks" option to which we had not subscribed. After asking by email the latest multi -risk Housing CGVs to check, the MAAF phoned us to offer us, on a commercial basis, to take charge exceptionally the rest of the costs of restoring glasses. Pleasant surprise but the MAAF has, on its own initiative, without any request or prior agreement on our part, a sinister file. Incredible but true. We have repeatedly asked for the deletion of this sinister file, but to date, in vain. The MAAF claims that a claim file cannot be deleted. We will therefore go to the next legal and judicial stage and send them an official formal notice. Accepting such practices would open the door to all "drifts": since when can an insurer - he created a claim file without any request from the insured?</v>
      </c>
    </row>
    <row r="306" ht="15.75" customHeight="1">
      <c r="B306" s="2" t="s">
        <v>945</v>
      </c>
      <c r="C306" s="2" t="s">
        <v>946</v>
      </c>
      <c r="D306" s="2" t="s">
        <v>848</v>
      </c>
      <c r="E306" s="2" t="s">
        <v>14</v>
      </c>
      <c r="F306" s="2" t="s">
        <v>15</v>
      </c>
      <c r="G306" s="2" t="s">
        <v>947</v>
      </c>
      <c r="H306" s="2" t="s">
        <v>27</v>
      </c>
      <c r="I306" s="2" t="str">
        <f>IFERROR(__xludf.DUMMYFUNCTION("GOOGLETRANSLATE(C306,""fr"",""en"")"),"Availability and seriousness of customer advisers. Very rapid processing of the file and reimbursement of the rapid claim")</f>
        <v>Availability and seriousness of customer advisers. Very rapid processing of the file and reimbursement of the rapid claim</v>
      </c>
    </row>
    <row r="307" ht="15.75" customHeight="1">
      <c r="B307" s="2" t="s">
        <v>948</v>
      </c>
      <c r="C307" s="2" t="s">
        <v>949</v>
      </c>
      <c r="D307" s="2" t="s">
        <v>848</v>
      </c>
      <c r="E307" s="2" t="s">
        <v>14</v>
      </c>
      <c r="F307" s="2" t="s">
        <v>15</v>
      </c>
      <c r="G307" s="2" t="s">
        <v>30</v>
      </c>
      <c r="H307" s="2" t="s">
        <v>31</v>
      </c>
      <c r="I307" s="2" t="str">
        <f>IFERROR(__xludf.DUMMYFUNCTION("GOOGLETRANSLATE(C307,""fr"",""en"")"),"Very expensive compared to the Matmut for the same level of service. Customer service did not hear the fact that I indicated that it increased each year by around 30 euros and that it was not normal")</f>
        <v>Very expensive compared to the Matmut for the same level of service. Customer service did not hear the fact that I indicated that it increased each year by around 30 euros and that it was not normal</v>
      </c>
    </row>
    <row r="308" ht="15.75" customHeight="1">
      <c r="B308" s="2" t="s">
        <v>950</v>
      </c>
      <c r="C308" s="2" t="s">
        <v>951</v>
      </c>
      <c r="D308" s="2" t="s">
        <v>848</v>
      </c>
      <c r="E308" s="2" t="s">
        <v>14</v>
      </c>
      <c r="F308" s="2" t="s">
        <v>15</v>
      </c>
      <c r="G308" s="2" t="s">
        <v>952</v>
      </c>
      <c r="H308" s="2" t="s">
        <v>31</v>
      </c>
      <c r="I308" s="2" t="str">
        <f>IFERROR(__xludf.DUMMYFUNCTION("GOOGLETRANSLATE(C308,""fr"",""en"")"),"After the death of my mom, I had to resolve the insurance.
After receipt of the death notice, my birth certificate and a letter requiring the suspension of the contract, I receive a maturity notice for 2019 .... the advisor indicates that it is compulsor"&amp;"y to go through a notary.
Absolutely abusive approach. When one is in mourning of a loved one, I expect from my insurer that it is understanding and not that it tries to burn a new membership because the suspension deadlines are expired.")</f>
        <v>After the death of my mom, I had to resolve the insurance.
After receipt of the death notice, my birth certificate and a letter requiring the suspension of the contract, I receive a maturity notice for 2019 .... the advisor indicates that it is compulsory to go through a notary.
Absolutely abusive approach. When one is in mourning of a loved one, I expect from my insurer that it is understanding and not that it tries to burn a new membership because the suspension deadlines are expired.</v>
      </c>
    </row>
    <row r="309" ht="15.75" customHeight="1">
      <c r="B309" s="2" t="s">
        <v>953</v>
      </c>
      <c r="C309" s="2" t="s">
        <v>954</v>
      </c>
      <c r="D309" s="2" t="s">
        <v>848</v>
      </c>
      <c r="E309" s="2" t="s">
        <v>14</v>
      </c>
      <c r="F309" s="2" t="s">
        <v>15</v>
      </c>
      <c r="G309" s="2" t="s">
        <v>955</v>
      </c>
      <c r="H309" s="2" t="s">
        <v>31</v>
      </c>
      <c r="I309" s="2" t="str">
        <f>IFERROR(__xludf.DUMMYFUNCTION("GOOGLETRANSLATE(C309,""fr"",""en"")"),"Three non -responsible claims in 3 years. Registered letter received to tell us that we were bad students! Hallucing! Of the three claims: a storm that uprooted three trees to us, a storm that burned us a computer and the third a non -responsible civil li"&amp;"ability also! Morality We are Thor, Éole at the same time since we are deemed responsible! I have known other insurances with whom we have never been concerned. This is a first! You have to pay the contributions and that's it but especially not to need th"&amp;"em because they will get angry and will fire you without common measure! To flee, to flee! New slogan: this is the maaf that I hate! RUN AWAY !")</f>
        <v>Three non -responsible claims in 3 years. Registered letter received to tell us that we were bad students! Hallucing! Of the three claims: a storm that uprooted three trees to us, a storm that burned us a computer and the third a non -responsible civil liability also! Morality We are Thor, Éole at the same time since we are deemed responsible! I have known other insurances with whom we have never been concerned. This is a first! You have to pay the contributions and that's it but especially not to need them because they will get angry and will fire you without common measure! To flee, to flee! New slogan: this is the maaf that I hate! RUN AWAY !</v>
      </c>
    </row>
    <row r="310" ht="15.75" customHeight="1">
      <c r="B310" s="2" t="s">
        <v>956</v>
      </c>
      <c r="C310" s="2" t="s">
        <v>957</v>
      </c>
      <c r="D310" s="2" t="s">
        <v>848</v>
      </c>
      <c r="E310" s="2" t="s">
        <v>14</v>
      </c>
      <c r="F310" s="2" t="s">
        <v>15</v>
      </c>
      <c r="G310" s="2" t="s">
        <v>958</v>
      </c>
      <c r="H310" s="2" t="s">
        <v>46</v>
      </c>
      <c r="I310" s="2" t="str">
        <f>IFERROR(__xludf.DUMMYFUNCTION("GOOGLETRANSLATE(C310,""fr"",""en"")"),"Everything is going well until you need them. No customer loyalty policy. Mutual which only favors yield. Me is the maaf that I do not prefer !!!")</f>
        <v>Everything is going well until you need them. No customer loyalty policy. Mutual which only favors yield. Me is the maaf that I do not prefer !!!</v>
      </c>
    </row>
    <row r="311" ht="15.75" customHeight="1">
      <c r="B311" s="2" t="s">
        <v>959</v>
      </c>
      <c r="C311" s="2" t="s">
        <v>960</v>
      </c>
      <c r="D311" s="2" t="s">
        <v>848</v>
      </c>
      <c r="E311" s="2" t="s">
        <v>14</v>
      </c>
      <c r="F311" s="2" t="s">
        <v>15</v>
      </c>
      <c r="G311" s="2" t="s">
        <v>961</v>
      </c>
      <c r="H311" s="2" t="s">
        <v>59</v>
      </c>
      <c r="I311" s="2" t="str">
        <f>IFERROR(__xludf.DUMMYFUNCTION("GOOGLETRANSLATE(C311,""fr"",""en"")"),"Agence Digne les Bains to an agent very competent in her job (Murielle) The prices are in the average of other insurances. The reimbursements are made on time in the announced amounts.")</f>
        <v>Agence Digne les Bains to an agent very competent in her job (Murielle) The prices are in the average of other insurances. The reimbursements are made on time in the announced amounts.</v>
      </c>
    </row>
    <row r="312" ht="15.75" customHeight="1">
      <c r="B312" s="2" t="s">
        <v>962</v>
      </c>
      <c r="C312" s="2" t="s">
        <v>963</v>
      </c>
      <c r="D312" s="2" t="s">
        <v>848</v>
      </c>
      <c r="E312" s="2" t="s">
        <v>14</v>
      </c>
      <c r="F312" s="2" t="s">
        <v>15</v>
      </c>
      <c r="G312" s="2" t="s">
        <v>964</v>
      </c>
      <c r="H312" s="2" t="s">
        <v>59</v>
      </c>
      <c r="I312" s="2" t="str">
        <f>IFERROR(__xludf.DUMMYFUNCTION("GOOGLETRANSLATE(C312,""fr"",""en"")"),"EXICH because 2 claims in 3 years too many claims for them.
I was told that the average was 1 sinister every 8 years !!!! I am not average. This insurance is very good if you don't need it.")</f>
        <v>EXICH because 2 claims in 3 years too many claims for them.
I was told that the average was 1 sinister every 8 years !!!! I am not average. This insurance is very good if you don't need it.</v>
      </c>
    </row>
    <row r="313" ht="15.75" customHeight="1">
      <c r="B313" s="2" t="s">
        <v>965</v>
      </c>
      <c r="C313" s="2" t="s">
        <v>966</v>
      </c>
      <c r="D313" s="2" t="s">
        <v>848</v>
      </c>
      <c r="E313" s="2" t="s">
        <v>14</v>
      </c>
      <c r="F313" s="2" t="s">
        <v>15</v>
      </c>
      <c r="G313" s="2" t="s">
        <v>967</v>
      </c>
      <c r="H313" s="2" t="s">
        <v>66</v>
      </c>
      <c r="I313" s="2" t="str">
        <f>IFERROR(__xludf.DUMMYFUNCTION("GOOGLETRANSLATE(C313,""fr"",""en"")"),"I tried to take out insurance for 2 dwellings ... refused when I have never had a claim! Raison? I moved on the 18th and asked for the insurance on the 22nd because forgetting to do it earlier so in this case we no longer have the right to subscribe !! Th"&amp;"e advisor's response: Asking for insurance from your bank, they are less looking!")</f>
        <v>I tried to take out insurance for 2 dwellings ... refused when I have never had a claim! Raison? I moved on the 18th and asked for the insurance on the 22nd because forgetting to do it earlier so in this case we no longer have the right to subscribe !! The advisor's response: Asking for insurance from your bank, they are less looking!</v>
      </c>
    </row>
    <row r="314" ht="15.75" customHeight="1">
      <c r="B314" s="2" t="s">
        <v>968</v>
      </c>
      <c r="C314" s="2" t="s">
        <v>969</v>
      </c>
      <c r="D314" s="2" t="s">
        <v>848</v>
      </c>
      <c r="E314" s="2" t="s">
        <v>14</v>
      </c>
      <c r="F314" s="2" t="s">
        <v>15</v>
      </c>
      <c r="G314" s="2" t="s">
        <v>970</v>
      </c>
      <c r="H314" s="2" t="s">
        <v>66</v>
      </c>
      <c r="I314" s="2" t="str">
        <f>IFERROR(__xludf.DUMMYFUNCTION("GOOGLETRANSLATE(C314,""fr"",""en"")")," RC for 10 years Transfer of the contract from 92 to 06 Request for the assistance guarantee following the death of my mother when we were in Canada in our children refusal non -residents proof domicile refuses the tax notice")</f>
        <v> RC for 10 years Transfer of the contract from 92 to 06 Request for the assistance guarantee following the death of my mother when we were in Canada in our children refusal non -residents proof domicile refuses the tax notice</v>
      </c>
    </row>
    <row r="315" ht="15.75" customHeight="1">
      <c r="B315" s="2" t="s">
        <v>971</v>
      </c>
      <c r="C315" s="2" t="s">
        <v>972</v>
      </c>
      <c r="D315" s="2" t="s">
        <v>848</v>
      </c>
      <c r="E315" s="2" t="s">
        <v>14</v>
      </c>
      <c r="F315" s="2" t="s">
        <v>15</v>
      </c>
      <c r="G315" s="2" t="s">
        <v>973</v>
      </c>
      <c r="H315" s="2" t="s">
        <v>70</v>
      </c>
      <c r="I315" s="2" t="str">
        <f>IFERROR(__xludf.DUMMYFUNCTION("GOOGLETRANSLATE(C315,""fr"",""en"")"),"I have just received a maaf letter that he terminates my home contract because too many claims !!! It's been over 20 years since I was insured health motorcycle car etc ... No claim in 20 years motorcycle car ... A question a customer who leaves more than"&amp;" 3000 euros is what for you !!! No respect for the customer ......")</f>
        <v>I have just received a maaf letter that he terminates my home contract because too many claims !!! It's been over 20 years since I was insured health motorcycle car etc ... No claim in 20 years motorcycle car ... A question a customer who leaves more than 3000 euros is what for you !!! No respect for the customer ......</v>
      </c>
    </row>
    <row r="316" ht="15.75" customHeight="1">
      <c r="B316" s="2" t="s">
        <v>974</v>
      </c>
      <c r="C316" s="2" t="s">
        <v>975</v>
      </c>
      <c r="D316" s="2" t="s">
        <v>848</v>
      </c>
      <c r="E316" s="2" t="s">
        <v>14</v>
      </c>
      <c r="F316" s="2" t="s">
        <v>15</v>
      </c>
      <c r="G316" s="2" t="s">
        <v>976</v>
      </c>
      <c r="H316" s="2" t="s">
        <v>70</v>
      </c>
      <c r="I316" s="2" t="str">
        <f>IFERROR(__xludf.DUMMYFUNCTION("GOOGLETRANSLATE(C316,""fr"",""en"")"),"Insured for 25 years at home, they have just announced to me that he ended my contract because 3 claims the last two years, two slender and one lightning and nothing years before
Conclusion as long as we pay and there is nothing, they are happy.
Lightni"&amp;"ng and hail is complicated to fight ...
In short insurance to avoid quickly, as long as you pay it is the essential
")</f>
        <v>Insured for 25 years at home, they have just announced to me that he ended my contract because 3 claims the last two years, two slender and one lightning and nothing years before
Conclusion as long as we pay and there is nothing, they are happy.
Lightning and hail is complicated to fight ...
In short insurance to avoid quickly, as long as you pay it is the essential
</v>
      </c>
    </row>
    <row r="317" ht="15.75" customHeight="1">
      <c r="B317" s="2" t="s">
        <v>977</v>
      </c>
      <c r="C317" s="2" t="s">
        <v>978</v>
      </c>
      <c r="D317" s="2" t="s">
        <v>848</v>
      </c>
      <c r="E317" s="2" t="s">
        <v>14</v>
      </c>
      <c r="F317" s="2" t="s">
        <v>15</v>
      </c>
      <c r="G317" s="2" t="s">
        <v>979</v>
      </c>
      <c r="H317" s="2" t="s">
        <v>74</v>
      </c>
      <c r="I317" s="2" t="str">
        <f>IFERROR(__xludf.DUMMYFUNCTION("GOOGLETRANSLATE(C317,""fr"",""en"")"),"To avoid it must be a Macif filulial it is the worst French insurers at the rewarming level")</f>
        <v>To avoid it must be a Macif filulial it is the worst French insurers at the rewarming level</v>
      </c>
    </row>
    <row r="318" ht="15.75" customHeight="1">
      <c r="B318" s="2" t="s">
        <v>980</v>
      </c>
      <c r="C318" s="2" t="s">
        <v>981</v>
      </c>
      <c r="D318" s="2" t="s">
        <v>848</v>
      </c>
      <c r="E318" s="2" t="s">
        <v>14</v>
      </c>
      <c r="F318" s="2" t="s">
        <v>15</v>
      </c>
      <c r="G318" s="2" t="s">
        <v>982</v>
      </c>
      <c r="H318" s="2" t="s">
        <v>74</v>
      </c>
      <c r="I318" s="2" t="str">
        <f>IFERROR(__xludf.DUMMYFUNCTION("GOOGLETRANSLATE(C318,""fr"",""en"")"),"After 25 years of loyalty we had the pleasure of receiving a letter informing us that we are fired from the home insurance after two unhappy little claims who cost almost nothing at the MAAF without even a call. They can make beautiful ads !!!")</f>
        <v>After 25 years of loyalty we had the pleasure of receiving a letter informing us that we are fired from the home insurance after two unhappy little claims who cost almost nothing at the MAAF without even a call. They can make beautiful ads !!!</v>
      </c>
    </row>
    <row r="319" ht="15.75" customHeight="1">
      <c r="B319" s="2" t="s">
        <v>983</v>
      </c>
      <c r="C319" s="2" t="s">
        <v>984</v>
      </c>
      <c r="D319" s="2" t="s">
        <v>848</v>
      </c>
      <c r="E319" s="2" t="s">
        <v>14</v>
      </c>
      <c r="F319" s="2" t="s">
        <v>15</v>
      </c>
      <c r="G319" s="2" t="s">
        <v>382</v>
      </c>
      <c r="H319" s="2" t="s">
        <v>81</v>
      </c>
      <c r="I319" s="2" t="str">
        <f>IFERROR(__xludf.DUMMYFUNCTION("GOOGLETRANSLATE(C319,""fr"",""en"")"),"Expert spent on 05/10/2018 still awaiting the regulation person to tell me at which stage is my file")</f>
        <v>Expert spent on 05/10/2018 still awaiting the regulation person to tell me at which stage is my file</v>
      </c>
    </row>
    <row r="320" ht="15.75" customHeight="1">
      <c r="B320" s="2" t="s">
        <v>985</v>
      </c>
      <c r="C320" s="2" t="s">
        <v>986</v>
      </c>
      <c r="D320" s="2" t="s">
        <v>848</v>
      </c>
      <c r="E320" s="2" t="s">
        <v>14</v>
      </c>
      <c r="F320" s="2" t="s">
        <v>15</v>
      </c>
      <c r="G320" s="2" t="s">
        <v>987</v>
      </c>
      <c r="H320" s="2" t="s">
        <v>85</v>
      </c>
      <c r="I320" s="2" t="str">
        <f>IFERROR(__xludf.DUMMYFUNCTION("GOOGLETRANSLATE(C320,""fr"",""en"")"),"I do not recommend this insurer. It's been 1 year since I was building with them for compensation and they do nothing despite sending the file to the mediator. Above all, do not take legal assistance because you will never be taken care of. Despite the se"&amp;"nding of all the rooms on time.")</f>
        <v>I do not recommend this insurer. It's been 1 year since I was building with them for compensation and they do nothing despite sending the file to the mediator. Above all, do not take legal assistance because you will never be taken care of. Despite the sending of all the rooms on time.</v>
      </c>
    </row>
    <row r="321" ht="15.75" customHeight="1">
      <c r="B321" s="2" t="s">
        <v>988</v>
      </c>
      <c r="C321" s="2" t="s">
        <v>989</v>
      </c>
      <c r="D321" s="2" t="s">
        <v>848</v>
      </c>
      <c r="E321" s="2" t="s">
        <v>14</v>
      </c>
      <c r="F321" s="2" t="s">
        <v>15</v>
      </c>
      <c r="G321" s="2" t="s">
        <v>990</v>
      </c>
      <c r="H321" s="2" t="s">
        <v>402</v>
      </c>
      <c r="I321" s="2" t="str">
        <f>IFERROR(__xludf.DUMMYFUNCTION("GOOGLETRANSLATE(C321,""fr"",""en"")"),"Very bad home insurance did not take care of a claim following public works. Effecting lines (electric, telephone). Fell, portal post damaged by site machine but as no witness ... not seen Not taken ... photos the same day before after have no value ... W"&amp;"hat is insurance for?")</f>
        <v>Very bad home insurance did not take care of a claim following public works. Effecting lines (electric, telephone). Fell, portal post damaged by site machine but as no witness ... not seen Not taken ... photos the same day before after have no value ... What is insurance for?</v>
      </c>
    </row>
    <row r="322" ht="15.75" customHeight="1">
      <c r="B322" s="2" t="s">
        <v>991</v>
      </c>
      <c r="C322" s="2" t="s">
        <v>992</v>
      </c>
      <c r="D322" s="2" t="s">
        <v>848</v>
      </c>
      <c r="E322" s="2" t="s">
        <v>14</v>
      </c>
      <c r="F322" s="2" t="s">
        <v>15</v>
      </c>
      <c r="G322" s="2" t="s">
        <v>993</v>
      </c>
      <c r="H322" s="2" t="s">
        <v>402</v>
      </c>
      <c r="I322" s="2" t="str">
        <f>IFERROR(__xludf.DUMMYFUNCTION("GOOGLETRANSLATE(C322,""fr"",""en"")"),"Their only ambition declared ""lobotimization of customer brains by an untimely ad thanks to the multiple increases in prices""")</f>
        <v>Their only ambition declared "lobotimization of customer brains by an untimely ad thanks to the multiple increases in prices"</v>
      </c>
    </row>
    <row r="323" ht="15.75" customHeight="1">
      <c r="B323" s="2" t="s">
        <v>994</v>
      </c>
      <c r="C323" s="2" t="s">
        <v>995</v>
      </c>
      <c r="D323" s="2" t="s">
        <v>848</v>
      </c>
      <c r="E323" s="2" t="s">
        <v>14</v>
      </c>
      <c r="F323" s="2" t="s">
        <v>15</v>
      </c>
      <c r="G323" s="2" t="s">
        <v>993</v>
      </c>
      <c r="H323" s="2" t="s">
        <v>402</v>
      </c>
      <c r="I323" s="2" t="str">
        <f>IFERROR(__xludf.DUMMYFUNCTION("GOOGLETRANSLATE(C323,""fr"",""en"")"),"Impossible to join claims. Loss of documents invoices related to a disaster home. Well on the price side but zero side management of claims to avoid !!!")</f>
        <v>Impossible to join claims. Loss of documents invoices related to a disaster home. Well on the price side but zero side management of claims to avoid !!!</v>
      </c>
    </row>
    <row r="324" ht="15.75" customHeight="1">
      <c r="B324" s="2" t="s">
        <v>996</v>
      </c>
      <c r="C324" s="2" t="s">
        <v>997</v>
      </c>
      <c r="D324" s="2" t="s">
        <v>848</v>
      </c>
      <c r="E324" s="2" t="s">
        <v>14</v>
      </c>
      <c r="F324" s="2" t="s">
        <v>15</v>
      </c>
      <c r="G324" s="2" t="s">
        <v>998</v>
      </c>
      <c r="H324" s="2" t="s">
        <v>409</v>
      </c>
      <c r="I324" s="2" t="str">
        <f>IFERROR(__xludf.DUMMYFUNCTION("GOOGLETRANSLATE(C324,""fr"",""en"")"),"Average price according to comparators
To believe that they all get along between undeniable quality agencies since I am and ever guaranteed where my average notes
But satisfaction in clear decrease since I was constantly changing advisers
without warn"&amp;"ing me at the start of this change
Then a sometimes distant or infantilizing speech
Refusal of my new motorcycle credit with them
And the height, I am made to believe in compulsory insurance concerning my home
I will take care of it in 2018")</f>
        <v>Average price according to comparators
To believe that they all get along between undeniable quality agencies since I am and ever guaranteed where my average notes
But satisfaction in clear decrease since I was constantly changing advisers
without warning me at the start of this change
Then a sometimes distant or infantilizing speech
Refusal of my new motorcycle credit with them
And the height, I am made to believe in compulsory insurance concerning my home
I will take care of it in 2018</v>
      </c>
    </row>
    <row r="325" ht="15.75" customHeight="1">
      <c r="B325" s="2" t="s">
        <v>999</v>
      </c>
      <c r="C325" s="2" t="s">
        <v>1000</v>
      </c>
      <c r="D325" s="2" t="s">
        <v>848</v>
      </c>
      <c r="E325" s="2" t="s">
        <v>14</v>
      </c>
      <c r="F325" s="2" t="s">
        <v>15</v>
      </c>
      <c r="G325" s="2" t="s">
        <v>1001</v>
      </c>
      <c r="H325" s="2" t="s">
        <v>409</v>
      </c>
      <c r="I325" s="2" t="str">
        <f>IFERROR(__xludf.DUMMYFUNCTION("GOOGLETRANSLATE(C325,""fr"",""en"")")," 
WARNING! Deception for online housing contract! Backy mutual reimbursement! Customer selective sorting
1. Deputy (dol) in the subscription of online contracts
My disabled daughter (cannot do more than 300 m on foot) has subscribed online a home i"&amp;"nsurance contract for an amount of 161 euros.
It receives a contract of an amount of 258 euros adding additional services not requested and not adapted to its situation
- Big difficulties to reach them next: no response to emails, standard, site, occupi"&amp;"ed platform ...
- By going to the Puteaux agency, we were answered verbatim and before witnesses: ""You make us waste our time"" ... make an appointment online! ... However, it was enough to note an appointment on his agenda but ""it does not happen like"&amp;" that""!
- We end up having an appointment online one week after (2nd trip therefore), this is how the question was dealt with:
- either you accept the new contract on our conditions and with the new services (which we do not want) to 258 euros
- Eit"&amp;"her you refuse the contract signed at 161 euros but you still have to pay 258 euros because you have benefited from ""three free months"" (1st new! This is the tip! This gratuity has never been specified anywhere !
RIB given, commitment for one year: t"&amp;"he customer is stuck .. and can only accept the conditions of the contract imposed by the MAAF
Basically, you choose between plague and cholera:
- either the contract subscribes to 161 euros but by paying 258 euros (due to the so-called 3 free months)
"&amp;"- either you accept ""our"" contract with additional services at the price of 258 euros unsuitable!
2. Galere Denonciation Mutual Contract and Refund
 My daughter denounced her MAAF mutual contract three months ago following her hiring as an employe"&amp;"e. It was at the entrepreneurial rate and it was imperative to denounce the Maaf contract in order to domicile the CPAM on the Mutual Son business. What a pain!
To date, before the lack of enthusiasm of the Maaf to terminate this contract, she pays the m"&amp;"utual twice
Damage: 240 euros to date
3. Failure of information or how ""Ferrrer a Customer""
My husband changed his car and wanted to extend his old contract. Rather than extending the existing contract, it has made a new contract. Result: she fer"&amp;" the customer for one year: he can no longer change insurer for 1 year!
4. Selective sorting of customers
The MAAF sorts selective on all its contracts. My husband was a Maaf client since the acquisition of his property property, 35 years ago. Hav"&amp;"ing undergone three minimal water damage in the past 2 years (common areas and private parts), the MAAF informed us that it terminated this contract on 12/31 but kept the other 6 contracts much more profitable and without sinister!
What is more, this mut"&amp;"ualist insurer refused to provide compulsory data (the prime claim rate). This rate is very instructive, it shows the percentage of claims paid compared to the bonus paid. In my case, around 13,000 euros in bonus over the duration of the contract and bare"&amp;"ly 2,000 euros in cumulative claims.
Who are we laughing at?
This is how we lose 5000 euros of annual premiums and this competition made us gain near 25% with identical coverage!
All of these anectodes show that the maaf advertising slogan ""it is po"&amp;"ssible"" must be changed quickly because with them ""nothing is really possible"" neither the consultation nor the basis of courtesy which should Be natural for a service provider!
")</f>
        <v> 
WARNING! Deception for online housing contract! Backy mutual reimbursement! Customer selective sorting
1. Deputy (dol) in the subscription of online contracts
My disabled daughter (cannot do more than 300 m on foot) has subscribed online a home insurance contract for an amount of 161 euros.
It receives a contract of an amount of 258 euros adding additional services not requested and not adapted to its situation
- Big difficulties to reach them next: no response to emails, standard, site, occupied platform ...
- By going to the Puteaux agency, we were answered verbatim and before witnesses: "You make us waste our time" ... make an appointment online! ... However, it was enough to note an appointment on his agenda but "it does not happen like that"!
- We end up having an appointment online one week after (2nd trip therefore), this is how the question was dealt with:
- either you accept the new contract on our conditions and with the new services (which we do not want) to 258 euros
- Either you refuse the contract signed at 161 euros but you still have to pay 258 euros because you have benefited from "three free months" (1st new! This is the tip! This gratuity has never been specified anywhere !
RIB given, commitment for one year: the customer is stuck .. and can only accept the conditions of the contract imposed by the MAAF
Basically, you choose between plague and cholera:
- either the contract subscribes to 161 euros but by paying 258 euros (due to the so-called 3 free months)
- either you accept "our" contract with additional services at the price of 258 euros unsuitable!
2. Galere Denonciation Mutual Contract and Refund
 My daughter denounced her MAAF mutual contract three months ago following her hiring as an employee. It was at the entrepreneurial rate and it was imperative to denounce the Maaf contract in order to domicile the CPAM on the Mutual Son business. What a pain!
To date, before the lack of enthusiasm of the Maaf to terminate this contract, she pays the mutual twice
Damage: 240 euros to date
3. Failure of information or how "Ferrrer a Customer"
My husband changed his car and wanted to extend his old contract. Rather than extending the existing contract, it has made a new contract. Result: she fer the customer for one year: he can no longer change insurer for 1 year!
4. Selective sorting of customers
The MAAF sorts selective on all its contracts. My husband was a Maaf client since the acquisition of his property property, 35 years ago. Having undergone three minimal water damage in the past 2 years (common areas and private parts), the MAAF informed us that it terminated this contract on 12/31 but kept the other 6 contracts much more profitable and without sinister!
What is more, this mutualist insurer refused to provide compulsory data (the prime claim rate). This rate is very instructive, it shows the percentage of claims paid compared to the bonus paid. In my case, around 13,000 euros in bonus over the duration of the contract and barely 2,000 euros in cumulative claims.
Who are we laughing at?
This is how we lose 5000 euros of annual premiums and this competition made us gain near 25% with identical coverage!
All of these anectodes show that the maaf advertising slogan "it is possible" must be changed quickly because with them "nothing is really possible" neither the consultation nor the basis of courtesy which should Be natural for a service provider!
</v>
      </c>
    </row>
    <row r="326" ht="15.75" customHeight="1">
      <c r="B326" s="2" t="s">
        <v>1002</v>
      </c>
      <c r="C326" s="2" t="s">
        <v>1003</v>
      </c>
      <c r="D326" s="2" t="s">
        <v>848</v>
      </c>
      <c r="E326" s="2" t="s">
        <v>14</v>
      </c>
      <c r="F326" s="2" t="s">
        <v>15</v>
      </c>
      <c r="G326" s="2" t="s">
        <v>1004</v>
      </c>
      <c r="H326" s="2" t="s">
        <v>92</v>
      </c>
      <c r="I326" s="2" t="str">
        <f>IFERROR(__xludf.DUMMYFUNCTION("GOOGLETRANSLATE(C326,""fr"",""en"")"),"I will try to remain correct but I am very disrespecting from the maaf compared to its customers it is a shame")</f>
        <v>I will try to remain correct but I am very disrespecting from the maaf compared to its customers it is a shame</v>
      </c>
    </row>
    <row r="327" ht="15.75" customHeight="1">
      <c r="B327" s="2" t="s">
        <v>1005</v>
      </c>
      <c r="C327" s="2" t="s">
        <v>1006</v>
      </c>
      <c r="D327" s="2" t="s">
        <v>848</v>
      </c>
      <c r="E327" s="2" t="s">
        <v>14</v>
      </c>
      <c r="F327" s="2" t="s">
        <v>15</v>
      </c>
      <c r="G327" s="2" t="s">
        <v>1007</v>
      </c>
      <c r="H327" s="2" t="s">
        <v>92</v>
      </c>
      <c r="I327" s="2" t="str">
        <f>IFERROR(__xludf.DUMMYFUNCTION("GOOGLETRANSLATE(C327,""fr"",""en"")"),"Insured for 8 years (pro) I declared two claims: a water damage in 2014 and a window in 2017. I am terminated at the end of the end of 2017. No communication, they even refuse to establish a history which would be very useful in the now difficult research"&amp;" of a new insurer.")</f>
        <v>Insured for 8 years (pro) I declared two claims: a water damage in 2014 and a window in 2017. I am terminated at the end of the end of 2017. No communication, they even refuse to establish a history which would be very useful in the now difficult research of a new insurer.</v>
      </c>
    </row>
    <row r="328" ht="15.75" customHeight="1">
      <c r="B328" s="2" t="s">
        <v>1008</v>
      </c>
      <c r="C328" s="2" t="s">
        <v>1009</v>
      </c>
      <c r="D328" s="2" t="s">
        <v>848</v>
      </c>
      <c r="E328" s="2" t="s">
        <v>14</v>
      </c>
      <c r="F328" s="2" t="s">
        <v>15</v>
      </c>
      <c r="G328" s="2" t="s">
        <v>1010</v>
      </c>
      <c r="H328" s="2" t="s">
        <v>96</v>
      </c>
      <c r="I328" s="2" t="str">
        <f>IFERROR(__xludf.DUMMYFUNCTION("GOOGLETRANSLATE(C328,""fr"",""en"")"),"Hello,
MAAF customer since .... I have to look at but at least 15 or 20 years. Until 2012 in the Paris region and now at the Ales agency.
No claim, nothing for years.
Following enlargements of my home I wanted to update my contract, I should not have ."&amp;"..
La MAAF wanting to make sure of the exteriors: swimming pool, fence wall etc only for € 10,000 max, the pool alone cost me: € 37,500. The person having received me on Alès (courteous and pro) who did not have hand sent me back to the agency manager la"&amp;"st Friday. I was not disappointed with the trip ... not wanting to be discourtise I will say nothing more but I do not think about it.
But result, today I received a registered letter with AR indicating the termination of my home contract at 25/10 for ri"&amp;"sk worsening. We are 2/10 ....
I had 5 contracts and 3 life insurance, this evening there is only life insurance while I find the best way to spend elsewhere.
I must still say thank you, this happened without a claim, what would have happened in the eve"&amp;"nt of a disaster?
")</f>
        <v>Hello,
MAAF customer since .... I have to look at but at least 15 or 20 years. Until 2012 in the Paris region and now at the Ales agency.
No claim, nothing for years.
Following enlargements of my home I wanted to update my contract, I should not have ...
La MAAF wanting to make sure of the exteriors: swimming pool, fence wall etc only for € 10,000 max, the pool alone cost me: € 37,500. The person having received me on Alès (courteous and pro) who did not have hand sent me back to the agency manager last Friday. I was not disappointed with the trip ... not wanting to be discourtise I will say nothing more but I do not think about it.
But result, today I received a registered letter with AR indicating the termination of my home contract at 25/10 for risk worsening. We are 2/10 ....
I had 5 contracts and 3 life insurance, this evening there is only life insurance while I find the best way to spend elsewhere.
I must still say thank you, this happened without a claim, what would have happened in the event of a disaster?
</v>
      </c>
    </row>
    <row r="329" ht="15.75" customHeight="1">
      <c r="B329" s="2" t="s">
        <v>1011</v>
      </c>
      <c r="C329" s="2" t="s">
        <v>1012</v>
      </c>
      <c r="D329" s="2" t="s">
        <v>848</v>
      </c>
      <c r="E329" s="2" t="s">
        <v>14</v>
      </c>
      <c r="F329" s="2" t="s">
        <v>15</v>
      </c>
      <c r="G329" s="2" t="s">
        <v>820</v>
      </c>
      <c r="H329" s="2" t="s">
        <v>106</v>
      </c>
      <c r="I329" s="2" t="str">
        <f>IFERROR(__xludf.DUMMYFUNCTION("GOOGLETRANSLATE(C329,""fr"",""en"")"),"To flee. Above all, don't have a disaster!
As for the special sinister number it is by so -called disturbance at any time, any day of the year.
The person specializing in this area and who takes care of my file gives no news, is not reachable. (To belie"&amp;"ve that it is virtual, a pseudo).
I have to fight with the subscription service to have a contact.
4 months that it lasts and it is not yet regularized.
")</f>
        <v>To flee. Above all, don't have a disaster!
As for the special sinister number it is by so -called disturbance at any time, any day of the year.
The person specializing in this area and who takes care of my file gives no news, is not reachable. (To believe that it is virtual, a pseudo).
I have to fight with the subscription service to have a contact.
4 months that it lasts and it is not yet regularized.
</v>
      </c>
    </row>
    <row r="330" ht="15.75" customHeight="1">
      <c r="B330" s="2" t="s">
        <v>1013</v>
      </c>
      <c r="C330" s="2" t="s">
        <v>1014</v>
      </c>
      <c r="D330" s="2" t="s">
        <v>848</v>
      </c>
      <c r="E330" s="2" t="s">
        <v>14</v>
      </c>
      <c r="F330" s="2" t="s">
        <v>15</v>
      </c>
      <c r="G330" s="2" t="s">
        <v>1015</v>
      </c>
      <c r="H330" s="2" t="s">
        <v>110</v>
      </c>
      <c r="I330" s="2" t="str">
        <f>IFERROR(__xludf.DUMMYFUNCTION("GOOGLETRANSLATE(C330,""fr"",""en"")"),"They want gold customers!
Refusal to even give the quote by Tel, for the recently purchased house, which followed the Loit, I am not even in obligations to insure, because no co -hole: ""Home insurance is not compulsory for owners, except If the accommod"&amp;"ation is located in a condominium, under the pretext of ... is not already assured ... The day of purchase at the TGI, or you become proprio that 10 days after having won the tangles and where he did not Not even a notary of sale! I had spoken with her ma"&amp;"nager, but she had sent me, like / I had told her / ""a chewker"", go to estimate and insurance, with my personal doc and The house, in a physical shop !! So no viable explanations, but anyway I just put your information for information, so continue to lo"&amp;"se your potential customers! Obviously the strength of your advertisement with you! Of time?")</f>
        <v>They want gold customers!
Refusal to even give the quote by Tel, for the recently purchased house, which followed the Loit, I am not even in obligations to insure, because no co -hole: "Home insurance is not compulsory for owners, except If the accommodation is located in a condominium, under the pretext of ... is not already assured ... The day of purchase at the TGI, or you become proprio that 10 days after having won the tangles and where he did not Not even a notary of sale! I had spoken with her manager, but she had sent me, like / I had told her / "a chewker", go to estimate and insurance, with my personal doc and The house, in a physical shop !! So no viable explanations, but anyway I just put your information for information, so continue to lose your potential customers! Obviously the strength of your advertisement with you! Of time?</v>
      </c>
    </row>
    <row r="331" ht="15.75" customHeight="1">
      <c r="B331" s="2" t="s">
        <v>1016</v>
      </c>
      <c r="C331" s="2" t="s">
        <v>1017</v>
      </c>
      <c r="D331" s="2" t="s">
        <v>848</v>
      </c>
      <c r="E331" s="2" t="s">
        <v>14</v>
      </c>
      <c r="F331" s="2" t="s">
        <v>15</v>
      </c>
      <c r="G331" s="2" t="s">
        <v>1015</v>
      </c>
      <c r="H331" s="2" t="s">
        <v>110</v>
      </c>
      <c r="I331" s="2" t="str">
        <f>IFERROR(__xludf.DUMMYFUNCTION("GOOGLETRANSLATE(C331,""fr"",""en"")"),"Following a burglary at my vacancy place, and despite a formula called ""integral"", the maaf does not take care of my stolen goods (4000 euros) because I do not have the ""mobility"" option (option among others that has never been proposed to me)")</f>
        <v>Following a burglary at my vacancy place, and despite a formula called "integral", the maaf does not take care of my stolen goods (4000 euros) because I do not have the "mobility" option (option among others that has never been proposed to me)</v>
      </c>
    </row>
    <row r="332" ht="15.75" customHeight="1">
      <c r="B332" s="2" t="s">
        <v>1018</v>
      </c>
      <c r="C332" s="2" t="s">
        <v>1019</v>
      </c>
      <c r="D332" s="2" t="s">
        <v>848</v>
      </c>
      <c r="E332" s="2" t="s">
        <v>14</v>
      </c>
      <c r="F332" s="2" t="s">
        <v>15</v>
      </c>
      <c r="G332" s="2" t="s">
        <v>110</v>
      </c>
      <c r="H332" s="2" t="s">
        <v>110</v>
      </c>
      <c r="I332" s="2" t="str">
        <f>IFERROR(__xludf.DUMMYFUNCTION("GOOGLETRANSLATE(C332,""fr"",""en"")"),"Faithful customer for 12 years having never had any claim on my cars, but on the other hand some claims due to storms violent thunderstorms, in my home in recent years, I had the unpleasant surprise to have the termination of my contract Housing for the e"&amp;"nd of 2017 incredible 2017 in addition these problems that I cannot control, there are no fault on my part, except perhaps bad luck, you are turning imagine a patient has Social security pacs that, it is often sick we turn it !!
I have never had an unpai"&amp;"d for all these years a delay in payment. Yes we can turn a bad driver for his claims of his bad behavior, to his alcoholism, to see for cash problems ...
In fact all his insurance is there only to gain money on your back, then before signing with this i"&amp;"nsurer, pay attention to the region or live in, especially in the part of France half southern because storms, storms, storms, storms, storms, storms, storms, storms, storms, storms, storms, storms Snow, there are more frequent ditto if you are in town or"&amp;" countryside and also the mentality of this company all this is to be taken into account it is certain that in Paris there can be fewer claims and still….
But the worst, the height of irony, it removes my home insurance but themselves, are surprised by m"&amp;"y dissatisfaction, my fury, my terminations, my autos or university contracts of my children ... Consumer society, without humanity, or Only greed The money The % of claims is taken into account, this a value and not, precisely the purpose of insurance is"&amp;" to help its neighbor ...
So before signing a contract, find out ...
Another problem too, despite a room in your city, you can never join your regional interlocutor, but you always come across a platform with strangers
In addition, the prices are not r"&amp;"eally so good as that and for reimbursement, there is always a deductible of 20 % and a discount of the value of the property for the home an example for a freezer of more than 5 years With a value of € 400 you only touch 63 € document that I can provide "&amp;"and attest and I am not talking about the trips of the route to collect the documents because no repairer wants to move for so little at home in the provinces and transport you so large, especially alone and disabled freezer
")</f>
        <v>Faithful customer for 12 years having never had any claim on my cars, but on the other hand some claims due to storms violent thunderstorms, in my home in recent years, I had the unpleasant surprise to have the termination of my contract Housing for the end of 2017 incredible 2017 in addition these problems that I cannot control, there are no fault on my part, except perhaps bad luck, you are turning imagine a patient has Social security pacs that, it is often sick we turn it !!
I have never had an unpaid for all these years a delay in payment. Yes we can turn a bad driver for his claims of his bad behavior, to his alcoholism, to see for cash problems ...
In fact all his insurance is there only to gain money on your back, then before signing with this insurer, pay attention to the region or live in, especially in the part of France half southern because storms, storms, storms, storms, storms, storms, storms, storms, storms, storms, storms, storms Snow, there are more frequent ditto if you are in town or countryside and also the mentality of this company all this is to be taken into account it is certain that in Paris there can be fewer claims and still….
But the worst, the height of irony, it removes my home insurance but themselves, are surprised by my dissatisfaction, my fury, my terminations, my autos or university contracts of my children ... Consumer society, without humanity, or Only greed The money The % of claims is taken into account, this a value and not, precisely the purpose of insurance is to help its neighbor ...
So before signing a contract, find out ...
Another problem too, despite a room in your city, you can never join your regional interlocutor, but you always come across a platform with strangers
In addition, the prices are not really so good as that and for reimbursement, there is always a deductible of 20 % and a discount of the value of the property for the home an example for a freezer of more than 5 years With a value of € 400 you only touch 63 € document that I can provide and attest and I am not talking about the trips of the route to collect the documents because no repairer wants to move for so little at home in the provinces and transport you so large, especially alone and disabled freezer
</v>
      </c>
    </row>
    <row r="333" ht="15.75" customHeight="1">
      <c r="B333" s="2" t="s">
        <v>1020</v>
      </c>
      <c r="C333" s="2" t="s">
        <v>1021</v>
      </c>
      <c r="D333" s="2" t="s">
        <v>848</v>
      </c>
      <c r="E333" s="2" t="s">
        <v>14</v>
      </c>
      <c r="F333" s="2" t="s">
        <v>15</v>
      </c>
      <c r="G333" s="2" t="s">
        <v>1022</v>
      </c>
      <c r="H333" s="2" t="s">
        <v>120</v>
      </c>
      <c r="I333" s="2" t="str">
        <f>IFERROR(__xludf.DUMMYFUNCTION("GOOGLETRANSLATE(C333,""fr"",""en"")"),"Too expensive facial price vs competition- I just made comparison complete to iso perimeter")</f>
        <v>Too expensive facial price vs competition- I just made comparison complete to iso perimeter</v>
      </c>
    </row>
    <row r="334" ht="15.75" customHeight="1">
      <c r="B334" s="2" t="s">
        <v>1023</v>
      </c>
      <c r="C334" s="2" t="s">
        <v>1024</v>
      </c>
      <c r="D334" s="2" t="s">
        <v>848</v>
      </c>
      <c r="E334" s="2" t="s">
        <v>14</v>
      </c>
      <c r="F334" s="2" t="s">
        <v>15</v>
      </c>
      <c r="G334" s="2" t="s">
        <v>1025</v>
      </c>
      <c r="H334" s="2" t="s">
        <v>120</v>
      </c>
      <c r="I334" s="2" t="str">
        <f>IFERROR(__xludf.DUMMYFUNCTION("GOOGLETRANSLATE(C334,""fr"",""en"")"),"10 years at MAFF, 2ss Auto, 2ss Vie, 2Gav + inhabitants, never a self -loss but 2 dwelling, 1 water damage and a non -resp (a truck pushes my gate) and the they resilient my contract.")</f>
        <v>10 years at MAFF, 2ss Auto, 2ss Vie, 2Gav + inhabitants, never a self -loss but 2 dwelling, 1 water damage and a non -resp (a truck pushes my gate) and the they resilient my contract.</v>
      </c>
    </row>
    <row r="335" ht="15.75" customHeight="1">
      <c r="B335" s="2" t="s">
        <v>1026</v>
      </c>
      <c r="C335" s="2" t="s">
        <v>1027</v>
      </c>
      <c r="D335" s="2" t="s">
        <v>848</v>
      </c>
      <c r="E335" s="2" t="s">
        <v>14</v>
      </c>
      <c r="F335" s="2" t="s">
        <v>15</v>
      </c>
      <c r="G335" s="2" t="s">
        <v>1028</v>
      </c>
      <c r="H335" s="2" t="s">
        <v>127</v>
      </c>
      <c r="I335" s="2" t="str">
        <f>IFERROR(__xludf.DUMMYFUNCTION("GOOGLETRANSLATE(C335,""fr"",""en"")"),"Assistant insurance. It's been four months since a water damage is dragged because of their lethargy. Impossible to reach their ""claims management"" service which is always
""Momentarily unavailable"". Better would indicate
When it is ""momentarily ava"&amp;"ilable"". And when you
end up joining someone miraculously, you fall
always on a different interlocutor who takes up the file
 to zero. The icing on the cake: it is the Texa expertise company that shines with its incompetence that will take care of you"&amp;"r file and not the MAAF with which you have signed. Naturally, if a problem arises, Texa and the Maaf refer the ball and you count the points. Desperate situation ...")</f>
        <v>Assistant insurance. It's been four months since a water damage is dragged because of their lethargy. Impossible to reach their "claims management" service which is always
"Momentarily unavailable". Better would indicate
When it is "momentarily available". And when you
end up joining someone miraculously, you fall
always on a different interlocutor who takes up the file
 to zero. The icing on the cake: it is the Texa expertise company that shines with its incompetence that will take care of your file and not the MAAF with which you have signed. Naturally, if a problem arises, Texa and the Maaf refer the ball and you count the points. Desperate situation ...</v>
      </c>
    </row>
    <row r="336" ht="15.75" customHeight="1">
      <c r="B336" s="2" t="s">
        <v>1029</v>
      </c>
      <c r="C336" s="2" t="s">
        <v>1030</v>
      </c>
      <c r="D336" s="2" t="s">
        <v>848</v>
      </c>
      <c r="E336" s="2" t="s">
        <v>14</v>
      </c>
      <c r="F336" s="2" t="s">
        <v>15</v>
      </c>
      <c r="G336" s="2" t="s">
        <v>1031</v>
      </c>
      <c r="H336" s="2" t="s">
        <v>460</v>
      </c>
      <c r="I336" s="2" t="str">
        <f>IFERROR(__xludf.DUMMYFUNCTION("GOOGLETRANSLATE(C336,""fr"",""en"")"),"The insurer who is able to terminate you without warning you because he has misused the address and without trying to call you. Who gives you to the agency to tell you that you are now blacklisted for 2 years with all insurers.")</f>
        <v>The insurer who is able to terminate you without warning you because he has misused the address and without trying to call you. Who gives you to the agency to tell you that you are now blacklisted for 2 years with all insurers.</v>
      </c>
    </row>
    <row r="337" ht="15.75" customHeight="1">
      <c r="B337" s="2" t="s">
        <v>1032</v>
      </c>
      <c r="C337" s="2" t="s">
        <v>1033</v>
      </c>
      <c r="D337" s="2" t="s">
        <v>848</v>
      </c>
      <c r="E337" s="2" t="s">
        <v>14</v>
      </c>
      <c r="F337" s="2" t="s">
        <v>15</v>
      </c>
      <c r="G337" s="2" t="s">
        <v>1034</v>
      </c>
      <c r="H337" s="2" t="s">
        <v>460</v>
      </c>
      <c r="I337" s="2" t="str">
        <f>IFERROR(__xludf.DUMMYFUNCTION("GOOGLETRANSLATE(C337,""fr"",""en"")"),"Impossible to reach them, I make the accommodation, I expected to be reimbursed for too perceived, in fact I owe them in addition !!! And of course, they send a letter and basta, impossible to reach them. Easy")</f>
        <v>Impossible to reach them, I make the accommodation, I expected to be reimbursed for too perceived, in fact I owe them in addition !!! And of course, they send a letter and basta, impossible to reach them. Easy</v>
      </c>
    </row>
    <row r="338" ht="15.75" customHeight="1">
      <c r="B338" s="2" t="s">
        <v>1035</v>
      </c>
      <c r="C338" s="2" t="s">
        <v>1036</v>
      </c>
      <c r="D338" s="2" t="s">
        <v>848</v>
      </c>
      <c r="E338" s="2" t="s">
        <v>14</v>
      </c>
      <c r="F338" s="2" t="s">
        <v>15</v>
      </c>
      <c r="G338" s="2" t="s">
        <v>1037</v>
      </c>
      <c r="H338" s="2" t="s">
        <v>138</v>
      </c>
      <c r="I338" s="2" t="str">
        <f>IFERROR(__xludf.DUMMYFUNCTION("GOOGLETRANSLATE(C338,""fr"",""en"")"),"For the MAAF my criteria are only on a light disaster concerning the house. Thank you for now, I have not had a disaster vehicle.")</f>
        <v>For the MAAF my criteria are only on a light disaster concerning the house. Thank you for now, I have not had a disaster vehicle.</v>
      </c>
    </row>
    <row r="339" ht="15.75" customHeight="1">
      <c r="B339" s="2" t="s">
        <v>1038</v>
      </c>
      <c r="C339" s="2" t="s">
        <v>1039</v>
      </c>
      <c r="D339" s="2" t="s">
        <v>848</v>
      </c>
      <c r="E339" s="2" t="s">
        <v>14</v>
      </c>
      <c r="F339" s="2" t="s">
        <v>15</v>
      </c>
      <c r="G339" s="2" t="s">
        <v>1040</v>
      </c>
      <c r="H339" s="2" t="s">
        <v>138</v>
      </c>
      <c r="I339" s="2" t="str">
        <f>IFERROR(__xludf.DUMMYFUNCTION("GOOGLETRANSLATE(C339,""fr"",""en"")"),"I signed an insurance contract with the MAAF to provide personal property in a room rented to an individual. Trusting this assurance supposedly being ""professional"" and having several contracts with them I trusted them. However, end of 2016 I am the vic"&amp;"tim of a flight in this hangar and to my surprise I was not insured for the flight !!!! Knowing I am not an insurer but the biggest risk that can happen to you when you rent a room is the flight, no?
Very unhappy with this insurance, because as soon as t"&amp;"here is a problem there is no one left!")</f>
        <v>I signed an insurance contract with the MAAF to provide personal property in a room rented to an individual. Trusting this assurance supposedly being "professional" and having several contracts with them I trusted them. However, end of 2016 I am the victim of a flight in this hangar and to my surprise I was not insured for the flight !!!! Knowing I am not an insurer but the biggest risk that can happen to you when you rent a room is the flight, no?
Very unhappy with this insurance, because as soon as there is a problem there is no one left!</v>
      </c>
    </row>
    <row r="340" ht="15.75" customHeight="1">
      <c r="B340" s="2" t="s">
        <v>1041</v>
      </c>
      <c r="C340" s="2" t="s">
        <v>1042</v>
      </c>
      <c r="D340" s="2" t="s">
        <v>848</v>
      </c>
      <c r="E340" s="2" t="s">
        <v>14</v>
      </c>
      <c r="F340" s="2" t="s">
        <v>15</v>
      </c>
      <c r="G340" s="2" t="s">
        <v>1043</v>
      </c>
      <c r="H340" s="2" t="s">
        <v>469</v>
      </c>
      <c r="I340" s="2" t="str">
        <f>IFERROR(__xludf.DUMMYFUNCTION("GOOGLETRANSLATE(C340,""fr"",""en"")"),"When you want to declare a disaster, you need a ton of proof as if we were making a scam in 8 years of Maaf I only made one declaration of a claim and I did not get anything after love at first sight I Ai had 3 electrical appliances of grilled cost 360 €,"&amp;" deductible of 120 € refund 0 €")</f>
        <v>When you want to declare a disaster, you need a ton of proof as if we were making a scam in 8 years of Maaf I only made one declaration of a claim and I did not get anything after love at first sight I Ai had 3 electrical appliances of grilled cost 360 €, deductible of 120 € refund 0 €</v>
      </c>
    </row>
    <row r="341" ht="15.75" customHeight="1">
      <c r="B341" s="2" t="s">
        <v>1044</v>
      </c>
      <c r="C341" s="2" t="s">
        <v>1045</v>
      </c>
      <c r="D341" s="2" t="s">
        <v>848</v>
      </c>
      <c r="E341" s="2" t="s">
        <v>14</v>
      </c>
      <c r="F341" s="2" t="s">
        <v>15</v>
      </c>
      <c r="G341" s="2" t="s">
        <v>1046</v>
      </c>
      <c r="H341" s="2" t="s">
        <v>145</v>
      </c>
      <c r="I341" s="2" t="str">
        <f>IFERROR(__xludf.DUMMYFUNCTION("GOOGLETRANSLATE(C341,""fr"",""en"")"),"The efficient and inexpensive maaf? Only in pubs!")</f>
        <v>The efficient and inexpensive maaf? Only in pubs!</v>
      </c>
    </row>
    <row r="342" ht="15.75" customHeight="1">
      <c r="B342" s="2" t="s">
        <v>1047</v>
      </c>
      <c r="C342" s="2" t="s">
        <v>1048</v>
      </c>
      <c r="D342" s="2" t="s">
        <v>848</v>
      </c>
      <c r="E342" s="2" t="s">
        <v>14</v>
      </c>
      <c r="F342" s="2" t="s">
        <v>15</v>
      </c>
      <c r="G342" s="2" t="s">
        <v>1049</v>
      </c>
      <c r="H342" s="2" t="s">
        <v>145</v>
      </c>
      <c r="I342" s="2" t="str">
        <f>IFERROR(__xludf.DUMMYFUNCTION("GOOGLETRANSLATE(C342,""fr"",""en"")"),"To avoid. Flight insurance of books, dishes (yes dishes!), But nothing value. Ridiculous. I discovered too late, after a burglary where we lost a engagement ring, our alliances etc. I will change to Gan - cheaper, and theft insurance of valuables included"&amp;".")</f>
        <v>To avoid. Flight insurance of books, dishes (yes dishes!), But nothing value. Ridiculous. I discovered too late, after a burglary where we lost a engagement ring, our alliances etc. I will change to Gan - cheaper, and theft insurance of valuables included.</v>
      </c>
    </row>
    <row r="343" ht="15.75" customHeight="1">
      <c r="B343" s="2" t="s">
        <v>1050</v>
      </c>
      <c r="C343" s="2" t="s">
        <v>1051</v>
      </c>
      <c r="D343" s="2" t="s">
        <v>848</v>
      </c>
      <c r="E343" s="2" t="s">
        <v>14</v>
      </c>
      <c r="F343" s="2" t="s">
        <v>15</v>
      </c>
      <c r="G343" s="2" t="s">
        <v>1052</v>
      </c>
      <c r="H343" s="2" t="s">
        <v>1053</v>
      </c>
      <c r="I343" s="2" t="str">
        <f>IFERROR(__xludf.DUMMYFUNCTION("GOOGLETRANSLATE(C343,""fr"",""en"")"),"The pooling of disbursements inexorably increases the prices. All the people I question around me have never opened a sinister file from their insurance. Logically one can wonder where the money goes.
The expected solution is the establishment of a bonus"&amp;". This would be normal because I have never requested insurance for more than 10 years")</f>
        <v>The pooling of disbursements inexorably increases the prices. All the people I question around me have never opened a sinister file from their insurance. Logically one can wonder where the money goes.
The expected solution is the establishment of a bonus. This would be normal because I have never requested insurance for more than 10 years</v>
      </c>
    </row>
    <row r="344" ht="15.75" customHeight="1">
      <c r="B344" s="2" t="s">
        <v>1054</v>
      </c>
      <c r="C344" s="2" t="s">
        <v>1055</v>
      </c>
      <c r="D344" s="2" t="s">
        <v>848</v>
      </c>
      <c r="E344" s="2" t="s">
        <v>14</v>
      </c>
      <c r="F344" s="2" t="s">
        <v>15</v>
      </c>
      <c r="G344" s="2" t="s">
        <v>1056</v>
      </c>
      <c r="H344" s="2" t="s">
        <v>1053</v>
      </c>
      <c r="I344" s="2" t="str">
        <f>IFERROR(__xludf.DUMMYFUNCTION("GOOGLETRANSLATE(C344,""fr"",""en"")"),"Very bad national customer service who advises its customers to make false declarations and does not know the provisions of the Macron law! I will try competition")</f>
        <v>Very bad national customer service who advises its customers to make false declarations and does not know the provisions of the Macron law! I will try competition</v>
      </c>
    </row>
    <row r="345" ht="15.75" customHeight="1">
      <c r="B345" s="2" t="s">
        <v>1057</v>
      </c>
      <c r="C345" s="2" t="s">
        <v>1058</v>
      </c>
      <c r="D345" s="2" t="s">
        <v>848</v>
      </c>
      <c r="E345" s="2" t="s">
        <v>14</v>
      </c>
      <c r="F345" s="2" t="s">
        <v>15</v>
      </c>
      <c r="G345" s="2" t="s">
        <v>1059</v>
      </c>
      <c r="H345" s="2" t="s">
        <v>1053</v>
      </c>
      <c r="I345" s="2" t="str">
        <f>IFERROR(__xludf.DUMMYFUNCTION("GOOGLETRANSLATE(C345,""fr"",""en"")"),"Arbitrary termination of my 2 housing contracts when there was only one claim (of which I have no responsibility). The complaint that I made remained unanswered when their website claims that complaints have an answer within 10 days. My agency says that t"&amp;"hese termination decisions are made by the head office and that the agency has no possibility of intervention or response: ""... it may be because the address of your building has a sin istrality important ... "".")</f>
        <v>Arbitrary termination of my 2 housing contracts when there was only one claim (of which I have no responsibility). The complaint that I made remained unanswered when their website claims that complaints have an answer within 10 days. My agency says that these termination decisions are made by the head office and that the agency has no possibility of intervention or response: "... it may be because the address of your building has a sin istrality important ... ".</v>
      </c>
    </row>
    <row r="346" ht="15.75" customHeight="1">
      <c r="B346" s="2" t="s">
        <v>1060</v>
      </c>
      <c r="C346" s="2" t="s">
        <v>1061</v>
      </c>
      <c r="D346" s="2" t="s">
        <v>1062</v>
      </c>
      <c r="E346" s="2" t="s">
        <v>14</v>
      </c>
      <c r="F346" s="2" t="s">
        <v>15</v>
      </c>
      <c r="G346" s="2" t="s">
        <v>1063</v>
      </c>
      <c r="H346" s="2" t="s">
        <v>153</v>
      </c>
      <c r="I346" s="2" t="str">
        <f>IFERROR(__xludf.DUMMYFUNCTION("GOOGLETRANSLATE(C346,""fr"",""en"")"),"SOGESSUR is part of the ""package"" assurance that the SOCIETE GENERALE bank advises its customers when they buy their home. Unlike mutual companies, in the event of a claim (in our case a water damage), SOGESSUR takes note of your disaster but does not a"&amp;"ct: you have to relaunch to have an expert, constantly call to follow your file, ... which, moreover, does not evolve. It's been more than 9 months that we are demented to be compensated but Sogessur does not move, does not intervene on the grounds that o"&amp;"ur disaster comes the condominium ... The good deal, insurance is there to ""insure"", not to play the dead. In the meantime, our parquet is done and neither Sogessur nor the general company, does not take care of its customers. We will enter the insuranc"&amp;"e mediator and then terminate our contract with SOGESSUR. This insurance is not one, it is better to know and to terminate before having a big or small disaster, you will not be reimbursed.")</f>
        <v>SOGESSUR is part of the "package" assurance that the SOCIETE GENERALE bank advises its customers when they buy their home. Unlike mutual companies, in the event of a claim (in our case a water damage), SOGESSUR takes note of your disaster but does not act: you have to relaunch to have an expert, constantly call to follow your file, ... which, moreover, does not evolve. It's been more than 9 months that we are demented to be compensated but Sogessur does not move, does not intervene on the grounds that our disaster comes the condominium ... The good deal, insurance is there to "insure", not to play the dead. In the meantime, our parquet is done and neither Sogessur nor the general company, does not take care of its customers. We will enter the insurance mediator and then terminate our contract with SOGESSUR. This insurance is not one, it is better to know and to terminate before having a big or small disaster, you will not be reimbursed.</v>
      </c>
    </row>
    <row r="347" ht="15.75" customHeight="1">
      <c r="B347" s="2" t="s">
        <v>1064</v>
      </c>
      <c r="C347" s="2" t="s">
        <v>1065</v>
      </c>
      <c r="D347" s="2" t="s">
        <v>1062</v>
      </c>
      <c r="E347" s="2" t="s">
        <v>14</v>
      </c>
      <c r="F347" s="2" t="s">
        <v>15</v>
      </c>
      <c r="G347" s="2" t="s">
        <v>1066</v>
      </c>
      <c r="H347" s="2" t="s">
        <v>160</v>
      </c>
      <c r="I347" s="2" t="str">
        <f>IFERROR(__xludf.DUMMYFUNCTION("GOOGLETRANSLATE(C347,""fr"",""en"")"),"Hello, Hello .... they don't take customers on the phone ... and send us via a link on the web solution ... which does not work .... answer on the phone, make sure your website is Accessible ... inadmissible !!!!!!!!!!!!!! Sinister in progress since Decem"&amp;"ber 2020 still not regulated, recovery, recovery, recovery ... incompetent nothing moves !!!!!!!!!!!!!!!! Catastrophic service if you have the choice of another insurer run away SOGESSUR")</f>
        <v>Hello, Hello .... they don't take customers on the phone ... and send us via a link on the web solution ... which does not work .... answer on the phone, make sure your website is Accessible ... inadmissible !!!!!!!!!!!!!! Sinister in progress since December 2020 still not regulated, recovery, recovery, recovery ... incompetent nothing moves !!!!!!!!!!!!!!!! Catastrophic service if you have the choice of another insurer run away SOGESSUR</v>
      </c>
    </row>
    <row r="348" ht="15.75" customHeight="1">
      <c r="B348" s="2" t="s">
        <v>1067</v>
      </c>
      <c r="C348" s="2" t="s">
        <v>1068</v>
      </c>
      <c r="D348" s="2" t="s">
        <v>1062</v>
      </c>
      <c r="E348" s="2" t="s">
        <v>14</v>
      </c>
      <c r="F348" s="2" t="s">
        <v>15</v>
      </c>
      <c r="G348" s="2" t="s">
        <v>1069</v>
      </c>
      <c r="H348" s="2" t="s">
        <v>164</v>
      </c>
      <c r="I348" s="2" t="str">
        <f>IFERROR(__xludf.DUMMYFUNCTION("GOOGLETRANSLATE(C348,""fr"",""en"")"),"Electric failure on Sunday, no care of an emergency electrician, only a plumber or a locksmith. Too bad for us ... I therefore re -move my contract with Sogessur. Mail with acknowledgment of receipt requiring termination upon receipt. But the direct debit"&amp;". Telephone call: I am told, without blinking, that I had not stipulated in my mail the reference to the Hamon law! The arms fell to me.
In short, to flee!")</f>
        <v>Electric failure on Sunday, no care of an emergency electrician, only a plumber or a locksmith. Too bad for us ... I therefore re -move my contract with Sogessur. Mail with acknowledgment of receipt requiring termination upon receipt. But the direct debit. Telephone call: I am told, without blinking, that I had not stipulated in my mail the reference to the Hamon law! The arms fell to me.
In short, to flee!</v>
      </c>
    </row>
    <row r="349" ht="15.75" customHeight="1">
      <c r="B349" s="2" t="s">
        <v>1070</v>
      </c>
      <c r="C349" s="2" t="s">
        <v>1071</v>
      </c>
      <c r="D349" s="2" t="s">
        <v>1062</v>
      </c>
      <c r="E349" s="2" t="s">
        <v>14</v>
      </c>
      <c r="F349" s="2" t="s">
        <v>15</v>
      </c>
      <c r="G349" s="2" t="s">
        <v>1072</v>
      </c>
      <c r="H349" s="2" t="s">
        <v>164</v>
      </c>
      <c r="I349" s="2" t="str">
        <f>IFERROR(__xludf.DUMMYFUNCTION("GOOGLETRANSLATE(C349,""fr"",""en"")"),"We think that the home insurance subscribed to his bank is a good idea alas in the event of a disaster we discover that this is not at all the case the name SOGESSUR is quite reassuring but 2 months after a sinister storm with big Roofing damage on an dep"&amp;"endence The mandated expert will quantify the damage to you by explaining that there are metal blankets and zinc gutters to redo the roof it is quite economical and solid but that it would be necessary that the wind has blown at more than 100 km/hour and "&amp;"that it cannot check because the antenna is 35 km and suddenly it makes a relationship with zero compensation")</f>
        <v>We think that the home insurance subscribed to his bank is a good idea alas in the event of a disaster we discover that this is not at all the case the name SOGESSUR is quite reassuring but 2 months after a sinister storm with big Roofing damage on an dependence The mandated expert will quantify the damage to you by explaining that there are metal blankets and zinc gutters to redo the roof it is quite economical and solid but that it would be necessary that the wind has blown at more than 100 km/hour and that it cannot check because the antenna is 35 km and suddenly it makes a relationship with zero compensation</v>
      </c>
    </row>
    <row r="350" ht="15.75" customHeight="1">
      <c r="B350" s="2" t="s">
        <v>1073</v>
      </c>
      <c r="C350" s="2" t="s">
        <v>1074</v>
      </c>
      <c r="D350" s="2" t="s">
        <v>1062</v>
      </c>
      <c r="E350" s="2" t="s">
        <v>14</v>
      </c>
      <c r="F350" s="2" t="s">
        <v>15</v>
      </c>
      <c r="G350" s="2" t="s">
        <v>1075</v>
      </c>
      <c r="H350" s="2" t="s">
        <v>179</v>
      </c>
      <c r="I350" s="2" t="str">
        <f>IFERROR(__xludf.DUMMYFUNCTION("GOOGLETRANSLATE(C350,""fr"",""en"")"),"A fire in November 2020 took place in a building in which my studio suffered damage. Between the insurers, of the building, for the common areas, those of my tenant, my insurance as a non -occupying owner, Sogessur does not move and awaits an insurer asse"&amp;"sses the whole, and writes a ""report commmon"". In early January I send a complaint email, no one deigned to answer me. Finally it is my assurance to assess all the damage. SOGESSUR informs me on February 19 that she mandated Sarretec for this evaluation"&amp;". Since then I appear Sarretec without success, still no contact, no information. The links to the Sarretec site do not work ...
Last night I ended up having Sarretec, who replied that I will be contacted ""soon"", that they have no delay to answer. Can "&amp;"we have more zero as an answer?")</f>
        <v>A fire in November 2020 took place in a building in which my studio suffered damage. Between the insurers, of the building, for the common areas, those of my tenant, my insurance as a non -occupying owner, Sogessur does not move and awaits an insurer assesses the whole, and writes a "report commmon". In early January I send a complaint email, no one deigned to answer me. Finally it is my assurance to assess all the damage. SOGESSUR informs me on February 19 that she mandated Sarretec for this evaluation. Since then I appear Sarretec without success, still no contact, no information. The links to the Sarretec site do not work ...
Last night I ended up having Sarretec, who replied that I will be contacted "soon", that they have no delay to answer. Can we have more zero as an answer?</v>
      </c>
    </row>
    <row r="351" ht="15.75" customHeight="1">
      <c r="B351" s="2" t="s">
        <v>1076</v>
      </c>
      <c r="C351" s="2" t="s">
        <v>1077</v>
      </c>
      <c r="D351" s="2" t="s">
        <v>1062</v>
      </c>
      <c r="E351" s="2" t="s">
        <v>14</v>
      </c>
      <c r="F351" s="2" t="s">
        <v>15</v>
      </c>
      <c r="G351" s="2" t="s">
        <v>200</v>
      </c>
      <c r="H351" s="2" t="s">
        <v>194</v>
      </c>
      <c r="I351" s="2" t="str">
        <f>IFERROR(__xludf.DUMMYFUNCTION("GOOGLETRANSLATE(C351,""fr"",""en"")"),"claim declared on November 13 compensation on December 3, awaiting reimbursement of the deductible for 2 months and 10 days despite my 8 calls")</f>
        <v>claim declared on November 13 compensation on December 3, awaiting reimbursement of the deductible for 2 months and 10 days despite my 8 calls</v>
      </c>
    </row>
    <row r="352" ht="15.75" customHeight="1">
      <c r="B352" s="2" t="s">
        <v>1078</v>
      </c>
      <c r="C352" s="2" t="s">
        <v>1079</v>
      </c>
      <c r="D352" s="2" t="s">
        <v>1062</v>
      </c>
      <c r="E352" s="2" t="s">
        <v>14</v>
      </c>
      <c r="F352" s="2" t="s">
        <v>15</v>
      </c>
      <c r="G352" s="2" t="s">
        <v>885</v>
      </c>
      <c r="H352" s="2" t="s">
        <v>204</v>
      </c>
      <c r="I352" s="2" t="str">
        <f>IFERROR(__xludf.DUMMYFUNCTION("GOOGLETRANSLATE(C352,""fr"",""en"")"),"Deplorable. SOGESSUR has become an insurance that knows how to collect, which dares to increase the 2021 subscription by 20% in one year (!) ... but which does not reimburse when there is a claim. Water damage on May 9, 2020. Still no compensation almost "&amp;"8 months + late! While the experts have passed, quantified the amount. Waiting for months, no response to emails, almost impossible to have them on the phone. When we finally have someone, after dozens of calls, we certify that it will be done within 5 da"&amp;"ys. And obviously still nothing 2 months + late. Total contempt of the customer and their commitments. Ashamed. To flee!")</f>
        <v>Deplorable. SOGESSUR has become an insurance that knows how to collect, which dares to increase the 2021 subscription by 20% in one year (!) ... but which does not reimburse when there is a claim. Water damage on May 9, 2020. Still no compensation almost 8 months + late! While the experts have passed, quantified the amount. Waiting for months, no response to emails, almost impossible to have them on the phone. When we finally have someone, after dozens of calls, we certify that it will be done within 5 days. And obviously still nothing 2 months + late. Total contempt of the customer and their commitments. Ashamed. To flee!</v>
      </c>
    </row>
    <row r="353" ht="15.75" customHeight="1">
      <c r="B353" s="2" t="s">
        <v>1080</v>
      </c>
      <c r="C353" s="2" t="s">
        <v>1081</v>
      </c>
      <c r="D353" s="2" t="s">
        <v>1062</v>
      </c>
      <c r="E353" s="2" t="s">
        <v>14</v>
      </c>
      <c r="F353" s="2" t="s">
        <v>15</v>
      </c>
      <c r="G353" s="2" t="s">
        <v>511</v>
      </c>
      <c r="H353" s="2" t="s">
        <v>214</v>
      </c>
      <c r="I353" s="2" t="str">
        <f>IFERROR(__xludf.DUMMYFUNCTION("GOOGLETRANSLATE(C353,""fr"",""en"")"),"Infiltration on a last floor apartment! Set in 15 days.
Damage less than € 500 so set live without expert!
Not the cheapest of insurance but serious!
")</f>
        <v>Infiltration on a last floor apartment! Set in 15 days.
Damage less than € 500 so set live without expert!
Not the cheapest of insurance but serious!
</v>
      </c>
    </row>
    <row r="354" ht="15.75" customHeight="1">
      <c r="B354" s="2" t="s">
        <v>1082</v>
      </c>
      <c r="C354" s="2" t="s">
        <v>1083</v>
      </c>
      <c r="D354" s="2" t="s">
        <v>1062</v>
      </c>
      <c r="E354" s="2" t="s">
        <v>14</v>
      </c>
      <c r="F354" s="2" t="s">
        <v>15</v>
      </c>
      <c r="G354" s="2" t="s">
        <v>1084</v>
      </c>
      <c r="H354" s="2" t="s">
        <v>226</v>
      </c>
      <c r="I354" s="2" t="str">
        <f>IFERROR(__xludf.DUMMYFUNCTION("GOOGLETRANSLATE(C354,""fr"",""en"")"),"A zero word
Unreachable incompetent
Prefers to lose an insured rather than solving the damage ...
Never the same interlocutor when we manage to reach them
No responsiveness or history it makes everything explain each time ... run away
")</f>
        <v>A zero word
Unreachable incompetent
Prefers to lose an insured rather than solving the damage ...
Never the same interlocutor when we manage to reach them
No responsiveness or history it makes everything explain each time ... run away
</v>
      </c>
    </row>
    <row r="355" ht="15.75" customHeight="1">
      <c r="B355" s="2" t="s">
        <v>1085</v>
      </c>
      <c r="C355" s="2" t="s">
        <v>1086</v>
      </c>
      <c r="D355" s="2" t="s">
        <v>1062</v>
      </c>
      <c r="E355" s="2" t="s">
        <v>14</v>
      </c>
      <c r="F355" s="2" t="s">
        <v>15</v>
      </c>
      <c r="G355" s="2" t="s">
        <v>1087</v>
      </c>
      <c r="H355" s="2" t="s">
        <v>230</v>
      </c>
      <c r="I355" s="2" t="str">
        <f>IFERROR(__xludf.DUMMYFUNCTION("GOOGLETRANSLATE(C355,""fr"",""en"")"),"Small personal experience, sinister dated May 13, 2020, multiple reminders to finally learn, by the opposing party engaged in responsibility, that the questioning of Sogessur dates from October 22, 2020 .. of which almost 5 and a half months after the ..."&amp;" really not serious at all. Undoubtedly Société Générale would be advised to offer banking products rather than insurance for which they obviously do not have the competence and the sense of respect for the customer. Very disappointed, and I do not recomm"&amp;"end this company!")</f>
        <v>Small personal experience, sinister dated May 13, 2020, multiple reminders to finally learn, by the opposing party engaged in responsibility, that the questioning of Sogessur dates from October 22, 2020 .. of which almost 5 and a half months after the ... really not serious at all. Undoubtedly Société Générale would be advised to offer banking products rather than insurance for which they obviously do not have the competence and the sense of respect for the customer. Very disappointed, and I do not recommend this company!</v>
      </c>
    </row>
    <row r="356" ht="15.75" customHeight="1">
      <c r="B356" s="2" t="s">
        <v>1088</v>
      </c>
      <c r="C356" s="2" t="s">
        <v>1089</v>
      </c>
      <c r="D356" s="2" t="s">
        <v>1062</v>
      </c>
      <c r="E356" s="2" t="s">
        <v>14</v>
      </c>
      <c r="F356" s="2" t="s">
        <v>15</v>
      </c>
      <c r="G356" s="2" t="s">
        <v>1090</v>
      </c>
      <c r="H356" s="2" t="s">
        <v>230</v>
      </c>
      <c r="I356" s="2" t="str">
        <f>IFERROR(__xludf.DUMMYFUNCTION("GOOGLETRANSLATE(C356,""fr"",""en"")"),"Very disappointing ! Null customer service! If they already wanted to drop out when they are called (instead of hanging up just after having cut their Laïus)!")</f>
        <v>Very disappointing ! Null customer service! If they already wanted to drop out when they are called (instead of hanging up just after having cut their Laïus)!</v>
      </c>
    </row>
    <row r="357" ht="15.75" customHeight="1">
      <c r="B357" s="2" t="s">
        <v>1091</v>
      </c>
      <c r="C357" s="2" t="s">
        <v>1092</v>
      </c>
      <c r="D357" s="2" t="s">
        <v>1062</v>
      </c>
      <c r="E357" s="2" t="s">
        <v>14</v>
      </c>
      <c r="F357" s="2" t="s">
        <v>15</v>
      </c>
      <c r="G357" s="2" t="s">
        <v>268</v>
      </c>
      <c r="H357" s="2" t="s">
        <v>269</v>
      </c>
      <c r="I357" s="2" t="str">
        <f>IFERROR(__xludf.DUMMYFUNCTION("GOOGLETRANSLATE(C357,""fr"",""en"")"),"I was forced to make sure at home following a mortgage.
I try to declare a disaster but it is impossible via their website (no email address or online contact form) and they are unreachable by phone.
I will try by mail but my situation was urgent (water"&amp;" damage) and impossible to know if I could be compensated and therefore if I can validate the necessary work.
")</f>
        <v>I was forced to make sure at home following a mortgage.
I try to declare a disaster but it is impossible via their website (no email address or online contact form) and they are unreachable by phone.
I will try by mail but my situation was urgent (water damage) and impossible to know if I could be compensated and therefore if I can validate the necessary work.
</v>
      </c>
    </row>
    <row r="358" ht="15.75" customHeight="1">
      <c r="B358" s="2" t="s">
        <v>1093</v>
      </c>
      <c r="C358" s="2" t="s">
        <v>1094</v>
      </c>
      <c r="D358" s="2" t="s">
        <v>1062</v>
      </c>
      <c r="E358" s="2" t="s">
        <v>14</v>
      </c>
      <c r="F358" s="2" t="s">
        <v>15</v>
      </c>
      <c r="G358" s="2" t="s">
        <v>1095</v>
      </c>
      <c r="H358" s="2" t="s">
        <v>273</v>
      </c>
      <c r="I358" s="2" t="str">
        <f>IFERROR(__xludf.DUMMYFUNCTION("GOOGLETRANSLATE(C358,""fr"",""en"")"),"To take their monthly payments, no problem!
To compensate their customers, there are more people ... and no email to exchange a little faster than in 3 weeks the supporting documents!")</f>
        <v>To take their monthly payments, no problem!
To compensate their customers, there are more people ... and no email to exchange a little faster than in 3 weeks the supporting documents!</v>
      </c>
    </row>
    <row r="359" ht="15.75" customHeight="1">
      <c r="B359" s="2" t="s">
        <v>1096</v>
      </c>
      <c r="C359" s="2" t="s">
        <v>1097</v>
      </c>
      <c r="D359" s="2" t="s">
        <v>1062</v>
      </c>
      <c r="E359" s="2" t="s">
        <v>14</v>
      </c>
      <c r="F359" s="2" t="s">
        <v>15</v>
      </c>
      <c r="G359" s="2" t="s">
        <v>1098</v>
      </c>
      <c r="H359" s="2" t="s">
        <v>554</v>
      </c>
      <c r="I359" s="2" t="str">
        <f>IFERROR(__xludf.DUMMYFUNCTION("GOOGLETRANSLATE(C359,""fr"",""en"")"),"The chimney fell following the storm of December 22, quote accepted by Texa Expertises, without a visit to an expert. Today, the mason finishes work, and there, surprise, I have to pay, insurance does not take more in charge of work.")</f>
        <v>The chimney fell following the storm of December 22, quote accepted by Texa Expertises, without a visit to an expert. Today, the mason finishes work, and there, surprise, I have to pay, insurance does not take more in charge of work.</v>
      </c>
    </row>
    <row r="360" ht="15.75" customHeight="1">
      <c r="B360" s="2" t="s">
        <v>1099</v>
      </c>
      <c r="C360" s="2" t="s">
        <v>1100</v>
      </c>
      <c r="D360" s="2" t="s">
        <v>1062</v>
      </c>
      <c r="E360" s="2" t="s">
        <v>14</v>
      </c>
      <c r="F360" s="2" t="s">
        <v>15</v>
      </c>
      <c r="G360" s="2" t="s">
        <v>701</v>
      </c>
      <c r="H360" s="2" t="s">
        <v>277</v>
      </c>
      <c r="I360" s="2" t="str">
        <f>IFERROR(__xludf.DUMMYFUNCTION("GOOGLETRANSLATE(C360,""fr"",""en"")"),"Following an accident and despite all the elements brought to the Aviva legal service, mandated by Sogesur, we were not defended properly, while obviously we were absolutely not responsible. Result we paid 750 euros in our pocket and fortunately the injur"&amp;"ies did not need hospitalization ...")</f>
        <v>Following an accident and despite all the elements brought to the Aviva legal service, mandated by Sogesur, we were not defended properly, while obviously we were absolutely not responsible. Result we paid 750 euros in our pocket and fortunately the injuries did not need hospitalization ...</v>
      </c>
    </row>
    <row r="361" ht="15.75" customHeight="1">
      <c r="B361" s="2" t="s">
        <v>1101</v>
      </c>
      <c r="C361" s="2" t="s">
        <v>1102</v>
      </c>
      <c r="D361" s="2" t="s">
        <v>1062</v>
      </c>
      <c r="E361" s="2" t="s">
        <v>14</v>
      </c>
      <c r="F361" s="2" t="s">
        <v>15</v>
      </c>
      <c r="G361" s="2" t="s">
        <v>1103</v>
      </c>
      <c r="H361" s="2" t="s">
        <v>284</v>
      </c>
      <c r="I361" s="2" t="str">
        <f>IFERROR(__xludf.DUMMYFUNCTION("GOOGLETRANSLATE(C361,""fr"",""en"")"),"We made a statement as a precaution. Pr, the expert, very contemptuous, it was up to NS to find a solution to the damage. No expertise was carried out.")</f>
        <v>We made a statement as a precaution. Pr, the expert, very contemptuous, it was up to NS to find a solution to the damage. No expertise was carried out.</v>
      </c>
    </row>
    <row r="362" ht="15.75" customHeight="1">
      <c r="B362" s="2" t="s">
        <v>1104</v>
      </c>
      <c r="C362" s="2" t="s">
        <v>1105</v>
      </c>
      <c r="D362" s="2" t="s">
        <v>1062</v>
      </c>
      <c r="E362" s="2" t="s">
        <v>14</v>
      </c>
      <c r="F362" s="2" t="s">
        <v>15</v>
      </c>
      <c r="G362" s="2" t="s">
        <v>1106</v>
      </c>
      <c r="H362" s="2" t="s">
        <v>307</v>
      </c>
      <c r="I362" s="2" t="str">
        <f>IFERROR(__xludf.DUMMYFUNCTION("GOOGLETRANSLATE(C362,""fr"",""en"")"),"What do we expect from insurance? Whatever present in the event of a claim (especially not responsible) !!!
What does SOGESSUR say ??
Do you manage on your own!
No claim for over 20 years ...
Insurance still paid
And the only time she has a role to p"&amp;"lay and prove that she serves something, there is no one left !!
Flee this insurance!")</f>
        <v>What do we expect from insurance? Whatever present in the event of a claim (especially not responsible) !!!
What does SOGESSUR say ??
Do you manage on your own!
No claim for over 20 years ...
Insurance still paid
And the only time she has a role to play and prove that she serves something, there is no one left !!
Flee this insurance!</v>
      </c>
    </row>
    <row r="363" ht="15.75" customHeight="1">
      <c r="B363" s="2" t="s">
        <v>1107</v>
      </c>
      <c r="C363" s="2" t="s">
        <v>1108</v>
      </c>
      <c r="D363" s="2" t="s">
        <v>1062</v>
      </c>
      <c r="E363" s="2" t="s">
        <v>14</v>
      </c>
      <c r="F363" s="2" t="s">
        <v>15</v>
      </c>
      <c r="G363" s="2" t="s">
        <v>1109</v>
      </c>
      <c r="H363" s="2" t="s">
        <v>307</v>
      </c>
      <c r="I363" s="2" t="str">
        <f>IFERROR(__xludf.DUMMYFUNCTION("GOOGLETRANSLATE(C363,""fr"",""en"")"),"Hello, I am very very disappointed with SOGESSUR but especially the processing of files. I have several contracts at home and it is the first time that I have faced such a situation, no humanism.
I was the victim of a burglary in July (still very shocked"&amp;" because we were at home with the children), the police quickly surrendered our home, put a report then they contact their colleagues from the scientist to raise fingerprints. I contact SOGESSUR, I am offered a remote monitoring system (which I took) and "&amp;"I am told that an expert will contact me within 5 days. Done done he asks me to unanden me to justify the parts stolen from photos, invoices or accounts. I send him by email. And there ...... it all starts !!! No news from the expert I try to call him, le"&amp;"aves him messages but no return. I call SOGESSUR A (very kind) advisor tells me that she leaves her a message to tell her to call me back, priority file. After a week still no news from the expert. I remind SOGESSUR same speech. I try in my turn to remind"&amp;" him several times he finally answers me that he is in expertise and that he reminds me at the end of the day. Around 6 p.m. no news I remind you several times and ended up leaving a message. Surprise, he reminds me of 7:50 p.m.! And I get rocked by this "&amp;"gentleman, he tells me that I don't have to call as many times as if he does not pick up it is that he is in expertise !!!! And there he tells me that my file is blocked, why not inform me before then? He asks me for an account statement to prove a purcha"&amp;"se when he has the invoice and if he will close my file. I send him the statement and since no news. I don't even dare to remember it for fear of being bad again. How can we have such behavior, we must constantly relaunch the expert and not be afraid that"&amp;" he will send us to walk. Thank you Sogessur!")</f>
        <v>Hello, I am very very disappointed with SOGESSUR but especially the processing of files. I have several contracts at home and it is the first time that I have faced such a situation, no humanism.
I was the victim of a burglary in July (still very shocked because we were at home with the children), the police quickly surrendered our home, put a report then they contact their colleagues from the scientist to raise fingerprints. I contact SOGESSUR, I am offered a remote monitoring system (which I took) and I am told that an expert will contact me within 5 days. Done done he asks me to unanden me to justify the parts stolen from photos, invoices or accounts. I send him by email. And there ...... it all starts !!! No news from the expert I try to call him, leaves him messages but no return. I call SOGESSUR A (very kind) advisor tells me that she leaves her a message to tell her to call me back, priority file. After a week still no news from the expert. I remind SOGESSUR same speech. I try in my turn to remind him several times he finally answers me that he is in expertise and that he reminds me at the end of the day. Around 6 p.m. no news I remind you several times and ended up leaving a message. Surprise, he reminds me of 7:50 p.m.! And I get rocked by this gentleman, he tells me that I don't have to call as many times as if he does not pick up it is that he is in expertise !!!! And there he tells me that my file is blocked, why not inform me before then? He asks me for an account statement to prove a purchase when he has the invoice and if he will close my file. I send him the statement and since no news. I don't even dare to remember it for fear of being bad again. How can we have such behavior, we must constantly relaunch the expert and not be afraid that he will send us to walk. Thank you Sogessur!</v>
      </c>
    </row>
    <row r="364" ht="15.75" customHeight="1">
      <c r="B364" s="2" t="s">
        <v>1110</v>
      </c>
      <c r="C364" s="2" t="s">
        <v>1111</v>
      </c>
      <c r="D364" s="2" t="s">
        <v>1062</v>
      </c>
      <c r="E364" s="2" t="s">
        <v>14</v>
      </c>
      <c r="F364" s="2" t="s">
        <v>15</v>
      </c>
      <c r="G364" s="2" t="s">
        <v>1112</v>
      </c>
      <c r="H364" s="2" t="s">
        <v>317</v>
      </c>
      <c r="I364" s="2" t="str">
        <f>IFERROR(__xludf.DUMMYFUNCTION("GOOGLETRANSLATE(C364,""fr"",""en"")"),"Supported for a sinister water damage, Sogessur accepted advances me the reimbursement of the work when it was logically to my owner's insurance to intervene. Very accommodating therefore, customer service more than listening and very pleasant! Second cla"&amp;"im a week later for my door lock locking, I call Mondial Assistance which is listening to and proceed directly in the advance of the funds with my locksmith. I highly recommend SOGESSUR in comfort /optimal formula.")</f>
        <v>Supported for a sinister water damage, Sogessur accepted advances me the reimbursement of the work when it was logically to my owner's insurance to intervene. Very accommodating therefore, customer service more than listening and very pleasant! Second claim a week later for my door lock locking, I call Mondial Assistance which is listening to and proceed directly in the advance of the funds with my locksmith. I highly recommend SOGESSUR in comfort /optimal formula.</v>
      </c>
    </row>
    <row r="365" ht="15.75" customHeight="1">
      <c r="B365" s="2" t="s">
        <v>1113</v>
      </c>
      <c r="C365" s="2" t="s">
        <v>1114</v>
      </c>
      <c r="D365" s="2" t="s">
        <v>1062</v>
      </c>
      <c r="E365" s="2" t="s">
        <v>14</v>
      </c>
      <c r="F365" s="2" t="s">
        <v>15</v>
      </c>
      <c r="G365" s="2" t="s">
        <v>1115</v>
      </c>
      <c r="H365" s="2" t="s">
        <v>339</v>
      </c>
      <c r="I365" s="2" t="str">
        <f>IFERROR(__xludf.DUMMYFUNCTION("GOOGLETRANSLATE(C365,""fr"",""en"")"),"2 claims (bad weather then natural disaster) in 2 years, good compensation for each of them and short delay on reimbursement. On the other hand, the prices have considerably increased which pushes me to consult the competition.")</f>
        <v>2 claims (bad weather then natural disaster) in 2 years, good compensation for each of them and short delay on reimbursement. On the other hand, the prices have considerably increased which pushes me to consult the competition.</v>
      </c>
    </row>
    <row r="366" ht="15.75" customHeight="1">
      <c r="B366" s="2" t="s">
        <v>1116</v>
      </c>
      <c r="C366" s="2" t="s">
        <v>1117</v>
      </c>
      <c r="D366" s="2" t="s">
        <v>1062</v>
      </c>
      <c r="E366" s="2" t="s">
        <v>14</v>
      </c>
      <c r="F366" s="2" t="s">
        <v>15</v>
      </c>
      <c r="G366" s="2" t="s">
        <v>1118</v>
      </c>
      <c r="H366" s="2" t="s">
        <v>572</v>
      </c>
      <c r="I366" s="2" t="str">
        <f>IFERROR(__xludf.DUMMYFUNCTION("GOOGLETRANSLATE(C366,""fr"",""en"")"),"Does not take the accused of receipt as the end of the contract approaches")</f>
        <v>Does not take the accused of receipt as the end of the contract approaches</v>
      </c>
    </row>
    <row r="367" ht="15.75" customHeight="1">
      <c r="B367" s="2" t="s">
        <v>1119</v>
      </c>
      <c r="C367" s="2" t="s">
        <v>1120</v>
      </c>
      <c r="D367" s="2" t="s">
        <v>1062</v>
      </c>
      <c r="E367" s="2" t="s">
        <v>14</v>
      </c>
      <c r="F367" s="2" t="s">
        <v>15</v>
      </c>
      <c r="G367" s="2" t="s">
        <v>16</v>
      </c>
      <c r="H367" s="2" t="s">
        <v>17</v>
      </c>
      <c r="I367" s="2" t="str">
        <f>IFERROR(__xludf.DUMMYFUNCTION("GOOGLETRANSLATE(C367,""fr"",""en"")"),"I thought I was well insured and in the end nothing. I had a water damage following the weather. Their Texa expert says that it is because of the water tables, therefore mounted water by the ground, and that it is not taken care of. After several letters "&amp;"including a registered letter to the CEO in person Mr Laurent Dunet, I am told that natural disasters are not included in the contract. How, is it in black on white on the internet and in my contract? The whole DRC of my house is condemned (it was rented)"&amp;". SOGESSUR finds an excuse not to compensate and save time to exceed the 2 -year appeal period. Flee this insurance.")</f>
        <v>I thought I was well insured and in the end nothing. I had a water damage following the weather. Their Texa expert says that it is because of the water tables, therefore mounted water by the ground, and that it is not taken care of. After several letters including a registered letter to the CEO in person Mr Laurent Dunet, I am told that natural disasters are not included in the contract. How, is it in black on white on the internet and in my contract? The whole DRC of my house is condemned (it was rented). SOGESSUR finds an excuse not to compensate and save time to exceed the 2 -year appeal period. Flee this insurance.</v>
      </c>
    </row>
    <row r="368" ht="15.75" customHeight="1">
      <c r="B368" s="2" t="s">
        <v>1121</v>
      </c>
      <c r="C368" s="2" t="s">
        <v>1122</v>
      </c>
      <c r="D368" s="2" t="s">
        <v>1062</v>
      </c>
      <c r="E368" s="2" t="s">
        <v>14</v>
      </c>
      <c r="F368" s="2" t="s">
        <v>15</v>
      </c>
      <c r="G368" s="2" t="s">
        <v>1123</v>
      </c>
      <c r="H368" s="2" t="s">
        <v>17</v>
      </c>
      <c r="I368" s="2" t="str">
        <f>IFERROR(__xludf.DUMMYFUNCTION("GOOGLETRANSLATE(C368,""fr"",""en"")"),"A most lamentable service I know. Two damage in months
1st water damage by my neighbor from above. A completely sloppy expertise and a refund that is incomplete. Supposedly the golden franchise we were not responsible. Finally 640 euros reimbursed for th"&amp;"e total repair of a coated part Painting more exterior window.
2nd damage: Intrusion attempt - damaged lock and shielding - repair file sent with complaint - No news and impossible to reach them on the phone in 3 days - more than 20 waiting
Insurer to f"&amp;"lee !!!!!!!!!!!!!!!!!!!!!!!!!!")</f>
        <v>A most lamentable service I know. Two damage in months
1st water damage by my neighbor from above. A completely sloppy expertise and a refund that is incomplete. Supposedly the golden franchise we were not responsible. Finally 640 euros reimbursed for the total repair of a coated part Painting more exterior window.
2nd damage: Intrusion attempt - damaged lock and shielding - repair file sent with complaint - No news and impossible to reach them on the phone in 3 days - more than 20 waiting
Insurer to flee !!!!!!!!!!!!!!!!!!!!!!!!!!</v>
      </c>
    </row>
    <row r="369" ht="15.75" customHeight="1">
      <c r="B369" s="2" t="s">
        <v>1124</v>
      </c>
      <c r="C369" s="2" t="s">
        <v>1125</v>
      </c>
      <c r="D369" s="2" t="s">
        <v>1062</v>
      </c>
      <c r="E369" s="2" t="s">
        <v>14</v>
      </c>
      <c r="F369" s="2" t="s">
        <v>15</v>
      </c>
      <c r="G369" s="2" t="s">
        <v>1126</v>
      </c>
      <c r="H369" s="2" t="s">
        <v>349</v>
      </c>
      <c r="I369" s="2" t="str">
        <f>IFERROR(__xludf.DUMMYFUNCTION("GOOGLETRANSLATE(C369,""fr"",""en"")"),"Insured since 2003 via our Bank Société Générale (more than 25 years of loyalty), we have received a cancellation letter within 2 months without any other details than ""frequency of claims"". We declared small claims last year (small water damage ...) fo"&amp;"r reduced amounts. We have been paying for our subscription since 2003 for the main residence and another accommodation, two school insurance and car insurance. Without review of their unjustified position, we will terminate all our contracts and change b"&amp;"ank if necessary because we have lost confidence for this organization which does not seek to defend its insured.")</f>
        <v>Insured since 2003 via our Bank Société Générale (more than 25 years of loyalty), we have received a cancellation letter within 2 months without any other details than "frequency of claims". We declared small claims last year (small water damage ...) for reduced amounts. We have been paying for our subscription since 2003 for the main residence and another accommodation, two school insurance and car insurance. Without review of their unjustified position, we will terminate all our contracts and change bank if necessary because we have lost confidence for this organization which does not seek to defend its insured.</v>
      </c>
    </row>
    <row r="370" ht="15.75" customHeight="1">
      <c r="B370" s="2" t="s">
        <v>1127</v>
      </c>
      <c r="C370" s="2" t="s">
        <v>1128</v>
      </c>
      <c r="D370" s="2" t="s">
        <v>1062</v>
      </c>
      <c r="E370" s="2" t="s">
        <v>14</v>
      </c>
      <c r="F370" s="2" t="s">
        <v>15</v>
      </c>
      <c r="G370" s="2" t="s">
        <v>1129</v>
      </c>
      <c r="H370" s="2" t="s">
        <v>349</v>
      </c>
      <c r="I370" s="2" t="str">
        <f>IFERROR(__xludf.DUMMYFUNCTION("GOOGLETRANSLATE(C370,""fr"",""en"")"),"insurance company extremely difficult to contact- very big difficulties in the management of a file follow")</f>
        <v>insurance company extremely difficult to contact- very big difficulties in the management of a file follow</v>
      </c>
    </row>
    <row r="371" ht="15.75" customHeight="1">
      <c r="B371" s="2" t="s">
        <v>1130</v>
      </c>
      <c r="C371" s="2" t="s">
        <v>1131</v>
      </c>
      <c r="D371" s="2" t="s">
        <v>1062</v>
      </c>
      <c r="E371" s="2" t="s">
        <v>14</v>
      </c>
      <c r="F371" s="2" t="s">
        <v>15</v>
      </c>
      <c r="G371" s="2" t="s">
        <v>1132</v>
      </c>
      <c r="H371" s="2" t="s">
        <v>349</v>
      </c>
      <c r="I371" s="2" t="str">
        <f>IFERROR(__xludf.DUMMYFUNCTION("GOOGLETRANSLATE(C371,""fr"",""en"")"),"It has been more than 10 days that I declared a stripping of the waters in Sogessur (December 27), since nothing is moving. It is impossible to join the Texa expert who is supposed to take over and call me, when? Mystery ! I try to join both SOGESSUR and "&amp;"Texa at the rate of 30 min per day and the 2 are always busy. In addition, there is a file to fill online in which the information is partially taken into account ... I would like to be advised but to the extent that it is impossible to join anyone ... I "&amp;"obviously wrote emails, including at the address: sogessur-dialogue.assu@socgen.com but in vain ... In short, I find this service deplorable especially in view of the price! I hope to be able to write a more favorable comment afterwards ...")</f>
        <v>It has been more than 10 days that I declared a stripping of the waters in Sogessur (December 27), since nothing is moving. It is impossible to join the Texa expert who is supposed to take over and call me, when? Mystery ! I try to join both SOGESSUR and Texa at the rate of 30 min per day and the 2 are always busy. In addition, there is a file to fill online in which the information is partially taken into account ... I would like to be advised but to the extent that it is impossible to join anyone ... I obviously wrote emails, including at the address: sogessur-dialogue.assu@socgen.com but in vain ... In short, I find this service deplorable especially in view of the price! I hope to be able to write a more favorable comment afterwards ...</v>
      </c>
    </row>
    <row r="372" ht="15.75" customHeight="1">
      <c r="B372" s="2" t="s">
        <v>1133</v>
      </c>
      <c r="C372" s="2" t="s">
        <v>1134</v>
      </c>
      <c r="D372" s="2" t="s">
        <v>1062</v>
      </c>
      <c r="E372" s="2" t="s">
        <v>14</v>
      </c>
      <c r="F372" s="2" t="s">
        <v>15</v>
      </c>
      <c r="G372" s="2" t="s">
        <v>760</v>
      </c>
      <c r="H372" s="2" t="s">
        <v>27</v>
      </c>
      <c r="I372" s="2" t="str">
        <f>IFERROR(__xludf.DUMMYFUNCTION("GOOGLETRANSLATE(C372,""fr"",""en"")"),"I suffered a fire in a room in my apartment on October 12. Some things are at my charge (charge of my insurer and others payable by the lessor's insurer) so already to have Sogessur at Tel Hang yourself because ""all the correspondents are online please r"&amp;"emind you later"". The expert had assured me during his visit on October 30, that I would receive an advance in compensation (especially to take a lot of clothing to the pressing) after having recalled it a good ten times and the insurance also I obtained"&amp;" this advance on December 20. Or 2 months later. If I do not contact Sogessur or the expert I have no news from the rest of my file. After having called them for the 20th time (yes it is all who Never contact the opposite) my expert and the expert of my l"&amp;"essor must agree on an appointment to put things flat ... we are the 27 Dec I hallucinate !!! I share my dissatisfaction in the cabinet of The expert !!! my lessor involved businesses fairly quickly (paintings, cleaning to start the work but now claims th"&amp;"e compensation he will donate to companies ???
I shouldn't have to manage your money flows !!!
I'm really disappointed!! I do not understand that I am not contacted that it is always up to me to go to info fishing!")</f>
        <v>I suffered a fire in a room in my apartment on October 12. Some things are at my charge (charge of my insurer and others payable by the lessor's insurer) so already to have Sogessur at Tel Hang yourself because "all the correspondents are online please remind you later". The expert had assured me during his visit on October 30, that I would receive an advance in compensation (especially to take a lot of clothing to the pressing) after having recalled it a good ten times and the insurance also I obtained this advance on December 20. Or 2 months later. If I do not contact Sogessur or the expert I have no news from the rest of my file. After having called them for the 20th time (yes it is all who Never contact the opposite) my expert and the expert of my lessor must agree on an appointment to put things flat ... we are the 27 Dec I hallucinate !!! I share my dissatisfaction in the cabinet of The expert !!! my lessor involved businesses fairly quickly (paintings, cleaning to start the work but now claims the compensation he will donate to companies ???
I shouldn't have to manage your money flows !!!
I'm really disappointed!! I do not understand that I am not contacted that it is always up to me to go to info fishing!</v>
      </c>
    </row>
    <row r="373" ht="15.75" customHeight="1">
      <c r="B373" s="2" t="s">
        <v>1135</v>
      </c>
      <c r="C373" s="2" t="s">
        <v>1136</v>
      </c>
      <c r="D373" s="2" t="s">
        <v>1062</v>
      </c>
      <c r="E373" s="2" t="s">
        <v>14</v>
      </c>
      <c r="F373" s="2" t="s">
        <v>15</v>
      </c>
      <c r="G373" s="2" t="s">
        <v>1137</v>
      </c>
      <c r="H373" s="2" t="s">
        <v>31</v>
      </c>
      <c r="I373" s="2" t="str">
        <f>IFERROR(__xludf.DUMMYFUNCTION("GOOGLETRANSLATE(C373,""fr"",""en"")"),"Unreachable
They may be waiting for a serious accident ... 15kg of rubble that falls from our ceiling are not enough.")</f>
        <v>Unreachable
They may be waiting for a serious accident ... 15kg of rubble that falls from our ceiling are not enough.</v>
      </c>
    </row>
    <row r="374" ht="15.75" customHeight="1">
      <c r="B374" s="2" t="s">
        <v>1138</v>
      </c>
      <c r="C374" s="2" t="s">
        <v>1139</v>
      </c>
      <c r="D374" s="2" t="s">
        <v>1062</v>
      </c>
      <c r="E374" s="2" t="s">
        <v>14</v>
      </c>
      <c r="F374" s="2" t="s">
        <v>15</v>
      </c>
      <c r="G374" s="2" t="s">
        <v>1140</v>
      </c>
      <c r="H374" s="2" t="s">
        <v>46</v>
      </c>
      <c r="I374" s="2" t="str">
        <f>IFERROR(__xludf.DUMMYFUNCTION("GOOGLETRANSLATE(C374,""fr"",""en"")"),"Horrible service, the insurer automatically renews contracts without verification that the customer is always at the same address and has no compassion. Refuses to repay the service paid to provide a home of which the customer is not even a holder.")</f>
        <v>Horrible service, the insurer automatically renews contracts without verification that the customer is always at the same address and has no compassion. Refuses to repay the service paid to provide a home of which the customer is not even a holder.</v>
      </c>
    </row>
    <row r="375" ht="15.75" customHeight="1">
      <c r="B375" s="2" t="s">
        <v>1141</v>
      </c>
      <c r="C375" s="2" t="s">
        <v>1142</v>
      </c>
      <c r="D375" s="2" t="s">
        <v>1062</v>
      </c>
      <c r="E375" s="2" t="s">
        <v>14</v>
      </c>
      <c r="F375" s="2" t="s">
        <v>15</v>
      </c>
      <c r="G375" s="2" t="s">
        <v>1143</v>
      </c>
      <c r="H375" s="2" t="s">
        <v>46</v>
      </c>
      <c r="I375" s="2" t="str">
        <f>IFERROR(__xludf.DUMMYFUNCTION("GOOGLETRANSLATE(C375,""fr"",""en"")"),"This insurer who has no insurer only the name rejects all responsibility concerning the reimbursement of a leak search on the PNO of the co -owner lol !! And refuses to take charge of this invoice whose charge is the responsibility of it, home insurance o"&amp;"bliges (that subscribed by the tenant)
To flee !!")</f>
        <v>This insurer who has no insurer only the name rejects all responsibility concerning the reimbursement of a leak search on the PNO of the co -owner lol !! And refuses to take charge of this invoice whose charge is the responsibility of it, home insurance obliges (that subscribed by the tenant)
To flee !!</v>
      </c>
    </row>
    <row r="376" ht="15.75" customHeight="1">
      <c r="B376" s="2" t="s">
        <v>1144</v>
      </c>
      <c r="C376" s="2" t="s">
        <v>1145</v>
      </c>
      <c r="D376" s="2" t="s">
        <v>1062</v>
      </c>
      <c r="E376" s="2" t="s">
        <v>14</v>
      </c>
      <c r="F376" s="2" t="s">
        <v>15</v>
      </c>
      <c r="G376" s="2" t="s">
        <v>1146</v>
      </c>
      <c r="H376" s="2" t="s">
        <v>59</v>
      </c>
      <c r="I376" s="2" t="str">
        <f>IFERROR(__xludf.DUMMYFUNCTION("GOOGLETRANSLATE(C376,""fr"",""en"")"),"What to say ... in any honesty if you are looking for home insurance run away from Sogessur. On 2 files, not taken into consideration of the 1st, questioned your word to allow partial compensation to drag after 1 year. On the 2nd it is simple, a damage of"&amp;" water not reimbursed because poor ownership of the former owner. I find myself without a shower and with a note of 3,000 euros to pay ... Ah yes! They take me 3 pots of paintings LOL fortunately I have a small franchise of 160 euros .... serious what ..."&amp;" I will contact another insurance and another bank for my mortgage at exorbitant rate also 2.35 euros for 15 years .")</f>
        <v>What to say ... in any honesty if you are looking for home insurance run away from Sogessur. On 2 files, not taken into consideration of the 1st, questioned your word to allow partial compensation to drag after 1 year. On the 2nd it is simple, a damage of water not reimbursed because poor ownership of the former owner. I find myself without a shower and with a note of 3,000 euros to pay ... Ah yes! They take me 3 pots of paintings LOL fortunately I have a small franchise of 160 euros .... serious what ... I will contact another insurance and another bank for my mortgage at exorbitant rate also 2.35 euros for 15 years .</v>
      </c>
    </row>
    <row r="377" ht="15.75" customHeight="1">
      <c r="B377" s="2" t="s">
        <v>1147</v>
      </c>
      <c r="C377" s="2" t="s">
        <v>1148</v>
      </c>
      <c r="D377" s="2" t="s">
        <v>1062</v>
      </c>
      <c r="E377" s="2" t="s">
        <v>14</v>
      </c>
      <c r="F377" s="2" t="s">
        <v>15</v>
      </c>
      <c r="G377" s="2" t="s">
        <v>1149</v>
      </c>
      <c r="H377" s="2" t="s">
        <v>81</v>
      </c>
      <c r="I377" s="2" t="str">
        <f>IFERROR(__xludf.DUMMYFUNCTION("GOOGLETRANSLATE(C377,""fr"",""en"")"),"Here, recently I was stolen my photovoltaic panels which is the main energy source of my house, not being connected to EDF. After having contacted SOGESSUR an expert came to noted the flight and issue an opinion on it, after several days of waiting for th"&amp;"e response for reimbursement, surprise, we are not ensuring, for the simple and unique reason that there did not have a break -in of the portal, that the priests were probably jumped. So here is life is beautiful, I only have 3000 euros left that I obviou"&amp;"sly do not have, to be able to reinstall the panels. Thank you again Sogessur.")</f>
        <v>Here, recently I was stolen my photovoltaic panels which is the main energy source of my house, not being connected to EDF. After having contacted SOGESSUR an expert came to noted the flight and issue an opinion on it, after several days of waiting for the response for reimbursement, surprise, we are not ensuring, for the simple and unique reason that there did not have a break -in of the portal, that the priests were probably jumped. So here is life is beautiful, I only have 3000 euros left that I obviously do not have, to be able to reinstall the panels. Thank you again Sogessur.</v>
      </c>
    </row>
    <row r="378" ht="15.75" customHeight="1">
      <c r="B378" s="2" t="s">
        <v>1150</v>
      </c>
      <c r="C378" s="2" t="s">
        <v>1151</v>
      </c>
      <c r="D378" s="2" t="s">
        <v>1062</v>
      </c>
      <c r="E378" s="2" t="s">
        <v>14</v>
      </c>
      <c r="F378" s="2" t="s">
        <v>15</v>
      </c>
      <c r="G378" s="2" t="s">
        <v>1152</v>
      </c>
      <c r="H378" s="2" t="s">
        <v>85</v>
      </c>
      <c r="I378" s="2" t="str">
        <f>IFERROR(__xludf.DUMMYFUNCTION("GOOGLETRANSLATE(C378,""fr"",""en"")"),"Certainly the worst of all. I made the big mistake to buy this home home via my bank, the general company, and I regret it. Very strong to make yourself unreachable, invisible as soon as it is a question of disaster and compensation. I've been going after"&amp;" in vain for 3 weeks. I'm now looking for a procedure.")</f>
        <v>Certainly the worst of all. I made the big mistake to buy this home home via my bank, the general company, and I regret it. Very strong to make yourself unreachable, invisible as soon as it is a question of disaster and compensation. I've been going after in vain for 3 weeks. I'm now looking for a procedure.</v>
      </c>
    </row>
    <row r="379" ht="15.75" customHeight="1">
      <c r="B379" s="2" t="s">
        <v>1153</v>
      </c>
      <c r="C379" s="2" t="s">
        <v>1154</v>
      </c>
      <c r="D379" s="2" t="s">
        <v>1062</v>
      </c>
      <c r="E379" s="2" t="s">
        <v>14</v>
      </c>
      <c r="F379" s="2" t="s">
        <v>15</v>
      </c>
      <c r="G379" s="2" t="s">
        <v>1155</v>
      </c>
      <c r="H379" s="2" t="s">
        <v>85</v>
      </c>
      <c r="I379" s="2" t="str">
        <f>IFERROR(__xludf.DUMMYFUNCTION("GOOGLETRANSLATE(C379,""fr"",""en"")"),"Hello I had an accident in life I fell and fracture of the 2 Tybia trays it's been 8 months now that I am at a total stop I have an accident insurance bingo a fairly satisfactory bonus come from the letter paid A lady of cleaning available and a taxi pay "&amp;"up to € 400 for my trips to the very happy hospital I do not recognize myself at all with the other comments in addition I had my boiler which drops me there is 1 year of his bingo supported at 85% with house insurance in total between Sogessur and Sogeca"&amp;"p I contract 13 insurance products all confused very happy ras !!!")</f>
        <v>Hello I had an accident in life I fell and fracture of the 2 Tybia trays it's been 8 months now that I am at a total stop I have an accident insurance bingo a fairly satisfactory bonus come from the letter paid A lady of cleaning available and a taxi pay up to € 400 for my trips to the very happy hospital I do not recognize myself at all with the other comments in addition I had my boiler which drops me there is 1 year of his bingo supported at 85% with house insurance in total between Sogessur and Sogecap I contract 13 insurance products all confused very happy ras !!!</v>
      </c>
    </row>
    <row r="380" ht="15.75" customHeight="1">
      <c r="B380" s="2" t="s">
        <v>1156</v>
      </c>
      <c r="C380" s="2" t="s">
        <v>1157</v>
      </c>
      <c r="D380" s="2" t="s">
        <v>1062</v>
      </c>
      <c r="E380" s="2" t="s">
        <v>14</v>
      </c>
      <c r="F380" s="2" t="s">
        <v>15</v>
      </c>
      <c r="G380" s="2" t="s">
        <v>1158</v>
      </c>
      <c r="H380" s="2" t="s">
        <v>391</v>
      </c>
      <c r="I380" s="2" t="str">
        <f>IFERROR(__xludf.DUMMYFUNCTION("GOOGLETRANSLATE(C380,""fr"",""en"")"),"Hot incompetent line, no real customer service")</f>
        <v>Hot incompetent line, no real customer service</v>
      </c>
    </row>
    <row r="381" ht="15.75" customHeight="1">
      <c r="B381" s="2" t="s">
        <v>1159</v>
      </c>
      <c r="C381" s="2" t="s">
        <v>1160</v>
      </c>
      <c r="D381" s="2" t="s">
        <v>1062</v>
      </c>
      <c r="E381" s="2" t="s">
        <v>14</v>
      </c>
      <c r="F381" s="2" t="s">
        <v>15</v>
      </c>
      <c r="G381" s="2" t="s">
        <v>1161</v>
      </c>
      <c r="H381" s="2" t="s">
        <v>402</v>
      </c>
      <c r="I381" s="2" t="str">
        <f>IFERROR(__xludf.DUMMYFUNCTION("GOOGLETRANSLATE(C381,""fr"",""en"")"),"A tree fell on my house on January 3, 2018 following the storm. So I made a declaration the same day. It was not until 21 in order to have contact with the telephone platform of the Saretec expert who explains to me that I am not assured for the fall of A"&amp;" tree .... SOGESSUR makes a ""commercial gesture"" and agrees to pay 500 euros on invoice (quote 1260 euros) on January 24 I am still not compensated")</f>
        <v>A tree fell on my house on January 3, 2018 following the storm. So I made a declaration the same day. It was not until 21 in order to have contact with the telephone platform of the Saretec expert who explains to me that I am not assured for the fall of A tree .... SOGESSUR makes a "commercial gesture" and agrees to pay 500 euros on invoice (quote 1260 euros) on January 24 I am still not compensated</v>
      </c>
    </row>
    <row r="382" ht="15.75" customHeight="1">
      <c r="B382" s="2" t="s">
        <v>1162</v>
      </c>
      <c r="C382" s="2" t="s">
        <v>1163</v>
      </c>
      <c r="D382" s="2" t="s">
        <v>1062</v>
      </c>
      <c r="E382" s="2" t="s">
        <v>14</v>
      </c>
      <c r="F382" s="2" t="s">
        <v>15</v>
      </c>
      <c r="G382" s="2" t="s">
        <v>1164</v>
      </c>
      <c r="H382" s="2" t="s">
        <v>402</v>
      </c>
      <c r="I382" s="2" t="str">
        <f>IFERROR(__xludf.DUMMYFUNCTION("GOOGLETRANSLATE(C382,""fr"",""en"")"),"Having recently undergone water damage, my insurer, following an ""intervention"" of the Texa expert, wanted to know anything, saying that it was not in the contract. Now, I think that as a residential assurance, it must be a fundamental part. Result: I t"&amp;"erminated this contract for a competitor contract, which is cheaper elsewhere.")</f>
        <v>Having recently undergone water damage, my insurer, following an "intervention" of the Texa expert, wanted to know anything, saying that it was not in the contract. Now, I think that as a residential assurance, it must be a fundamental part. Result: I terminated this contract for a competitor contract, which is cheaper elsewhere.</v>
      </c>
    </row>
    <row r="383" ht="15.75" customHeight="1">
      <c r="B383" s="2" t="s">
        <v>1165</v>
      </c>
      <c r="C383" s="2" t="s">
        <v>1166</v>
      </c>
      <c r="D383" s="2" t="s">
        <v>1062</v>
      </c>
      <c r="E383" s="2" t="s">
        <v>14</v>
      </c>
      <c r="F383" s="2" t="s">
        <v>15</v>
      </c>
      <c r="G383" s="2" t="s">
        <v>1167</v>
      </c>
      <c r="H383" s="2" t="s">
        <v>92</v>
      </c>
      <c r="I383" s="2" t="str">
        <f>IFERROR(__xludf.DUMMYFUNCTION("GOOGLETRANSLATE(C383,""fr"",""en"")"),"Victim of a fire on November 3, caused by my neighbors, I had the visit of the mandated expert. I am a little lost and I cannot reach Sogessur (I am at 22 attempts by phone) I hope that my insemination will be more seriously studied because I do not know "&amp;"where my file is ....")</f>
        <v>Victim of a fire on November 3, caused by my neighbors, I had the visit of the mandated expert. I am a little lost and I cannot reach Sogessur (I am at 22 attempts by phone) I hope that my insemination will be more seriously studied because I do not know where my file is ....</v>
      </c>
    </row>
    <row r="384" ht="15.75" customHeight="1">
      <c r="B384" s="2" t="s">
        <v>1168</v>
      </c>
      <c r="C384" s="2" t="s">
        <v>1169</v>
      </c>
      <c r="D384" s="2" t="s">
        <v>1062</v>
      </c>
      <c r="E384" s="2" t="s">
        <v>14</v>
      </c>
      <c r="F384" s="2" t="s">
        <v>15</v>
      </c>
      <c r="G384" s="2" t="s">
        <v>1170</v>
      </c>
      <c r="H384" s="2" t="s">
        <v>96</v>
      </c>
      <c r="I384" s="2" t="str">
        <f>IFERROR(__xludf.DUMMYFUNCTION("GOOGLETRANSLATE(C384,""fr"",""en"")"),"An insurer who does not respect the guarantees. The insurer I quote ""we are aware of the rehousing necessary following the impossibility of living in your disaster accommodation"".
Concrete response to D14 of the declaration of the claim: no solution de"&amp;"spite that I am guaranteed")</f>
        <v>An insurer who does not respect the guarantees. The insurer I quote "we are aware of the rehousing necessary following the impossibility of living in your disaster accommodation".
Concrete response to D14 of the declaration of the claim: no solution despite that I am guaranteed</v>
      </c>
    </row>
    <row r="385" ht="15.75" customHeight="1">
      <c r="B385" s="2" t="s">
        <v>1171</v>
      </c>
      <c r="C385" s="2" t="s">
        <v>1172</v>
      </c>
      <c r="D385" s="2" t="s">
        <v>1062</v>
      </c>
      <c r="E385" s="2" t="s">
        <v>14</v>
      </c>
      <c r="F385" s="2" t="s">
        <v>15</v>
      </c>
      <c r="G385" s="2" t="s">
        <v>116</v>
      </c>
      <c r="H385" s="2" t="s">
        <v>110</v>
      </c>
      <c r="I385" s="2" t="str">
        <f>IFERROR(__xludf.DUMMYFUNCTION("GOOGLETRANSLATE(C385,""fr"",""en"")"),"Insured for 17 years, a first disaster damage of the waters occurred during my vacation this year and of course this is excluded from the guarantees because the counter was not closed while an automatic watering required that it remains open")</f>
        <v>Insured for 17 years, a first disaster damage of the waters occurred during my vacation this year and of course this is excluded from the guarantees because the counter was not closed while an automatic watering required that it remains open</v>
      </c>
    </row>
    <row r="386" ht="15.75" customHeight="1">
      <c r="B386" s="2" t="s">
        <v>1173</v>
      </c>
      <c r="C386" s="2" t="s">
        <v>1174</v>
      </c>
      <c r="D386" s="2" t="s">
        <v>1062</v>
      </c>
      <c r="E386" s="2" t="s">
        <v>14</v>
      </c>
      <c r="F386" s="2" t="s">
        <v>15</v>
      </c>
      <c r="G386" s="2" t="s">
        <v>1175</v>
      </c>
      <c r="H386" s="2" t="s">
        <v>120</v>
      </c>
      <c r="I386" s="2" t="str">
        <f>IFERROR(__xludf.DUMMYFUNCTION("GOOGLETRANSLATE(C386,""fr"",""en"")"),"I am assured as a non -occupying owner of an apartment that I want to rent after work. After describing my need to my customer advisor, this one offers me a SOGESSUR contract. By piercing a hole in the floor of this apartment and pierces an electric sheat"&amp;"h from my neighbor below. The Sogessur takes care of the file, then a month later changes itself and decides that I am not insured because I did the work myself! An owner is not covered if he tinks in his apartment after Sogessur")</f>
        <v>I am assured as a non -occupying owner of an apartment that I want to rent after work. After describing my need to my customer advisor, this one offers me a SOGESSUR contract. By piercing a hole in the floor of this apartment and pierces an electric sheath from my neighbor below. The Sogessur takes care of the file, then a month later changes itself and decides that I am not insured because I did the work myself! An owner is not covered if he tinks in his apartment after Sogessur</v>
      </c>
    </row>
    <row r="387" ht="15.75" customHeight="1">
      <c r="B387" s="2" t="s">
        <v>1176</v>
      </c>
      <c r="C387" s="2" t="s">
        <v>1177</v>
      </c>
      <c r="D387" s="2" t="s">
        <v>1062</v>
      </c>
      <c r="E387" s="2" t="s">
        <v>14</v>
      </c>
      <c r="F387" s="2" t="s">
        <v>15</v>
      </c>
      <c r="G387" s="2" t="s">
        <v>1178</v>
      </c>
      <c r="H387" s="2" t="s">
        <v>460</v>
      </c>
      <c r="I387" s="2" t="str">
        <f>IFERROR(__xludf.DUMMYFUNCTION("GOOGLETRANSLATE(C387,""fr"",""en"")"),"Attention danger you believe yourself protected but you are in danger with this insurance. Insured (finally I believed it) at Sogessur in 2014 I suffered a disaster which devastated my building, insurance at 2 and a half years before paying ""a part"" of "&amp;"the compensation. I have to seize justice to assert my rights")</f>
        <v>Attention danger you believe yourself protected but you are in danger with this insurance. Insured (finally I believed it) at Sogessur in 2014 I suffered a disaster which devastated my building, insurance at 2 and a half years before paying "a part" of the compensation. I have to seize justice to assert my rights</v>
      </c>
    </row>
    <row r="388" ht="15.75" customHeight="1">
      <c r="B388" s="2" t="s">
        <v>1179</v>
      </c>
      <c r="C388" s="2" t="s">
        <v>1180</v>
      </c>
      <c r="D388" s="2" t="s">
        <v>1062</v>
      </c>
      <c r="E388" s="2" t="s">
        <v>14</v>
      </c>
      <c r="F388" s="2" t="s">
        <v>15</v>
      </c>
      <c r="G388" s="2" t="s">
        <v>1181</v>
      </c>
      <c r="H388" s="2" t="s">
        <v>131</v>
      </c>
      <c r="I388" s="2" t="str">
        <f>IFERROR(__xludf.DUMMYFUNCTION("GOOGLETRANSLATE(C388,""fr"",""en"")"),"Very bad insurance: you should not have a claim. As soon as you have a disaster, they pass all their energy to demonstrate that it is not in Sogessur to compensate anything. Extremely disappointed. run away.")</f>
        <v>Very bad insurance: you should not have a claim. As soon as you have a disaster, they pass all their energy to demonstrate that it is not in Sogessur to compensate anything. Extremely disappointed. run away.</v>
      </c>
    </row>
    <row r="389" ht="15.75" customHeight="1">
      <c r="B389" s="2" t="s">
        <v>1182</v>
      </c>
      <c r="C389" s="2" t="s">
        <v>1183</v>
      </c>
      <c r="D389" s="2" t="s">
        <v>1062</v>
      </c>
      <c r="E389" s="2" t="s">
        <v>14</v>
      </c>
      <c r="F389" s="2" t="s">
        <v>15</v>
      </c>
      <c r="G389" s="2" t="s">
        <v>1184</v>
      </c>
      <c r="H389" s="2" t="s">
        <v>131</v>
      </c>
      <c r="I389" s="2" t="str">
        <f>IFERROR(__xludf.DUMMYFUNCTION("GOOGLETRANSLATE(C389,""fr"",""en"")"),"I find very expensive 30 euros per month for a very small apartment 35 m, finally more and more expensive for the slightest insured.")</f>
        <v>I find very expensive 30 euros per month for a very small apartment 35 m, finally more and more expensive for the slightest insured.</v>
      </c>
    </row>
    <row r="390" ht="15.75" customHeight="1">
      <c r="B390" s="2" t="s">
        <v>1185</v>
      </c>
      <c r="C390" s="2" t="s">
        <v>1186</v>
      </c>
      <c r="D390" s="2" t="s">
        <v>1062</v>
      </c>
      <c r="E390" s="2" t="s">
        <v>14</v>
      </c>
      <c r="F390" s="2" t="s">
        <v>15</v>
      </c>
      <c r="G390" s="2" t="s">
        <v>141</v>
      </c>
      <c r="H390" s="2" t="s">
        <v>138</v>
      </c>
      <c r="I390" s="2" t="str">
        <f>IFERROR(__xludf.DUMMYFUNCTION("GOOGLETRANSLATE(C390,""fr"",""en"")"),"Following the storm of May 2016, I had water infiltrations in two places.
We tell you that you have to cover and that you will be reimbursed 250 euro per tarpaulin, in fact we do not reimburse you
We tell you that the wind was not strong enough, so we d"&amp;"o not reimburse you the repair of leaks, only the consequences and still at a price much lower than the price paid.
You receive a letter by indicating that you have had two claims and that therefore you are applied to you a penalty, I had only one claim "&amp;"and I was not responsible for it.
We tell you that to finish we put you only one disaster, but we leave you the penalty
We send you a damage to the little happiness, well below what it cost me. And yet I had asked them to send approved companies")</f>
        <v>Following the storm of May 2016, I had water infiltrations in two places.
We tell you that you have to cover and that you will be reimbursed 250 euro per tarpaulin, in fact we do not reimburse you
We tell you that the wind was not strong enough, so we do not reimburse you the repair of leaks, only the consequences and still at a price much lower than the price paid.
You receive a letter by indicating that you have had two claims and that therefore you are applied to you a penalty, I had only one claim and I was not responsible for it.
We tell you that to finish we put you only one disaster, but we leave you the penalty
We send you a damage to the little happiness, well below what it cost me. And yet I had asked them to send approved companies</v>
      </c>
    </row>
    <row r="391" ht="15.75" customHeight="1">
      <c r="B391" s="2" t="s">
        <v>1187</v>
      </c>
      <c r="C391" s="2" t="s">
        <v>1188</v>
      </c>
      <c r="D391" s="2" t="s">
        <v>1062</v>
      </c>
      <c r="E391" s="2" t="s">
        <v>14</v>
      </c>
      <c r="F391" s="2" t="s">
        <v>15</v>
      </c>
      <c r="G391" s="2" t="s">
        <v>1189</v>
      </c>
      <c r="H391" s="2" t="s">
        <v>145</v>
      </c>
      <c r="I391" s="2" t="str">
        <f>IFERROR(__xludf.DUMMYFUNCTION("GOOGLETRANSLATE(C391,""fr"",""en"")"),"Good insurance very competitive good guarantee very affordable")</f>
        <v>Good insurance very competitive good guarantee very affordable</v>
      </c>
    </row>
    <row r="392" ht="15.75" customHeight="1">
      <c r="B392" s="2" t="s">
        <v>1190</v>
      </c>
      <c r="C392" s="2" t="s">
        <v>1191</v>
      </c>
      <c r="D392" s="2" t="s">
        <v>1192</v>
      </c>
      <c r="E392" s="2" t="s">
        <v>14</v>
      </c>
      <c r="F392" s="2" t="s">
        <v>15</v>
      </c>
      <c r="G392" s="2" t="s">
        <v>1193</v>
      </c>
      <c r="H392" s="2" t="s">
        <v>153</v>
      </c>
      <c r="I392" s="2" t="str">
        <f>IFERROR(__xludf.DUMMYFUNCTION("GOOGLETRANSLATE(C392,""fr"",""en"")"),"Having been the victim of a burglary on September 9, 2021, I declared my claim to Allianz in time. A person contacted me by phone as well as by email telling me that I had to join all the documents necessary for the processing of my file, I communicated t"&amp;"hem all in due time. On the other hand, another person contacts me the day before the expert's passage to ask me if I had sent all the necessary documents. I see that he does not treat their emails knowing that I have sent several. To my surprise, the exp"&amp;"ert calls me at the bottom of the building, asking me for the digicode that I also provided.
 On October 20, 2021 more specifically at 11:00 am, I received the expert's visit to quantify the estimate of my stolen goods in my home, what I find abnormal "&amp;"is that his visit was scheduled After a month and 11 days. Oddly, the renewal of my annual contract at Allianz was 5 days before the expert's passage! No doubt, so that I cannot retract.
 I do not understand because the value of my goods are 26,392.22 "&amp;"euros, outside the expert I will only be compensated for around € 5,000 near € 6,000. I find it scandalous from Allianz. I was ready to accept and I fixed myself within the reasonable limit of those mentioned in my contract, that is to say at least 15,000"&amp;" € which is the minimum given the whole loss and which amounts to repairing the Prejudices that I have suffered if I can say that and again and whose consequences are still present.
  I did not ask to be robbed my home. Certainly I do not have all the "&amp;"invoices of my jewelry including traditional and sentimental values: the photos justify it and be sure that they are not false or gold or other plated, I do not understand because the photos are secondary supporting documents and They intervene to complet"&amp;"e those who returned by law and I automatically benefit from compensation in: new value.
  My honesty makes me a person in good faith from where the GPS I have reported to the authorities in the lists of my property and that I found.
  Sorry for the"&amp;" length of the message but if it can help more than one person.")</f>
        <v>Having been the victim of a burglary on September 9, 2021, I declared my claim to Allianz in time. A person contacted me by phone as well as by email telling me that I had to join all the documents necessary for the processing of my file, I communicated them all in due time. On the other hand, another person contacts me the day before the expert's passage to ask me if I had sent all the necessary documents. I see that he does not treat their emails knowing that I have sent several. To my surprise, the expert calls me at the bottom of the building, asking me for the digicode that I also provided.
 On October 20, 2021 more specifically at 11:00 am, I received the expert's visit to quantify the estimate of my stolen goods in my home, what I find abnormal is that his visit was scheduled After a month and 11 days. Oddly, the renewal of my annual contract at Allianz was 5 days before the expert's passage! No doubt, so that I cannot retract.
 I do not understand because the value of my goods are 26,392.22 euros, outside the expert I will only be compensated for around € 5,000 near € 6,000. I find it scandalous from Allianz. I was ready to accept and I fixed myself within the reasonable limit of those mentioned in my contract, that is to say at least 15,000 € which is the minimum given the whole loss and which amounts to repairing the Prejudices that I have suffered if I can say that and again and whose consequences are still present.
  I did not ask to be robbed my home. Certainly I do not have all the invoices of my jewelry including traditional and sentimental values: the photos justify it and be sure that they are not false or gold or other plated, I do not understand because the photos are secondary supporting documents and They intervene to complete those who returned by law and I automatically benefit from compensation in: new value.
  My honesty makes me a person in good faith from where the GPS I have reported to the authorities in the lists of my property and that I found.
  Sorry for the length of the message but if it can help more than one person.</v>
      </c>
    </row>
    <row r="393" ht="15.75" customHeight="1">
      <c r="B393" s="2" t="s">
        <v>1194</v>
      </c>
      <c r="C393" s="2" t="s">
        <v>1195</v>
      </c>
      <c r="D393" s="2" t="s">
        <v>1192</v>
      </c>
      <c r="E393" s="2" t="s">
        <v>14</v>
      </c>
      <c r="F393" s="2" t="s">
        <v>15</v>
      </c>
      <c r="G393" s="2" t="s">
        <v>1196</v>
      </c>
      <c r="H393" s="2" t="s">
        <v>164</v>
      </c>
      <c r="I393" s="2" t="str">
        <f>IFERROR(__xludf.DUMMYFUNCTION("GOOGLETRANSLATE(C393,""fr"",""en"")"),"If I had been able to put 0 it would have been more realistic.The 13008 Allianz the gift refused to make me pay for non -occupying home insurance for the good of my deceased and vacant mother. She had been a client for 50 years! Despite my writings and ca"&amp;"lls I paid per month 4 times the price owed each month. And the secretary was not even able to do it a certificate for the notary ... it made a screen impression that was not Complies. A nightmare! !!! In times of mourning in addition! Just abusive")</f>
        <v>If I had been able to put 0 it would have been more realistic.The 13008 Allianz the gift refused to make me pay for non -occupying home insurance for the good of my deceased and vacant mother. She had been a client for 50 years! Despite my writings and calls I paid per month 4 times the price owed each month. And the secretary was not even able to do it a certificate for the notary ... it made a screen impression that was not Complies. A nightmare! !!! In times of mourning in addition! Just abusive</v>
      </c>
    </row>
    <row r="394" ht="15.75" customHeight="1">
      <c r="B394" s="2" t="s">
        <v>1197</v>
      </c>
      <c r="C394" s="2" t="s">
        <v>1198</v>
      </c>
      <c r="D394" s="2" t="s">
        <v>1192</v>
      </c>
      <c r="E394" s="2" t="s">
        <v>14</v>
      </c>
      <c r="F394" s="2" t="s">
        <v>15</v>
      </c>
      <c r="G394" s="2" t="s">
        <v>1199</v>
      </c>
      <c r="H394" s="2" t="s">
        <v>168</v>
      </c>
      <c r="I394" s="2" t="str">
        <f>IFERROR(__xludf.DUMMYFUNCTION("GOOGLETRANSLATE(C394,""fr"",""en"")"),"Service too long. It has been more than two months since I have been paying after painting work carried out on behalf of a customer. No news I was lugged each time so as not to pay. Disastrous.")</f>
        <v>Service too long. It has been more than two months since I have been paying after painting work carried out on behalf of a customer. No news I was lugged each time so as not to pay. Disastrous.</v>
      </c>
    </row>
    <row r="395" ht="15.75" customHeight="1">
      <c r="B395" s="2" t="s">
        <v>1200</v>
      </c>
      <c r="C395" s="2" t="s">
        <v>1201</v>
      </c>
      <c r="D395" s="2" t="s">
        <v>1192</v>
      </c>
      <c r="E395" s="2" t="s">
        <v>14</v>
      </c>
      <c r="F395" s="2" t="s">
        <v>15</v>
      </c>
      <c r="G395" s="2" t="s">
        <v>1202</v>
      </c>
      <c r="H395" s="2" t="s">
        <v>172</v>
      </c>
      <c r="I395" s="2" t="str">
        <f>IFERROR(__xludf.DUMMYFUNCTION("GOOGLETRANSLATE(C395,""fr"",""en"")"),"In 8 years I only had 2 years sinister, a flight with break -in and a storm which damaged me part of the roof. On the 2 claims no compensation !!!! TO FLEE")</f>
        <v>In 8 years I only had 2 years sinister, a flight with break -in and a storm which damaged me part of the roof. On the 2 claims no compensation !!!! TO FLEE</v>
      </c>
    </row>
    <row r="396" ht="15.75" customHeight="1">
      <c r="B396" s="2" t="s">
        <v>1203</v>
      </c>
      <c r="C396" s="2" t="s">
        <v>1204</v>
      </c>
      <c r="D396" s="2" t="s">
        <v>1192</v>
      </c>
      <c r="E396" s="2" t="s">
        <v>14</v>
      </c>
      <c r="F396" s="2" t="s">
        <v>15</v>
      </c>
      <c r="G396" s="2" t="s">
        <v>496</v>
      </c>
      <c r="H396" s="2" t="s">
        <v>496</v>
      </c>
      <c r="I396" s="2" t="str">
        <f>IFERROR(__xludf.DUMMYFUNCTION("GOOGLETRANSLATE(C396,""fr"",""en"")"),"To run away absolutely, unreachable people, no email addresses, you come across a platform with 10 different interlocutors. He sends me a painter following water damage ???
Leak in December still not settled to date - I ended up dropping to do my work my"&amp;"self.
I will change insurance
Absolutely does not recommend - local agencies are useless - they are just there to make quotes - or prospecting")</f>
        <v>To run away absolutely, unreachable people, no email addresses, you come across a platform with 10 different interlocutors. He sends me a painter following water damage ???
Leak in December still not settled to date - I ended up dropping to do my work myself.
I will change insurance
Absolutely does not recommend - local agencies are useless - they are just there to make quotes - or prospecting</v>
      </c>
    </row>
    <row r="397" ht="15.75" customHeight="1">
      <c r="B397" s="2" t="s">
        <v>1205</v>
      </c>
      <c r="C397" s="2" t="s">
        <v>1206</v>
      </c>
      <c r="D397" s="2" t="s">
        <v>1192</v>
      </c>
      <c r="E397" s="2" t="s">
        <v>14</v>
      </c>
      <c r="F397" s="2" t="s">
        <v>15</v>
      </c>
      <c r="G397" s="2" t="s">
        <v>1207</v>
      </c>
      <c r="H397" s="2" t="s">
        <v>179</v>
      </c>
      <c r="I397" s="2" t="str">
        <f>IFERROR(__xludf.DUMMYFUNCTION("GOOGLETRANSLATE(C397,""fr"",""en"")"),"Unreachable (email, telephone, application), termination not taken into account despite LRAR, does not know the Hamon law and continues to take despite the mail of termination ... By the way, the last levy represents more than I should have if I hadn't te"&amp;"rminated (? ...)? Declaration made at the DGCCRF.
Allianz is no longer what he was as an insurer a few years ago ...")</f>
        <v>Unreachable (email, telephone, application), termination not taken into account despite LRAR, does not know the Hamon law and continues to take despite the mail of termination ... By the way, the last levy represents more than I should have if I hadn't terminated (? ...)? Declaration made at the DGCCRF.
Allianz is no longer what he was as an insurer a few years ago ...</v>
      </c>
    </row>
    <row r="398" ht="15.75" customHeight="1">
      <c r="B398" s="2" t="s">
        <v>1208</v>
      </c>
      <c r="C398" s="2" t="s">
        <v>1209</v>
      </c>
      <c r="D398" s="2" t="s">
        <v>1192</v>
      </c>
      <c r="E398" s="2" t="s">
        <v>14</v>
      </c>
      <c r="F398" s="2" t="s">
        <v>15</v>
      </c>
      <c r="G398" s="2" t="s">
        <v>880</v>
      </c>
      <c r="H398" s="2" t="s">
        <v>194</v>
      </c>
      <c r="I398" s="2" t="str">
        <f>IFERROR(__xludf.DUMMYFUNCTION("GOOGLETRANSLATE(C398,""fr"",""en"")"),"Never subscribe to them ...
We applied for withdrawal because they were unable to edit a contract correctly. Even after changing the contract 3 times there were still mistakes .. and the contract had become very expensive.
They told us that they wer"&amp;"e ""responsible for the continuity of insurance"" and therefore forced us to take another insurance before we could close their contract.
In the end they still have not closed their contract and continue to take us. So we find ourselves paying 2 insura"&amp;"nces ..
It has been 4 months since we made this request for withdrawal and 3 months that we pay two home insurance.
They never respond to emails and phone they refer the ball between services.
I have never had any problems before with insurance a"&amp;"nd allianz is the worst insurance that I know .. I dare not imagine the troubles in the event of a disaster ...")</f>
        <v>Never subscribe to them ...
We applied for withdrawal because they were unable to edit a contract correctly. Even after changing the contract 3 times there were still mistakes .. and the contract had become very expensive.
They told us that they were "responsible for the continuity of insurance" and therefore forced us to take another insurance before we could close their contract.
In the end they still have not closed their contract and continue to take us. So we find ourselves paying 2 insurances ..
It has been 4 months since we made this request for withdrawal and 3 months that we pay two home insurance.
They never respond to emails and phone they refer the ball between services.
I have never had any problems before with insurance and allianz is the worst insurance that I know .. I dare not imagine the troubles in the event of a disaster ...</v>
      </c>
    </row>
    <row r="399" ht="15.75" customHeight="1">
      <c r="B399" s="2" t="s">
        <v>1210</v>
      </c>
      <c r="C399" s="2" t="s">
        <v>1211</v>
      </c>
      <c r="D399" s="2" t="s">
        <v>1192</v>
      </c>
      <c r="E399" s="2" t="s">
        <v>14</v>
      </c>
      <c r="F399" s="2" t="s">
        <v>15</v>
      </c>
      <c r="G399" s="2" t="s">
        <v>1212</v>
      </c>
      <c r="H399" s="2" t="s">
        <v>204</v>
      </c>
      <c r="I399" s="2" t="str">
        <f>IFERROR(__xludf.DUMMYFUNCTION("GOOGLETRANSLATE(C399,""fr"",""en"")"),"Our Allianz agent made us review our contract 4 years ago, its value having increased.
The house was the victim of a fire two years ago, which almost completely destroyed it. Our expert expert, when reading the contract, taught us that there was no bette"&amp;"r on the market.
Result: our house was identical rebuilt, and 100% of the cost, this in a year and a half, after the expertise of use.
So for us, Allianz, they are the best! In any case, our agent. Do not hesitate to read or have your contract read, and"&amp;" have it changed if necessary.")</f>
        <v>Our Allianz agent made us review our contract 4 years ago, its value having increased.
The house was the victim of a fire two years ago, which almost completely destroyed it. Our expert expert, when reading the contract, taught us that there was no better on the market.
Result: our house was identical rebuilt, and 100% of the cost, this in a year and a half, after the expertise of use.
So for us, Allianz, they are the best! In any case, our agent. Do not hesitate to read or have your contract read, and have it changed if necessary.</v>
      </c>
    </row>
    <row r="400" ht="15.75" customHeight="1">
      <c r="B400" s="2" t="s">
        <v>1213</v>
      </c>
      <c r="C400" s="2" t="s">
        <v>1214</v>
      </c>
      <c r="D400" s="2" t="s">
        <v>1192</v>
      </c>
      <c r="E400" s="2" t="s">
        <v>14</v>
      </c>
      <c r="F400" s="2" t="s">
        <v>15</v>
      </c>
      <c r="G400" s="2" t="s">
        <v>1215</v>
      </c>
      <c r="H400" s="2" t="s">
        <v>214</v>
      </c>
      <c r="I400" s="2" t="str">
        <f>IFERROR(__xludf.DUMMYFUNCTION("GOOGLETRANSLATE(C400,""fr"",""en"")"),"One word run away!
This insurer is a disaster, they
Do all to delay the termination of my insurance and that deputted September 2020. I will never set foot in their homes again and I will dissuade my entourage from subscribing to them.
I have never see"&amp;"n such incompetent insurance.
I will make a report to the repression of the fraud.")</f>
        <v>One word run away!
This insurer is a disaster, they
Do all to delay the termination of my insurance and that deputted September 2020. I will never set foot in their homes again and I will dissuade my entourage from subscribing to them.
I have never seen such incompetent insurance.
I will make a report to the repression of the fraud.</v>
      </c>
    </row>
    <row r="401" ht="15.75" customHeight="1">
      <c r="B401" s="2" t="s">
        <v>1216</v>
      </c>
      <c r="C401" s="2" t="s">
        <v>1217</v>
      </c>
      <c r="D401" s="2" t="s">
        <v>1192</v>
      </c>
      <c r="E401" s="2" t="s">
        <v>14</v>
      </c>
      <c r="F401" s="2" t="s">
        <v>15</v>
      </c>
      <c r="G401" s="2" t="s">
        <v>1218</v>
      </c>
      <c r="H401" s="2" t="s">
        <v>226</v>
      </c>
      <c r="I401" s="2" t="str">
        <f>IFERROR(__xludf.DUMMYFUNCTION("GOOGLETRANSLATE(C401,""fr"",""en"")"),"We undergoes damage on a pool shelter made a statement to our Allianz Cazouls les Beziers insurer. was abscent during the facts staying in Spain. The expert did not come. The insurance response has us to do research to identify the date that the damage ha"&amp;"s been caused price of our pocket 2500 euros. Have a house in Cazouls the beziers damage to the waters. Experts from the opposing bet on site. Allianz postpones his expertise a week after when the expert was notified by the agency when we received the doc"&amp;"ument not very serious")</f>
        <v>We undergoes damage on a pool shelter made a statement to our Allianz Cazouls les Beziers insurer. was abscent during the facts staying in Spain. The expert did not come. The insurance response has us to do research to identify the date that the damage has been caused price of our pocket 2500 euros. Have a house in Cazouls the beziers damage to the waters. Experts from the opposing bet on site. Allianz postpones his expertise a week after when the expert was notified by the agency when we received the document not very serious</v>
      </c>
    </row>
    <row r="402" ht="15.75" customHeight="1">
      <c r="B402" s="2" t="s">
        <v>1219</v>
      </c>
      <c r="C402" s="2" t="s">
        <v>1220</v>
      </c>
      <c r="D402" s="2" t="s">
        <v>1192</v>
      </c>
      <c r="E402" s="2" t="s">
        <v>14</v>
      </c>
      <c r="F402" s="2" t="s">
        <v>15</v>
      </c>
      <c r="G402" s="2" t="s">
        <v>1221</v>
      </c>
      <c r="H402" s="2" t="s">
        <v>226</v>
      </c>
      <c r="I402" s="2" t="str">
        <f>IFERROR(__xludf.DUMMYFUNCTION("GOOGLETRANSLATE(C402,""fr"",""en"")"),"Staff of the local agency to which I belonged very friendly and competent, but insurance does not know how to be there when the insured need it. A reimbursement of a hundred euros refused, would have been enough to keep the confidence that I had in you")</f>
        <v>Staff of the local agency to which I belonged very friendly and competent, but insurance does not know how to be there when the insured need it. A reimbursement of a hundred euros refused, would have been enough to keep the confidence that I had in you</v>
      </c>
    </row>
    <row r="403" ht="15.75" customHeight="1">
      <c r="B403" s="2" t="s">
        <v>1222</v>
      </c>
      <c r="C403" s="2" t="s">
        <v>1223</v>
      </c>
      <c r="D403" s="2" t="s">
        <v>1192</v>
      </c>
      <c r="E403" s="2" t="s">
        <v>14</v>
      </c>
      <c r="F403" s="2" t="s">
        <v>15</v>
      </c>
      <c r="G403" s="2" t="s">
        <v>1224</v>
      </c>
      <c r="H403" s="2" t="s">
        <v>230</v>
      </c>
      <c r="I403" s="2" t="str">
        <f>IFERROR(__xludf.DUMMYFUNCTION("GOOGLETRANSLATE(C403,""fr"",""en"")"),"After being flooded on August 13, we are still not compensated. The advisers are not at all professionalsl. They leave customers unanswered and when we call them they never know how to answer us. In short, real charlot. I strongly advise against Allianz i"&amp;"nsurance.")</f>
        <v>After being flooded on August 13, we are still not compensated. The advisers are not at all professionalsl. They leave customers unanswered and when we call them they never know how to answer us. In short, real charlot. I strongly advise against Allianz insurance.</v>
      </c>
    </row>
    <row r="404" ht="15.75" customHeight="1">
      <c r="B404" s="2" t="s">
        <v>1225</v>
      </c>
      <c r="C404" s="2" t="s">
        <v>1226</v>
      </c>
      <c r="D404" s="2" t="s">
        <v>1192</v>
      </c>
      <c r="E404" s="2" t="s">
        <v>14</v>
      </c>
      <c r="F404" s="2" t="s">
        <v>15</v>
      </c>
      <c r="G404" s="2" t="s">
        <v>1090</v>
      </c>
      <c r="H404" s="2" t="s">
        <v>230</v>
      </c>
      <c r="I404" s="2" t="str">
        <f>IFERROR(__xludf.DUMMYFUNCTION("GOOGLETRANSLATE(C404,""fr"",""en"")"),"Allianz is top perfo for high prices and the commercial approach.
In the event of a claim you are alone, all the arguments and this in a manner in total disrespect of the customer, you will tighten.
I leave this insurance forever or I have paid for tens"&amp;" years and a problem of refusal to pay the first water damage.
Zero lamentable")</f>
        <v>Allianz is top perfo for high prices and the commercial approach.
In the event of a claim you are alone, all the arguments and this in a manner in total disrespect of the customer, you will tighten.
I leave this insurance forever or I have paid for tens years and a problem of refusal to pay the first water damage.
Zero lamentable</v>
      </c>
    </row>
    <row r="405" ht="15.75" customHeight="1">
      <c r="B405" s="2" t="s">
        <v>1227</v>
      </c>
      <c r="C405" s="2" t="s">
        <v>1228</v>
      </c>
      <c r="D405" s="2" t="s">
        <v>1192</v>
      </c>
      <c r="E405" s="2" t="s">
        <v>14</v>
      </c>
      <c r="F405" s="2" t="s">
        <v>15</v>
      </c>
      <c r="G405" s="2" t="s">
        <v>1229</v>
      </c>
      <c r="H405" s="2" t="s">
        <v>230</v>
      </c>
      <c r="I405" s="2" t="str">
        <f>IFERROR(__xludf.DUMMYFUNCTION("GOOGLETRANSLATE(C405,""fr"",""en"")"),"After almost 20 years at AGF then Allianz I do not recommend this too expensive insurance compared to the lack of professionalism that the team shows. Extremely disappointed with the lack of reactivity of allianz professionalism whose service has deterior"&amp;"ated to end up being almost non -existent.
The agents oscillate between unwelcome intentions, your peremptory and inquisitor, lack of tact and unjustified length and then decreed law forfeiture on disaster because of approaches which have not been proper"&amp;"ly explained upstream by their own agents and therefore poorly executed.")</f>
        <v>After almost 20 years at AGF then Allianz I do not recommend this too expensive insurance compared to the lack of professionalism that the team shows. Extremely disappointed with the lack of reactivity of allianz professionalism whose service has deteriorated to end up being almost non -existent.
The agents oscillate between unwelcome intentions, your peremptory and inquisitor, lack of tact and unjustified length and then decreed law forfeiture on disaster because of approaches which have not been properly explained upstream by their own agents and therefore poorly executed.</v>
      </c>
    </row>
    <row r="406" ht="15.75" customHeight="1">
      <c r="B406" s="2" t="s">
        <v>1230</v>
      </c>
      <c r="C406" s="2" t="s">
        <v>1231</v>
      </c>
      <c r="D406" s="2" t="s">
        <v>1192</v>
      </c>
      <c r="E406" s="2" t="s">
        <v>14</v>
      </c>
      <c r="F406" s="2" t="s">
        <v>15</v>
      </c>
      <c r="G406" s="2" t="s">
        <v>543</v>
      </c>
      <c r="H406" s="2" t="s">
        <v>246</v>
      </c>
      <c r="I406" s="2" t="str">
        <f>IFERROR(__xludf.DUMMYFUNCTION("GOOGLETRANSLATE(C406,""fr"",""en"")"),"To flee absolutely! I had a window broken by firefighters in 2018 due to carbon monoxide suspicion. I called the sinister service several times which hammered me for weeks that it was my franchise which should work (which was the price of the window ...)."&amp;" I go to ""my ALLIANZ ATTITY AGENCY"" to ask them for more info, I was thrown away like a malproprus because I quote ""I should not subscribe to a contract on the Internet at the same time !!"" While I am well supposed to be affiliated with this agency .."&amp;". it was I who had to look for in the insurance code and do their job by finding that it was my owner's assurance to pay. A shame !!")</f>
        <v>To flee absolutely! I had a window broken by firefighters in 2018 due to carbon monoxide suspicion. I called the sinister service several times which hammered me for weeks that it was my franchise which should work (which was the price of the window ...). I go to "my ALLIANZ ATTITY AGENCY" to ask them for more info, I was thrown away like a malproprus because I quote "I should not subscribe to a contract on the Internet at the same time !!" While I am well supposed to be affiliated with this agency ... it was I who had to look for in the insurance code and do their job by finding that it was my owner's assurance to pay. A shame !!</v>
      </c>
    </row>
    <row r="407" ht="15.75" customHeight="1">
      <c r="B407" s="2" t="s">
        <v>1232</v>
      </c>
      <c r="C407" s="2" t="s">
        <v>1233</v>
      </c>
      <c r="D407" s="2" t="s">
        <v>1192</v>
      </c>
      <c r="E407" s="2" t="s">
        <v>14</v>
      </c>
      <c r="F407" s="2" t="s">
        <v>15</v>
      </c>
      <c r="G407" s="2" t="s">
        <v>1234</v>
      </c>
      <c r="H407" s="2" t="s">
        <v>253</v>
      </c>
      <c r="I407" s="2" t="str">
        <f>IFERROR(__xludf.DUMMYFUNCTION("GOOGLETRANSLATE(C407,""fr"",""en"")"),"A star is expensive paid. The CGOS (complementary retirement of the hospital) is part of the Allianz group, since September Self we are walking, still no result. In addition I want to terminate home insurance is the obstacle course.")</f>
        <v>A star is expensive paid. The CGOS (complementary retirement of the hospital) is part of the Allianz group, since September Self we are walking, still no result. In addition I want to terminate home insurance is the obstacle course.</v>
      </c>
    </row>
    <row r="408" ht="15.75" customHeight="1">
      <c r="B408" s="2" t="s">
        <v>1235</v>
      </c>
      <c r="C408" s="2" t="s">
        <v>1236</v>
      </c>
      <c r="D408" s="2" t="s">
        <v>1192</v>
      </c>
      <c r="E408" s="2" t="s">
        <v>14</v>
      </c>
      <c r="F408" s="2" t="s">
        <v>15</v>
      </c>
      <c r="G408" s="2" t="s">
        <v>1237</v>
      </c>
      <c r="H408" s="2" t="s">
        <v>269</v>
      </c>
      <c r="I408" s="2" t="str">
        <f>IFERROR(__xludf.DUMMYFUNCTION("GOOGLETRANSLATE(C408,""fr"",""en"")"),"Victim of a fire sinister, I am very disappointed with the processing of my file and exasperated by the behavior of Allianz after 9 months of procedure. I strongly advise you to find more serious insurance that really accompanies you in the event of a cla"&amp;"im")</f>
        <v>Victim of a fire sinister, I am very disappointed with the processing of my file and exasperated by the behavior of Allianz after 9 months of procedure. I strongly advise you to find more serious insurance that really accompanies you in the event of a claim</v>
      </c>
    </row>
    <row r="409" ht="15.75" customHeight="1">
      <c r="B409" s="2" t="s">
        <v>1238</v>
      </c>
      <c r="C409" s="2" t="s">
        <v>1239</v>
      </c>
      <c r="D409" s="2" t="s">
        <v>1192</v>
      </c>
      <c r="E409" s="2" t="s">
        <v>14</v>
      </c>
      <c r="F409" s="2" t="s">
        <v>15</v>
      </c>
      <c r="G409" s="2" t="s">
        <v>1240</v>
      </c>
      <c r="H409" s="2" t="s">
        <v>269</v>
      </c>
      <c r="I409" s="2" t="str">
        <f>IFERROR(__xludf.DUMMYFUNCTION("GOOGLETRANSLATE(C409,""fr"",""en"")"),"To flee I had a flood in 2018 natural catastrophe 25cm of water in my house for 2 days he sends an expert all goes well all and nine results of the races she returned 3 times my agency and lost the expertise lol And since 2018 I have been waiting for a re"&amp;"fund of my appointment which took the water to flee")</f>
        <v>To flee I had a flood in 2018 natural catastrophe 25cm of water in my house for 2 days he sends an expert all goes well all and nine results of the races she returned 3 times my agency and lost the expertise lol And since 2018 I have been waiting for a refund of my appointment which took the water to flee</v>
      </c>
    </row>
    <row r="410" ht="15.75" customHeight="1">
      <c r="B410" s="2" t="s">
        <v>1241</v>
      </c>
      <c r="C410" s="2" t="s">
        <v>1242</v>
      </c>
      <c r="D410" s="2" t="s">
        <v>1192</v>
      </c>
      <c r="E410" s="2" t="s">
        <v>14</v>
      </c>
      <c r="F410" s="2" t="s">
        <v>15</v>
      </c>
      <c r="G410" s="2" t="s">
        <v>1243</v>
      </c>
      <c r="H410" s="2" t="s">
        <v>554</v>
      </c>
      <c r="I410" s="2" t="str">
        <f>IFERROR(__xludf.DUMMYFUNCTION("GOOGLETRANSLATE(C410,""fr"",""en"")"),"I have been a customer with Allianz since 2003, both from a professional and personal point of view. They are always quick to take the money, but to get it out in case of glitch, there are still clauses so that they are not taken care of. A shame !
Regar"&amp;"ding the pro, my bank offered me an equivalent contract but with much better guarantees, I therefore terminate the pro.
And I'm going to do the same with the home.")</f>
        <v>I have been a customer with Allianz since 2003, both from a professional and personal point of view. They are always quick to take the money, but to get it out in case of glitch, there are still clauses so that they are not taken care of. A shame !
Regarding the pro, my bank offered me an equivalent contract but with much better guarantees, I therefore terminate the pro.
And I'm going to do the same with the home.</v>
      </c>
    </row>
    <row r="411" ht="15.75" customHeight="1">
      <c r="B411" s="2" t="s">
        <v>1244</v>
      </c>
      <c r="C411" s="2" t="s">
        <v>1245</v>
      </c>
      <c r="D411" s="2" t="s">
        <v>1192</v>
      </c>
      <c r="E411" s="2" t="s">
        <v>14</v>
      </c>
      <c r="F411" s="2" t="s">
        <v>15</v>
      </c>
      <c r="G411" s="2" t="s">
        <v>1246</v>
      </c>
      <c r="H411" s="2" t="s">
        <v>277</v>
      </c>
      <c r="I411" s="2" t="str">
        <f>IFERROR(__xludf.DUMMYFUNCTION("GOOGLETRANSLATE(C411,""fr"",""en"")"),"I have no followed on my file .. my broker went back to retirement I recycled a rar ;; I have been paying for 15 years without delay .. I am not like")</f>
        <v>I have no followed on my file .. my broker went back to retirement I recycled a rar ;; I have been paying for 15 years without delay .. I am not like</v>
      </c>
    </row>
    <row r="412" ht="15.75" customHeight="1">
      <c r="B412" s="2" t="s">
        <v>1247</v>
      </c>
      <c r="C412" s="2" t="s">
        <v>1248</v>
      </c>
      <c r="D412" s="2" t="s">
        <v>1192</v>
      </c>
      <c r="E412" s="2" t="s">
        <v>14</v>
      </c>
      <c r="F412" s="2" t="s">
        <v>15</v>
      </c>
      <c r="G412" s="2" t="s">
        <v>1249</v>
      </c>
      <c r="H412" s="2" t="s">
        <v>284</v>
      </c>
      <c r="I412" s="2" t="str">
        <f>IFERROR(__xludf.DUMMYFUNCTION("GOOGLETRANSLATE(C412,""fr"",""en"")"),"Very bad experience! I was robbed my electric bike in my shed (in my garden) and Allianz do not reimburse me on the pretext that it was closed by a padlock and not a lock! They will not be taken over with this group")</f>
        <v>Very bad experience! I was robbed my electric bike in my shed (in my garden) and Allianz do not reimburse me on the pretext that it was closed by a padlock and not a lock! They will not be taken over with this group</v>
      </c>
    </row>
    <row r="413" ht="15.75" customHeight="1">
      <c r="B413" s="2" t="s">
        <v>1250</v>
      </c>
      <c r="C413" s="2" t="s">
        <v>1251</v>
      </c>
      <c r="D413" s="2" t="s">
        <v>1192</v>
      </c>
      <c r="E413" s="2" t="s">
        <v>14</v>
      </c>
      <c r="F413" s="2" t="s">
        <v>15</v>
      </c>
      <c r="G413" s="2" t="s">
        <v>1252</v>
      </c>
      <c r="H413" s="2" t="s">
        <v>307</v>
      </c>
      <c r="I413" s="2" t="str">
        <f>IFERROR(__xludf.DUMMYFUNCTION("GOOGLETRANSLATE(C413,""fr"",""en"")"),"Hello. I too find this company expensive and that does the least possible to satisfy its customers. I would like to choose another company to ensure the building I owner with two other owners who agree with me to change. What insurance company would you a"&amp;"dvise me? Thanks in advance")</f>
        <v>Hello. I too find this company expensive and that does the least possible to satisfy its customers. I would like to choose another company to ensure the building I owner with two other owners who agree with me to change. What insurance company would you advise me? Thanks in advance</v>
      </c>
    </row>
    <row r="414" ht="15.75" customHeight="1">
      <c r="B414" s="2" t="s">
        <v>1253</v>
      </c>
      <c r="C414" s="2" t="s">
        <v>1254</v>
      </c>
      <c r="D414" s="2" t="s">
        <v>1192</v>
      </c>
      <c r="E414" s="2" t="s">
        <v>14</v>
      </c>
      <c r="F414" s="2" t="s">
        <v>15</v>
      </c>
      <c r="G414" s="2" t="s">
        <v>1255</v>
      </c>
      <c r="H414" s="2" t="s">
        <v>339</v>
      </c>
      <c r="I414" s="2" t="str">
        <f>IFERROR(__xludf.DUMMYFUNCTION("GOOGLETRANSLATE(C414,""fr"",""en"")"),"Customer service really not fast since May 12 I have done twice the approach for a claim on their site and still not received a response to them from them I left three emails to my agency for a leak water in my kitchen which has completely damaged my parq"&amp;"uet")</f>
        <v>Customer service really not fast since May 12 I have done twice the approach for a claim on their site and still not received a response to them from them I left three emails to my agency for a leak water in my kitchen which has completely damaged my parquet</v>
      </c>
    </row>
    <row r="415" ht="15.75" customHeight="1">
      <c r="B415" s="2" t="s">
        <v>1256</v>
      </c>
      <c r="C415" s="2" t="s">
        <v>1257</v>
      </c>
      <c r="D415" s="2" t="s">
        <v>1192</v>
      </c>
      <c r="E415" s="2" t="s">
        <v>14</v>
      </c>
      <c r="F415" s="2" t="s">
        <v>15</v>
      </c>
      <c r="G415" s="2" t="s">
        <v>1258</v>
      </c>
      <c r="H415" s="2" t="s">
        <v>339</v>
      </c>
      <c r="I415" s="2" t="str">
        <f>IFERROR(__xludf.DUMMYFUNCTION("GOOGLETRANSLATE(C415,""fr"",""en"")"),"Catastrophic company. I went through their agent located at La Teste (BRU cabinet) and it all started badly: sample in duplicate for more than a year of a guarantee and this despite an email at the origin of my very explanatory part. Refund after one year"&amp;" without excuse
Auto contract redone after a year because the main driver mentioned was not the right one instead of making a simple amendment, the agent redid a new contract that we immediately refused because not allowing us to benefit from The Hamon l"&amp;"aw we have signed nothing and the agent and the company tries to intimidate us by invoking a termination for non -payment, except that we have been insured elsewhere for more than 3 months
No interest in working with them because it is impossible to have"&amp;" another interlocutor than a platform
In short, this type of company and a ghost interlocutor is now to be avoided by all means")</f>
        <v>Catastrophic company. I went through their agent located at La Teste (BRU cabinet) and it all started badly: sample in duplicate for more than a year of a guarantee and this despite an email at the origin of my very explanatory part. Refund after one year without excuse
Auto contract redone after a year because the main driver mentioned was not the right one instead of making a simple amendment, the agent redid a new contract that we immediately refused because not allowing us to benefit from The Hamon law we have signed nothing and the agent and the company tries to intimidate us by invoking a termination for non -payment, except that we have been insured elsewhere for more than 3 months
No interest in working with them because it is impossible to have another interlocutor than a platform
In short, this type of company and a ghost interlocutor is now to be avoided by all means</v>
      </c>
    </row>
    <row r="416" ht="15.75" customHeight="1">
      <c r="B416" s="2" t="s">
        <v>1259</v>
      </c>
      <c r="C416" s="2" t="s">
        <v>1260</v>
      </c>
      <c r="D416" s="2" t="s">
        <v>1192</v>
      </c>
      <c r="E416" s="2" t="s">
        <v>14</v>
      </c>
      <c r="F416" s="2" t="s">
        <v>15</v>
      </c>
      <c r="G416" s="2" t="s">
        <v>1261</v>
      </c>
      <c r="H416" s="2" t="s">
        <v>17</v>
      </c>
      <c r="I416" s="2" t="str">
        <f>IFERROR(__xludf.DUMMYFUNCTION("GOOGLETRANSLATE(C416,""fr"",""en"")"),"Afterwards was to insure them for a few years, I had a disaster. Storm. The total 9000 euro damage. New premium for the year after, to mount with 300%, from 2,600 euro to 7,800 euro, and they are only to pay 2,200 euro for the loss")</f>
        <v>Afterwards was to insure them for a few years, I had a disaster. Storm. The total 9000 euro damage. New premium for the year after, to mount with 300%, from 2,600 euro to 7,800 euro, and they are only to pay 2,200 euro for the loss</v>
      </c>
    </row>
    <row r="417" ht="15.75" customHeight="1">
      <c r="B417" s="2" t="s">
        <v>1262</v>
      </c>
      <c r="C417" s="2" t="s">
        <v>1263</v>
      </c>
      <c r="D417" s="2" t="s">
        <v>1192</v>
      </c>
      <c r="E417" s="2" t="s">
        <v>14</v>
      </c>
      <c r="F417" s="2" t="s">
        <v>15</v>
      </c>
      <c r="G417" s="2" t="s">
        <v>1264</v>
      </c>
      <c r="H417" s="2" t="s">
        <v>17</v>
      </c>
      <c r="I417" s="2" t="str">
        <f>IFERROR(__xludf.DUMMYFUNCTION("GOOGLETRANSLATE(C417,""fr"",""en"")"),"I left this insurance a year ago for budgetary reasons to go to postal bank, I regret it, because the quality of service at La Poste is Zero next to Allianz, I am waiting for the end of my contract to return")</f>
        <v>I left this insurance a year ago for budgetary reasons to go to postal bank, I regret it, because the quality of service at La Poste is Zero next to Allianz, I am waiting for the end of my contract to return</v>
      </c>
    </row>
    <row r="418" ht="15.75" customHeight="1">
      <c r="B418" s="2" t="s">
        <v>1265</v>
      </c>
      <c r="C418" s="2" t="s">
        <v>1266</v>
      </c>
      <c r="D418" s="2" t="s">
        <v>1192</v>
      </c>
      <c r="E418" s="2" t="s">
        <v>14</v>
      </c>
      <c r="F418" s="2" t="s">
        <v>15</v>
      </c>
      <c r="G418" s="2" t="s">
        <v>1267</v>
      </c>
      <c r="H418" s="2" t="s">
        <v>21</v>
      </c>
      <c r="I418" s="2" t="str">
        <f>IFERROR(__xludf.DUMMYFUNCTION("GOOGLETRANSLATE(C418,""fr"",""en"")"),"I made a simulation on a price comparison and the proposal was much lower than that proposed for a renewal of a sinister contract, even with amendment. Shame.")</f>
        <v>I made a simulation on a price comparison and the proposal was much lower than that proposed for a renewal of a sinister contract, even with amendment. Shame.</v>
      </c>
    </row>
    <row r="419" ht="15.75" customHeight="1">
      <c r="B419" s="2" t="s">
        <v>1268</v>
      </c>
      <c r="C419" s="2" t="s">
        <v>1269</v>
      </c>
      <c r="D419" s="2" t="s">
        <v>1192</v>
      </c>
      <c r="E419" s="2" t="s">
        <v>14</v>
      </c>
      <c r="F419" s="2" t="s">
        <v>15</v>
      </c>
      <c r="G419" s="2" t="s">
        <v>1270</v>
      </c>
      <c r="H419" s="2" t="s">
        <v>349</v>
      </c>
      <c r="I419" s="2" t="str">
        <f>IFERROR(__xludf.DUMMYFUNCTION("GOOGLETRANSLATE(C419,""fr"",""en"")"),"After several years at home, I wanted to terminate my subscription as the Hamon law allows me.
However, after several refusals and several months of battles, they agreed to terminate my contract but forced me to pay an additional year and my litigation f"&amp;"ees.
To flee as quickly as possible, companies that despise their customers should no longer have the right to exercise.")</f>
        <v>After several years at home, I wanted to terminate my subscription as the Hamon law allows me.
However, after several refusals and several months of battles, they agreed to terminate my contract but forced me to pay an additional year and my litigation fees.
To flee as quickly as possible, companies that despise their customers should no longer have the right to exercise.</v>
      </c>
    </row>
    <row r="420" ht="15.75" customHeight="1">
      <c r="B420" s="2" t="s">
        <v>1271</v>
      </c>
      <c r="C420" s="2" t="s">
        <v>1272</v>
      </c>
      <c r="D420" s="2" t="s">
        <v>1192</v>
      </c>
      <c r="E420" s="2" t="s">
        <v>14</v>
      </c>
      <c r="F420" s="2" t="s">
        <v>15</v>
      </c>
      <c r="G420" s="2" t="s">
        <v>1273</v>
      </c>
      <c r="H420" s="2" t="s">
        <v>27</v>
      </c>
      <c r="I420" s="2" t="str">
        <f>IFERROR(__xludf.DUMMYFUNCTION("GOOGLETRANSLATE(C420,""fr"",""en"")"),"Allianz did not inform his insured of a failure of the COUTIER")</f>
        <v>Allianz did not inform his insured of a failure of the COUTIER</v>
      </c>
    </row>
    <row r="421" ht="15.75" customHeight="1">
      <c r="B421" s="2" t="s">
        <v>1274</v>
      </c>
      <c r="C421" s="2" t="s">
        <v>1275</v>
      </c>
      <c r="D421" s="2" t="s">
        <v>1192</v>
      </c>
      <c r="E421" s="2" t="s">
        <v>14</v>
      </c>
      <c r="F421" s="2" t="s">
        <v>15</v>
      </c>
      <c r="G421" s="2" t="s">
        <v>1276</v>
      </c>
      <c r="H421" s="2" t="s">
        <v>46</v>
      </c>
      <c r="I421" s="2" t="str">
        <f>IFERROR(__xludf.DUMMYFUNCTION("GOOGLETRANSLATE(C421,""fr"",""en"")"),"Following a sinister flood type dated July 04, 2018, to date we have still not had financial compensation or the least response to our email in charge of compensation. We waited for an expert to note the damage that never came .... so we have kept for wee"&amp;"ks in summer, furniture rotten by waters for nothing. We were asked for invoices and estimates, which we sent. But to this day we do not know how high we will be reimbursed or when .... Know that Allianz is a private establishment that does not allow itse"&amp;"lf to respond to emails, and to leave its customers in silence and embarrassment. Our agent seems helpless. Are we only good to be taken from contributions ??? I do not recommend Allianz insurance because no one is immune to an accident or a disaster ....")</f>
        <v>Following a sinister flood type dated July 04, 2018, to date we have still not had financial compensation or the least response to our email in charge of compensation. We waited for an expert to note the damage that never came .... so we have kept for weeks in summer, furniture rotten by waters for nothing. We were asked for invoices and estimates, which we sent. But to this day we do not know how high we will be reimbursed or when .... Know that Allianz is a private establishment that does not allow itself to respond to emails, and to leave its customers in silence and embarrassment. Our agent seems helpless. Are we only good to be taken from contributions ??? I do not recommend Allianz insurance because no one is immune to an accident or a disaster ....</v>
      </c>
    </row>
    <row r="422" ht="15.75" customHeight="1">
      <c r="B422" s="2" t="s">
        <v>1277</v>
      </c>
      <c r="C422" s="2" t="s">
        <v>1278</v>
      </c>
      <c r="D422" s="2" t="s">
        <v>1192</v>
      </c>
      <c r="E422" s="2" t="s">
        <v>14</v>
      </c>
      <c r="F422" s="2" t="s">
        <v>15</v>
      </c>
      <c r="G422" s="2" t="s">
        <v>1279</v>
      </c>
      <c r="H422" s="2" t="s">
        <v>59</v>
      </c>
      <c r="I422" s="2" t="str">
        <f>IFERROR(__xludf.DUMMYFUNCTION("GOOGLETRANSLATE(C422,""fr"",""en"")"),"Like a lot of others, at the beginning everything is bathed, after a first glitch we realize that the platform is not managing big incompetent draws, moreover even communication with their own agents is pitiful, lamentable .... to flee or Avoid. Too bad I"&amp;" had 8 contracts ....")</f>
        <v>Like a lot of others, at the beginning everything is bathed, after a first glitch we realize that the platform is not managing big incompetent draws, moreover even communication with their own agents is pitiful, lamentable .... to flee or Avoid. Too bad I had 8 contracts ....</v>
      </c>
    </row>
    <row r="423" ht="15.75" customHeight="1">
      <c r="B423" s="2" t="s">
        <v>1280</v>
      </c>
      <c r="C423" s="2" t="s">
        <v>1281</v>
      </c>
      <c r="D423" s="2" t="s">
        <v>1192</v>
      </c>
      <c r="E423" s="2" t="s">
        <v>14</v>
      </c>
      <c r="F423" s="2" t="s">
        <v>15</v>
      </c>
      <c r="G423" s="2" t="s">
        <v>1282</v>
      </c>
      <c r="H423" s="2" t="s">
        <v>66</v>
      </c>
      <c r="I423" s="2" t="str">
        <f>IFERROR(__xludf.DUMMYFUNCTION("GOOGLETRANSLATE(C423,""fr"",""en"")"),"Extreme slowness to be reimbursed. It's been 2 months that an orange did damage to us and after led us by boat during the summer, Allianz wants us to be checked by an agency ... They impose an hour of passage when we do not 'is not with us ...")</f>
        <v>Extreme slowness to be reimbursed. It's been 2 months that an orange did damage to us and after led us by boat during the summer, Allianz wants us to be checked by an agency ... They impose an hour of passage when we do not 'is not with us ...</v>
      </c>
    </row>
    <row r="424" ht="15.75" customHeight="1">
      <c r="B424" s="2" t="s">
        <v>1283</v>
      </c>
      <c r="C424" s="2" t="s">
        <v>1284</v>
      </c>
      <c r="D424" s="2" t="s">
        <v>1192</v>
      </c>
      <c r="E424" s="2" t="s">
        <v>14</v>
      </c>
      <c r="F424" s="2" t="s">
        <v>15</v>
      </c>
      <c r="G424" s="2" t="s">
        <v>362</v>
      </c>
      <c r="H424" s="2" t="s">
        <v>66</v>
      </c>
      <c r="I424" s="2" t="str">
        <f>IFERROR(__xludf.DUMMYFUNCTION("GOOGLETRANSLATE(C424,""fr"",""en"")"),"30 % increase in 1 year, a real scandal because I fell into a DIY store because of a jar of paint overturned and not reported, it was 3 years ago and I still have nothing Touched (obviously Allianz is also the insurer of the big brand) but it is the victi"&amp;"ms who pay the broken pots. Insurers are not philantrops but there after 20 years of contributions it is Ecoeurant !!!")</f>
        <v>30 % increase in 1 year, a real scandal because I fell into a DIY store because of a jar of paint overturned and not reported, it was 3 years ago and I still have nothing Touched (obviously Allianz is also the insurer of the big brand) but it is the victims who pay the broken pots. Insurers are not philantrops but there after 20 years of contributions it is Ecoeurant !!!</v>
      </c>
    </row>
    <row r="425" ht="15.75" customHeight="1">
      <c r="B425" s="2" t="s">
        <v>1285</v>
      </c>
      <c r="C425" s="2" t="s">
        <v>1286</v>
      </c>
      <c r="D425" s="2" t="s">
        <v>1192</v>
      </c>
      <c r="E425" s="2" t="s">
        <v>14</v>
      </c>
      <c r="F425" s="2" t="s">
        <v>15</v>
      </c>
      <c r="G425" s="2" t="s">
        <v>1287</v>
      </c>
      <c r="H425" s="2" t="s">
        <v>66</v>
      </c>
      <c r="I425" s="2" t="str">
        <f>IFERROR(__xludf.DUMMYFUNCTION("GOOGLETRANSLATE(C425,""fr"",""en"")"),"Hard to terminate (2 recommended letters: one was not removed, two emails, a phone call, a visit to the agency). All this to earn a month of subscription. Insurance to avoid !!!!!!!!")</f>
        <v>Hard to terminate (2 recommended letters: one was not removed, two emails, a phone call, a visit to the agency). All this to earn a month of subscription. Insurance to avoid !!!!!!!!</v>
      </c>
    </row>
    <row r="426" ht="15.75" customHeight="1">
      <c r="B426" s="2" t="s">
        <v>1288</v>
      </c>
      <c r="C426" s="2" t="s">
        <v>1289</v>
      </c>
      <c r="D426" s="2" t="s">
        <v>1192</v>
      </c>
      <c r="E426" s="2" t="s">
        <v>14</v>
      </c>
      <c r="F426" s="2" t="s">
        <v>15</v>
      </c>
      <c r="G426" s="2" t="s">
        <v>1290</v>
      </c>
      <c r="H426" s="2" t="s">
        <v>70</v>
      </c>
      <c r="I426" s="2" t="str">
        <f>IFERROR(__xludf.DUMMYFUNCTION("GOOGLETRANSLATE(C426,""fr"",""en"")"),"Following a move I call my agency for a change of situation, and I come across an aggressive and unpleasant advisor who offers me on the phone with prices that do not correspond to the prices in the contract she sent me by email. Following this I call the"&amp;" advisor to try to understand but she gets carried away and offers me to terminate the contract against my will.
I made a complaint on July 5 by email and by phone. I have relaunched customer service several times but in vain.
I also found that the advi"&amp;"sers are unpleasant.
I am still a customer with them for the moment but I plan to terminate in the coming days.
I advise against !")</f>
        <v>Following a move I call my agency for a change of situation, and I come across an aggressive and unpleasant advisor who offers me on the phone with prices that do not correspond to the prices in the contract she sent me by email. Following this I call the advisor to try to understand but she gets carried away and offers me to terminate the contract against my will.
I made a complaint on July 5 by email and by phone. I have relaunched customer service several times but in vain.
I also found that the advisers are unpleasant.
I am still a customer with them for the moment but I plan to terminate in the coming days.
I advise against !</v>
      </c>
    </row>
    <row r="427" ht="15.75" customHeight="1">
      <c r="B427" s="2" t="s">
        <v>1291</v>
      </c>
      <c r="C427" s="2" t="s">
        <v>1292</v>
      </c>
      <c r="D427" s="2" t="s">
        <v>1192</v>
      </c>
      <c r="E427" s="2" t="s">
        <v>14</v>
      </c>
      <c r="F427" s="2" t="s">
        <v>15</v>
      </c>
      <c r="G427" s="2" t="s">
        <v>1293</v>
      </c>
      <c r="H427" s="2" t="s">
        <v>70</v>
      </c>
      <c r="I427" s="2" t="str">
        <f>IFERROR(__xludf.DUMMYFUNCTION("GOOGLETRANSLATE(C427,""fr"",""en"")"),"To take 2 days to repay your insured ........ I don't know it's been a month since I wait ......")</f>
        <v>To take 2 days to repay your insured ........ I don't know it's been a month since I wait ......</v>
      </c>
    </row>
    <row r="428" ht="15.75" customHeight="1">
      <c r="B428" s="2" t="s">
        <v>1294</v>
      </c>
      <c r="C428" s="2" t="s">
        <v>1295</v>
      </c>
      <c r="D428" s="2" t="s">
        <v>1192</v>
      </c>
      <c r="E428" s="2" t="s">
        <v>14</v>
      </c>
      <c r="F428" s="2" t="s">
        <v>15</v>
      </c>
      <c r="G428" s="2" t="s">
        <v>1296</v>
      </c>
      <c r="H428" s="2" t="s">
        <v>74</v>
      </c>
      <c r="I428" s="2" t="str">
        <f>IFERROR(__xludf.DUMMYFUNCTION("GOOGLETRANSLATE(C428,""fr"",""en"")"),"Catastrophic
Error of amount while all the documents were sent to them within a week. At the time of writing, I still haven't received my green card. I had to call without lying at least 10 times ... I just recommend.
")</f>
        <v>Catastrophic
Error of amount while all the documents were sent to them within a week. At the time of writing, I still haven't received my green card. I had to call without lying at least 10 times ... I just recommend.
</v>
      </c>
    </row>
    <row r="429" ht="15.75" customHeight="1">
      <c r="B429" s="2" t="s">
        <v>1297</v>
      </c>
      <c r="C429" s="2" t="s">
        <v>1298</v>
      </c>
      <c r="D429" s="2" t="s">
        <v>1192</v>
      </c>
      <c r="E429" s="2" t="s">
        <v>14</v>
      </c>
      <c r="F429" s="2" t="s">
        <v>15</v>
      </c>
      <c r="G429" s="2" t="s">
        <v>590</v>
      </c>
      <c r="H429" s="2" t="s">
        <v>391</v>
      </c>
      <c r="I429" s="2" t="str">
        <f>IFERROR(__xludf.DUMMYFUNCTION("GOOGLETRANSLATE(C429,""fr"",""en"")"),"Believe me they are the worst people I had in my life. Customer service VIUS sends walking, the same for all other services.
Their agency in Arras on rue Saint Aubert is to be flee, 2 completely incompetent advisers. They are afraid to send the message t"&amp;"o their boss. Than demonstrations with these people.
That lies. They do not inform me in any way it is crazy especially when it is my file. I fell ill because of them.
Their dear director does not even answer you. I bite the language of having chosen th"&amp;"em, I did not make the right choice, it is certain. They hang up on the nose easily because I ask for details, lamentable and ignoble service. No respect for the customer than contempt, they smiles you at the time of signing the contract, after they crush"&amp;" you like insects. The French state must verify their way of working and manipulating customers. It's scandalous.
Poor quality customer service and litigation. I swear to you that they are all accomplices on the back of the poor customer.
That justice b"&amp;"e done and that the unjust be judged")</f>
        <v>Believe me they are the worst people I had in my life. Customer service VIUS sends walking, the same for all other services.
Their agency in Arras on rue Saint Aubert is to be flee, 2 completely incompetent advisers. They are afraid to send the message to their boss. Than demonstrations with these people.
That lies. They do not inform me in any way it is crazy especially when it is my file. I fell ill because of them.
Their dear director does not even answer you. I bite the language of having chosen them, I did not make the right choice, it is certain. They hang up on the nose easily because I ask for details, lamentable and ignoble service. No respect for the customer than contempt, they smiles you at the time of signing the contract, after they crush you like insects. The French state must verify their way of working and manipulating customers. It's scandalous.
Poor quality customer service and litigation. I swear to you that they are all accomplices on the back of the poor customer.
That justice be done and that the unjust be judged</v>
      </c>
    </row>
    <row r="430" ht="15.75" customHeight="1">
      <c r="B430" s="2" t="s">
        <v>1299</v>
      </c>
      <c r="C430" s="2" t="s">
        <v>1300</v>
      </c>
      <c r="D430" s="2" t="s">
        <v>1192</v>
      </c>
      <c r="E430" s="2" t="s">
        <v>14</v>
      </c>
      <c r="F430" s="2" t="s">
        <v>15</v>
      </c>
      <c r="G430" s="2" t="s">
        <v>394</v>
      </c>
      <c r="H430" s="2" t="s">
        <v>395</v>
      </c>
      <c r="I430" s="2" t="str">
        <f>IFERROR(__xludf.DUMMYFUNCTION("GOOGLETRANSLATE(C430,""fr"",""en"")"),"Following a telephone exchange with Allianz customer service. I am still shocked by the attitude of the agency's interlocutor. I was veiled verbally when I had just introduced myself. He then hang up on the nose.
Scandalous.")</f>
        <v>Following a telephone exchange with Allianz customer service. I am still shocked by the attitude of the agency's interlocutor. I was veiled verbally when I had just introduced myself. He then hang up on the nose.
Scandalous.</v>
      </c>
    </row>
    <row r="431" ht="15.75" customHeight="1">
      <c r="B431" s="2" t="s">
        <v>1301</v>
      </c>
      <c r="C431" s="2" t="s">
        <v>1302</v>
      </c>
      <c r="D431" s="2" t="s">
        <v>1192</v>
      </c>
      <c r="E431" s="2" t="s">
        <v>14</v>
      </c>
      <c r="F431" s="2" t="s">
        <v>15</v>
      </c>
      <c r="G431" s="2" t="s">
        <v>595</v>
      </c>
      <c r="H431" s="2" t="s">
        <v>395</v>
      </c>
      <c r="I431" s="2" t="str">
        <f>IFERROR(__xludf.DUMMYFUNCTION("GOOGLETRANSLATE(C431,""fr"",""en"")"),"I am still in conflict with them following a sinister burglary and it has been going on for a year and a half! No support, no intervention, I had to fend for myself to secure my house when I was 800 km! No settlement either, even for invoices validated by"&amp;" the expert and icing on the cake, increase in the premium at the following deadline, for shabby conditions ... I therefore terminated")</f>
        <v>I am still in conflict with them following a sinister burglary and it has been going on for a year and a half! No support, no intervention, I had to fend for myself to secure my house when I was 800 km! No settlement either, even for invoices validated by the expert and icing on the cake, increase in the premium at the following deadline, for shabby conditions ... I therefore terminated</v>
      </c>
    </row>
    <row r="432" ht="15.75" customHeight="1">
      <c r="B432" s="2" t="s">
        <v>1303</v>
      </c>
      <c r="C432" s="2" t="s">
        <v>1304</v>
      </c>
      <c r="D432" s="2" t="s">
        <v>1192</v>
      </c>
      <c r="E432" s="2" t="s">
        <v>14</v>
      </c>
      <c r="F432" s="2" t="s">
        <v>15</v>
      </c>
      <c r="G432" s="2" t="s">
        <v>1305</v>
      </c>
      <c r="H432" s="2" t="s">
        <v>409</v>
      </c>
      <c r="I432" s="2" t="str">
        <f>IFERROR(__xludf.DUMMYFUNCTION("GOOGLETRANSLATE(C432,""fr"",""en"")"),"This insurance does not respect the rules, she never sent me a contribution request (however compulsory before the deadline for my insurance) and after 4 months she claims contributions ..... I replied that he was one A little late to wake up and that it "&amp;"was illegal because without notice of subscription which would have allowed me to terminate if necessary. I was called all names. TO FLEE")</f>
        <v>This insurance does not respect the rules, she never sent me a contribution request (however compulsory before the deadline for my insurance) and after 4 months she claims contributions ..... I replied that he was one A little late to wake up and that it was illegal because without notice of subscription which would have allowed me to terminate if necessary. I was called all names. TO FLEE</v>
      </c>
    </row>
    <row r="433" ht="15.75" customHeight="1">
      <c r="B433" s="2" t="s">
        <v>1306</v>
      </c>
      <c r="C433" s="2" t="s">
        <v>1307</v>
      </c>
      <c r="D433" s="2" t="s">
        <v>1192</v>
      </c>
      <c r="E433" s="2" t="s">
        <v>14</v>
      </c>
      <c r="F433" s="2" t="s">
        <v>15</v>
      </c>
      <c r="G433" s="2" t="s">
        <v>1308</v>
      </c>
      <c r="H433" s="2" t="s">
        <v>409</v>
      </c>
      <c r="I433" s="2" t="str">
        <f>IFERROR(__xludf.DUMMYFUNCTION("GOOGLETRANSLATE(C433,""fr"",""en"")"),"2 claims damage works open through my trustee, the two closed without unremidity: the first (flood), on the pretext that I had the leak repaired by a professional before the passage of the expert (I would have Stay 3 months with the swimming pool at home)"&amp;" so they refuse to take care of the damage. The second water infiltration in the roof, the same does not care because for the moment there is no risk of falling wood on the inhabitants and that it is only visual !!!
Thank you Allianz for your bad liver"&amp;", don't worry I will advertise you around me :-)
If you have problems contact the LDDA which will help you make them pay what they owe you.")</f>
        <v>2 claims damage works open through my trustee, the two closed without unremidity: the first (flood), on the pretext that I had the leak repaired by a professional before the passage of the expert (I would have Stay 3 months with the swimming pool at home) so they refuse to take care of the damage. The second water infiltration in the roof, the same does not care because for the moment there is no risk of falling wood on the inhabitants and that it is only visual !!!
Thank you Allianz for your bad liver, don't worry I will advertise you around me :-)
If you have problems contact the LDDA which will help you make them pay what they owe you.</v>
      </c>
    </row>
    <row r="434" ht="15.75" customHeight="1">
      <c r="B434" s="2" t="s">
        <v>1309</v>
      </c>
      <c r="C434" s="2" t="s">
        <v>1310</v>
      </c>
      <c r="D434" s="2" t="s">
        <v>1192</v>
      </c>
      <c r="E434" s="2" t="s">
        <v>14</v>
      </c>
      <c r="F434" s="2" t="s">
        <v>15</v>
      </c>
      <c r="G434" s="2" t="s">
        <v>1311</v>
      </c>
      <c r="H434" s="2" t="s">
        <v>92</v>
      </c>
      <c r="I434" s="2" t="str">
        <f>IFERROR(__xludf.DUMMYFUNCTION("GOOGLETRANSLATE(C434,""fr"",""en"")"),"I had a caravan of 6 places parked in the park of a society ... She served me in fine weather. This caravan was stolen. Remaining was given to the gendarmerie of the place by the park manager .. I point out that the said container all the necessary ... sl"&amp;"eeping ...cuisine ... and all the outdoor furniture that you can imagine .... !!! Installation TV with Telescopic mat etc ... etc ... Allianz only consented to me with the contact that I had in this case was negative and above all aggressive contesting ev"&amp;"erything ... Following this result I changed insurance society ... Illico ... J 'I did well because the new societies .. for the same guarantee or even more .... my fact saves 850 euros per year .... the manager of the agency assured me ""that he was goin"&amp;"g to recover me"" .. ..On can still dream is not what .... ????")</f>
        <v>I had a caravan of 6 places parked in the park of a society ... She served me in fine weather. This caravan was stolen. Remaining was given to the gendarmerie of the place by the park manager .. I point out that the said container all the necessary ... sleeping ...cuisine ... and all the outdoor furniture that you can imagine .... !!! Installation TV with Telescopic mat etc ... etc ... Allianz only consented to me with the contact that I had in this case was negative and above all aggressive contesting everything ... Following this result I changed insurance society ... Illico ... J 'I did well because the new societies .. for the same guarantee or even more .... my fact saves 850 euros per year .... the manager of the agency assured me "that he was going to recover me" .. ..On can still dream is not what .... ????</v>
      </c>
    </row>
    <row r="435" ht="15.75" customHeight="1">
      <c r="B435" s="2" t="s">
        <v>1312</v>
      </c>
      <c r="C435" s="2" t="s">
        <v>1313</v>
      </c>
      <c r="D435" s="2" t="s">
        <v>1192</v>
      </c>
      <c r="E435" s="2" t="s">
        <v>14</v>
      </c>
      <c r="F435" s="2" t="s">
        <v>15</v>
      </c>
      <c r="G435" s="2" t="s">
        <v>1314</v>
      </c>
      <c r="H435" s="2" t="s">
        <v>460</v>
      </c>
      <c r="I435" s="2" t="str">
        <f>IFERROR(__xludf.DUMMYFUNCTION("GOOGLETRANSLATE(C435,""fr"",""en"")"),"Hello,
Following the Storm of March in Brittany and despite several recovery. Insurance is unable to produce a quote and for a portal a search for leak since that time as it is committed to doing it. Despite weekly reminders with the general agent of Les"&amp;"neven no response from the claims management center. The same is true of my body compensation file (n ° B1560500931) where before my refusal to accept compensation of 800 euros (while I have a cervical which has moved and which makes me suffer), I do not "&amp;"have no news. The insurer justifies this amount by telling me that their expert forgot to quantify the damage !!!! For an expert!")</f>
        <v>Hello,
Following the Storm of March in Brittany and despite several recovery. Insurance is unable to produce a quote and for a portal a search for leak since that time as it is committed to doing it. Despite weekly reminders with the general agent of Lesneven no response from the claims management center. The same is true of my body compensation file (n ° B1560500931) where before my refusal to accept compensation of 800 euros (while I have a cervical which has moved and which makes me suffer), I do not have no news. The insurer justifies this amount by telling me that their expert forgot to quantify the damage !!!! For an expert!</v>
      </c>
    </row>
    <row r="436" ht="15.75" customHeight="1">
      <c r="B436" s="2" t="s">
        <v>1315</v>
      </c>
      <c r="C436" s="2" t="s">
        <v>1316</v>
      </c>
      <c r="D436" s="2" t="s">
        <v>1192</v>
      </c>
      <c r="E436" s="2" t="s">
        <v>14</v>
      </c>
      <c r="F436" s="2" t="s">
        <v>15</v>
      </c>
      <c r="G436" s="2" t="s">
        <v>1317</v>
      </c>
      <c r="H436" s="2" t="s">
        <v>469</v>
      </c>
      <c r="I436" s="2" t="str">
        <f>IFERROR(__xludf.DUMMYFUNCTION("GOOGLETRANSLATE(C436,""fr"",""en"")"),"not at all competitive. It must be said that to be sponsor on the right and on the left it costs dearly to the detriment of our monthly payments")</f>
        <v>not at all competitive. It must be said that to be sponsor on the right and on the left it costs dearly to the detriment of our monthly payments</v>
      </c>
    </row>
    <row r="437" ht="15.75" customHeight="1">
      <c r="B437" s="2" t="s">
        <v>1318</v>
      </c>
      <c r="C437" s="2" t="s">
        <v>33</v>
      </c>
      <c r="D437" s="2" t="s">
        <v>1192</v>
      </c>
      <c r="E437" s="2" t="s">
        <v>14</v>
      </c>
      <c r="F437" s="2" t="s">
        <v>15</v>
      </c>
      <c r="G437" s="2" t="s">
        <v>1319</v>
      </c>
      <c r="H437" s="2" t="s">
        <v>145</v>
      </c>
      <c r="I437" s="2" t="str">
        <f>IFERROR(__xludf.DUMMYFUNCTION("GOOGLETRANSLATE(C437,""fr"",""en"")"),"Intervention deleted at the request of the Internet user.")</f>
        <v>Intervention deleted at the request of the Internet user.</v>
      </c>
    </row>
    <row r="438" ht="15.75" customHeight="1">
      <c r="B438" s="2" t="s">
        <v>1320</v>
      </c>
      <c r="C438" s="2" t="s">
        <v>1321</v>
      </c>
      <c r="D438" s="2" t="s">
        <v>1192</v>
      </c>
      <c r="E438" s="2" t="s">
        <v>14</v>
      </c>
      <c r="F438" s="2" t="s">
        <v>15</v>
      </c>
      <c r="G438" s="2" t="s">
        <v>1059</v>
      </c>
      <c r="H438" s="2" t="s">
        <v>1053</v>
      </c>
      <c r="I438" s="2" t="str">
        <f>IFERROR(__xludf.DUMMYFUNCTION("GOOGLETRANSLATE(C438,""fr"",""en"")"),"In case of calamity
After months of waiting without news the expert considers that it is not compensable")</f>
        <v>In case of calamity
After months of waiting without news the expert considers that it is not compensable</v>
      </c>
    </row>
    <row r="439" ht="15.75" customHeight="1">
      <c r="B439" s="2" t="s">
        <v>1322</v>
      </c>
      <c r="C439" s="2" t="s">
        <v>1323</v>
      </c>
      <c r="D439" s="2" t="s">
        <v>1324</v>
      </c>
      <c r="E439" s="2" t="s">
        <v>1325</v>
      </c>
      <c r="F439" s="2" t="s">
        <v>15</v>
      </c>
      <c r="G439" s="2" t="s">
        <v>1326</v>
      </c>
      <c r="H439" s="2" t="s">
        <v>160</v>
      </c>
      <c r="I439" s="2" t="str">
        <f>IFERROR(__xludf.DUMMYFUNCTION("GOOGLETRANSLATE(C439,""fr"",""en"")"),"RAS/
Quick everything went well.
People follow their files and keep me informed of the consequences. RAS. Quick response and everything is ok. No problem with the subscription. Everything is OK")</f>
        <v>RAS/
Quick everything went well.
People follow their files and keep me informed of the consequences. RAS. Quick response and everything is ok. No problem with the subscription. Everything is OK</v>
      </c>
    </row>
    <row r="440" ht="15.75" customHeight="1">
      <c r="B440" s="2" t="s">
        <v>1327</v>
      </c>
      <c r="C440" s="2" t="s">
        <v>1328</v>
      </c>
      <c r="D440" s="2" t="s">
        <v>1324</v>
      </c>
      <c r="E440" s="2" t="s">
        <v>1325</v>
      </c>
      <c r="F440" s="2" t="s">
        <v>15</v>
      </c>
      <c r="G440" s="2" t="s">
        <v>159</v>
      </c>
      <c r="H440" s="2" t="s">
        <v>160</v>
      </c>
      <c r="I440" s="2" t="str">
        <f>IFERROR(__xludf.DUMMYFUNCTION("GOOGLETRANSLATE(C440,""fr"",""en"")"),"I am satisfied with the service in accordance with my expectations The service is very fast and allows you to have a competitive offer and quickly thank you Zen Up for the service and thank you to Benjamin")</f>
        <v>I am satisfied with the service in accordance with my expectations The service is very fast and allows you to have a competitive offer and quickly thank you Zen Up for the service and thank you to Benjamin</v>
      </c>
    </row>
    <row r="441" ht="15.75" customHeight="1">
      <c r="B441" s="2" t="s">
        <v>1329</v>
      </c>
      <c r="C441" s="2" t="s">
        <v>1330</v>
      </c>
      <c r="D441" s="2" t="s">
        <v>1324</v>
      </c>
      <c r="E441" s="2" t="s">
        <v>1325</v>
      </c>
      <c r="F441" s="2" t="s">
        <v>15</v>
      </c>
      <c r="G441" s="2" t="s">
        <v>1331</v>
      </c>
      <c r="H441" s="2" t="s">
        <v>160</v>
      </c>
      <c r="I441" s="2" t="str">
        <f>IFERROR(__xludf.DUMMYFUNCTION("GOOGLETRANSLATE(C441,""fr"",""en"")"),"I am satisfied with the service and I will finally save on these insurances. I did not know your website, I will talk to my entourage because I find it very well.")</f>
        <v>I am satisfied with the service and I will finally save on these insurances. I did not know your website, I will talk to my entourage because I find it very well.</v>
      </c>
    </row>
    <row r="442" ht="15.75" customHeight="1">
      <c r="B442" s="2" t="s">
        <v>1332</v>
      </c>
      <c r="C442" s="2" t="s">
        <v>1333</v>
      </c>
      <c r="D442" s="2" t="s">
        <v>1324</v>
      </c>
      <c r="E442" s="2" t="s">
        <v>1325</v>
      </c>
      <c r="F442" s="2" t="s">
        <v>15</v>
      </c>
      <c r="G442" s="2" t="s">
        <v>480</v>
      </c>
      <c r="H442" s="2" t="s">
        <v>160</v>
      </c>
      <c r="I442" s="2" t="str">
        <f>IFERROR(__xludf.DUMMYFUNCTION("GOOGLETRANSLATE(C442,""fr"",""en"")"),"I find that the return of the medical service is severe given the increase applied. The advisor who processed my request is very correct therefore satisfied with the processing period of my request")</f>
        <v>I find that the return of the medical service is severe given the increase applied. The advisor who processed my request is very correct therefore satisfied with the processing period of my request</v>
      </c>
    </row>
    <row r="443" ht="15.75" customHeight="1">
      <c r="B443" s="2" t="s">
        <v>1334</v>
      </c>
      <c r="C443" s="2" t="s">
        <v>1335</v>
      </c>
      <c r="D443" s="2" t="s">
        <v>1324</v>
      </c>
      <c r="E443" s="2" t="s">
        <v>1325</v>
      </c>
      <c r="F443" s="2" t="s">
        <v>15</v>
      </c>
      <c r="G443" s="2" t="s">
        <v>1336</v>
      </c>
      <c r="H443" s="2" t="s">
        <v>160</v>
      </c>
      <c r="I443" s="2" t="str">
        <f>IFERROR(__xludf.DUMMYFUNCTION("GOOGLETRANSLATE(C443,""fr"",""en"")"),"I am very satisfied with the service and highly recommend it. Indeed, the application is very easy and fast. Regarding prices it is very acceptable.")</f>
        <v>I am very satisfied with the service and highly recommend it. Indeed, the application is very easy and fast. Regarding prices it is very acceptable.</v>
      </c>
    </row>
    <row r="444" ht="15.75" customHeight="1">
      <c r="B444" s="2" t="s">
        <v>1337</v>
      </c>
      <c r="C444" s="2" t="s">
        <v>1338</v>
      </c>
      <c r="D444" s="2" t="s">
        <v>1324</v>
      </c>
      <c r="E444" s="2" t="s">
        <v>1325</v>
      </c>
      <c r="F444" s="2" t="s">
        <v>15</v>
      </c>
      <c r="G444" s="2" t="s">
        <v>1339</v>
      </c>
      <c r="H444" s="2" t="s">
        <v>160</v>
      </c>
      <c r="I444" s="2" t="str">
        <f>IFERROR(__xludf.DUMMYFUNCTION("GOOGLETRANSLATE(C444,""fr"",""en"")"),"Very good contact advisor available and attentive
I highly recommend and they are the best in terms of prices
The advisor I treated with Yacine: really very professional and attentive")</f>
        <v>Very good contact advisor available and attentive
I highly recommend and they are the best in terms of prices
The advisor I treated with Yacine: really very professional and attentive</v>
      </c>
    </row>
    <row r="445" ht="15.75" customHeight="1">
      <c r="B445" s="2" t="s">
        <v>1340</v>
      </c>
      <c r="C445" s="2" t="s">
        <v>1341</v>
      </c>
      <c r="D445" s="2" t="s">
        <v>1324</v>
      </c>
      <c r="E445" s="2" t="s">
        <v>1325</v>
      </c>
      <c r="F445" s="2" t="s">
        <v>15</v>
      </c>
      <c r="G445" s="2" t="s">
        <v>1339</v>
      </c>
      <c r="H445" s="2" t="s">
        <v>160</v>
      </c>
      <c r="I445" s="2" t="str">
        <f>IFERROR(__xludf.DUMMYFUNCTION("GOOGLETRANSLATE(C445,""fr"",""en"")"),"I am satisfied with the service as well as the support made throughout the assembly of the file by the Zen'Up advisor and his very detailed explanations.
")</f>
        <v>I am satisfied with the service as well as the support made throughout the assembly of the file by the Zen'Up advisor and his very detailed explanations.
</v>
      </c>
    </row>
    <row r="446" ht="15.75" customHeight="1">
      <c r="B446" s="2" t="s">
        <v>1342</v>
      </c>
      <c r="C446" s="2" t="s">
        <v>1343</v>
      </c>
      <c r="D446" s="2" t="s">
        <v>1324</v>
      </c>
      <c r="E446" s="2" t="s">
        <v>1325</v>
      </c>
      <c r="F446" s="2" t="s">
        <v>15</v>
      </c>
      <c r="G446" s="2" t="s">
        <v>1344</v>
      </c>
      <c r="H446" s="2" t="s">
        <v>160</v>
      </c>
      <c r="I446" s="2" t="str">
        <f>IFERROR(__xludf.DUMMYFUNCTION("GOOGLETRANSLATE(C446,""fr"",""en"")"),"Very satisfactory price level, for the moment perfect. Very available and listening seraphin. quick response
Very effective, very polite very courteous
Thank you")</f>
        <v>Very satisfactory price level, for the moment perfect. Very available and listening seraphin. quick response
Very effective, very polite very courteous
Thank you</v>
      </c>
    </row>
    <row r="447" ht="15.75" customHeight="1">
      <c r="B447" s="2" t="s">
        <v>1345</v>
      </c>
      <c r="C447" s="2" t="s">
        <v>1346</v>
      </c>
      <c r="D447" s="2" t="s">
        <v>1324</v>
      </c>
      <c r="E447" s="2" t="s">
        <v>1325</v>
      </c>
      <c r="F447" s="2" t="s">
        <v>15</v>
      </c>
      <c r="G447" s="2" t="s">
        <v>1344</v>
      </c>
      <c r="H447" s="2" t="s">
        <v>160</v>
      </c>
      <c r="I447" s="2" t="str">
        <f>IFERROR(__xludf.DUMMYFUNCTION("GOOGLETRANSLATE(C447,""fr"",""en"")"),"I am satisfied with the service, they are attentive and give good advice on the whole.
They are responsive and I recommend Zenup for future Internet users")</f>
        <v>I am satisfied with the service, they are attentive and give good advice on the whole.
They are responsive and I recommend Zenup for future Internet users</v>
      </c>
    </row>
    <row r="448" ht="15.75" customHeight="1">
      <c r="B448" s="2" t="s">
        <v>1347</v>
      </c>
      <c r="C448" s="2" t="s">
        <v>1348</v>
      </c>
      <c r="D448" s="2" t="s">
        <v>1324</v>
      </c>
      <c r="E448" s="2" t="s">
        <v>1325</v>
      </c>
      <c r="F448" s="2" t="s">
        <v>15</v>
      </c>
      <c r="G448" s="2" t="s">
        <v>1349</v>
      </c>
      <c r="H448" s="2" t="s">
        <v>160</v>
      </c>
      <c r="I448" s="2" t="str">
        <f>IFERROR(__xludf.DUMMYFUNCTION("GOOGLETRANSLATE(C448,""fr"",""en"")"),"I am very satisfied with the council, the responsiveness and the proposed price. The advisor was listening and accompanied us throughout the process.")</f>
        <v>I am very satisfied with the council, the responsiveness and the proposed price. The advisor was listening and accompanied us throughout the process.</v>
      </c>
    </row>
    <row r="449" ht="15.75" customHeight="1">
      <c r="B449" s="2" t="s">
        <v>1350</v>
      </c>
      <c r="C449" s="2" t="s">
        <v>1351</v>
      </c>
      <c r="D449" s="2" t="s">
        <v>1324</v>
      </c>
      <c r="E449" s="2" t="s">
        <v>1325</v>
      </c>
      <c r="F449" s="2" t="s">
        <v>15</v>
      </c>
      <c r="G449" s="2" t="s">
        <v>1352</v>
      </c>
      <c r="H449" s="2" t="s">
        <v>160</v>
      </c>
      <c r="I449" s="2" t="str">
        <f>IFERROR(__xludf.DUMMYFUNCTION("GOOGLETRANSLATE(C449,""fr"",""en"")"),"Great responsiveness in the commercial relationship and great availability of people in charge of our files on the phone. Flexibility and listening")</f>
        <v>Great responsiveness in the commercial relationship and great availability of people in charge of our files on the phone. Flexibility and listening</v>
      </c>
    </row>
    <row r="450" ht="15.75" customHeight="1">
      <c r="B450" s="2" t="s">
        <v>1353</v>
      </c>
      <c r="C450" s="2" t="s">
        <v>1354</v>
      </c>
      <c r="D450" s="2" t="s">
        <v>1324</v>
      </c>
      <c r="E450" s="2" t="s">
        <v>1325</v>
      </c>
      <c r="F450" s="2" t="s">
        <v>15</v>
      </c>
      <c r="G450" s="2" t="s">
        <v>1355</v>
      </c>
      <c r="H450" s="2" t="s">
        <v>160</v>
      </c>
      <c r="I450" s="2" t="str">
        <f>IFERROR(__xludf.DUMMYFUNCTION("GOOGLETRANSLATE(C450,""fr"",""en"")"),"I am very satisfied with the service and the reception. Contacts have always been of very good quality and the details also provided. Everything is clear.")</f>
        <v>I am very satisfied with the service and the reception. Contacts have always been of very good quality and the details also provided. Everything is clear.</v>
      </c>
    </row>
    <row r="451" ht="15.75" customHeight="1">
      <c r="B451" s="2" t="s">
        <v>1356</v>
      </c>
      <c r="C451" s="2" t="s">
        <v>1357</v>
      </c>
      <c r="D451" s="2" t="s">
        <v>1324</v>
      </c>
      <c r="E451" s="2" t="s">
        <v>1325</v>
      </c>
      <c r="F451" s="2" t="s">
        <v>15</v>
      </c>
      <c r="G451" s="2" t="s">
        <v>1358</v>
      </c>
      <c r="H451" s="2" t="s">
        <v>481</v>
      </c>
      <c r="I451" s="2" t="str">
        <f>IFERROR(__xludf.DUMMYFUNCTION("GOOGLETRANSLATE(C451,""fr"",""en"")"),"Satisfied with the service and the relationship with the advisor
Satisfied with the service and the relationship with the advisor
Satisfied with the service and the relationship with the advisor")</f>
        <v>Satisfied with the service and the relationship with the advisor
Satisfied with the service and the relationship with the advisor
Satisfied with the service and the relationship with the advisor</v>
      </c>
    </row>
    <row r="452" ht="15.75" customHeight="1">
      <c r="B452" s="2" t="s">
        <v>1359</v>
      </c>
      <c r="C452" s="2" t="s">
        <v>1360</v>
      </c>
      <c r="D452" s="2" t="s">
        <v>1324</v>
      </c>
      <c r="E452" s="2" t="s">
        <v>1325</v>
      </c>
      <c r="F452" s="2" t="s">
        <v>15</v>
      </c>
      <c r="G452" s="2" t="s">
        <v>622</v>
      </c>
      <c r="H452" s="2" t="s">
        <v>481</v>
      </c>
      <c r="I452" s="2" t="str">
        <f>IFERROR(__xludf.DUMMYFUNCTION("GOOGLETRANSLATE(C452,""fr"",""en"")"),"Simple, effective site, fast reports following information requests, very competitive prices and good contact by phone with the advisor")</f>
        <v>Simple, effective site, fast reports following information requests, very competitive prices and good contact by phone with the advisor</v>
      </c>
    </row>
    <row r="453" ht="15.75" customHeight="1">
      <c r="B453" s="2" t="s">
        <v>1361</v>
      </c>
      <c r="C453" s="2" t="s">
        <v>1362</v>
      </c>
      <c r="D453" s="2" t="s">
        <v>1324</v>
      </c>
      <c r="E453" s="2" t="s">
        <v>1325</v>
      </c>
      <c r="F453" s="2" t="s">
        <v>15</v>
      </c>
      <c r="G453" s="2" t="s">
        <v>484</v>
      </c>
      <c r="H453" s="2" t="s">
        <v>481</v>
      </c>
      <c r="I453" s="2" t="str">
        <f>IFERROR(__xludf.DUMMYFUNCTION("GOOGLETRANSLATE(C453,""fr"",""en"")"),"I am satisfied with the medium provided on the phone which greatly helped me recommended. I would recommend this insurance to others certainly
And prices suit me")</f>
        <v>I am satisfied with the medium provided on the phone which greatly helped me recommended. I would recommend this insurance to others certainly
And prices suit me</v>
      </c>
    </row>
    <row r="454" ht="15.75" customHeight="1">
      <c r="B454" s="2" t="s">
        <v>1363</v>
      </c>
      <c r="C454" s="2" t="s">
        <v>1364</v>
      </c>
      <c r="D454" s="2" t="s">
        <v>1324</v>
      </c>
      <c r="E454" s="2" t="s">
        <v>1325</v>
      </c>
      <c r="F454" s="2" t="s">
        <v>15</v>
      </c>
      <c r="G454" s="2" t="s">
        <v>1365</v>
      </c>
      <c r="H454" s="2" t="s">
        <v>481</v>
      </c>
      <c r="I454" s="2" t="str">
        <f>IFERROR(__xludf.DUMMYFUNCTION("GOOGLETRANSLATE(C454,""fr"",""en"")"),"Very happy with very professional prices and advisers. Really good contact with the advice. Effective and simple.
Thank you for your professionalism.
")</f>
        <v>Very happy with very professional prices and advisers. Really good contact with the advice. Effective and simple.
Thank you for your professionalism.
</v>
      </c>
    </row>
    <row r="455" ht="15.75" customHeight="1">
      <c r="B455" s="2" t="s">
        <v>1366</v>
      </c>
      <c r="C455" s="2" t="s">
        <v>1367</v>
      </c>
      <c r="D455" s="2" t="s">
        <v>1324</v>
      </c>
      <c r="E455" s="2" t="s">
        <v>1325</v>
      </c>
      <c r="F455" s="2" t="s">
        <v>15</v>
      </c>
      <c r="G455" s="2" t="s">
        <v>1368</v>
      </c>
      <c r="H455" s="2" t="s">
        <v>481</v>
      </c>
      <c r="I455" s="2" t="str">
        <f>IFERROR(__xludf.DUMMYFUNCTION("GOOGLETRANSLATE(C455,""fr"",""en"")"),"I am very satisfied with the service.
The entire team is very responsive.
The offers offered are very attractive and personalized
I recommend")</f>
        <v>I am very satisfied with the service.
The entire team is very responsive.
The offers offered are very attractive and personalized
I recommend</v>
      </c>
    </row>
    <row r="456" ht="15.75" customHeight="1">
      <c r="B456" s="2" t="s">
        <v>1369</v>
      </c>
      <c r="C456" s="2" t="s">
        <v>1370</v>
      </c>
      <c r="D456" s="2" t="s">
        <v>1324</v>
      </c>
      <c r="E456" s="2" t="s">
        <v>1325</v>
      </c>
      <c r="F456" s="2" t="s">
        <v>15</v>
      </c>
      <c r="G456" s="2" t="s">
        <v>1371</v>
      </c>
      <c r="H456" s="2" t="s">
        <v>481</v>
      </c>
      <c r="I456" s="2" t="str">
        <f>IFERROR(__xludf.DUMMYFUNCTION("GOOGLETRANSLATE(C456,""fr"",""en"")"),"Good price, responsiveness, friendly welcome. Intuitive and easy -to -use website and customer area. I also appreciated the speed of the procedures and the advice to carry them out.")</f>
        <v>Good price, responsiveness, friendly welcome. Intuitive and easy -to -use website and customer area. I also appreciated the speed of the procedures and the advice to carry them out.</v>
      </c>
    </row>
    <row r="457" ht="15.75" customHeight="1">
      <c r="B457" s="2" t="s">
        <v>1372</v>
      </c>
      <c r="C457" s="2" t="s">
        <v>1373</v>
      </c>
      <c r="D457" s="2" t="s">
        <v>1324</v>
      </c>
      <c r="E457" s="2" t="s">
        <v>1325</v>
      </c>
      <c r="F457" s="2" t="s">
        <v>15</v>
      </c>
      <c r="G457" s="2" t="s">
        <v>1374</v>
      </c>
      <c r="H457" s="2" t="s">
        <v>481</v>
      </c>
      <c r="I457" s="2" t="str">
        <f>IFERROR(__xludf.DUMMYFUNCTION("GOOGLETRANSLATE(C457,""fr"",""en"")"),"The telephone reception is very pleasant and efficient.
The website is also very practical and easy to use. The interface is very intuitive.
The price is attractive. The conditions remain to be checked in detail")</f>
        <v>The telephone reception is very pleasant and efficient.
The website is also very practical and easy to use. The interface is very intuitive.
The price is attractive. The conditions remain to be checked in detail</v>
      </c>
    </row>
    <row r="458" ht="15.75" customHeight="1">
      <c r="B458" s="2" t="s">
        <v>1375</v>
      </c>
      <c r="C458" s="2" t="s">
        <v>1376</v>
      </c>
      <c r="D458" s="2" t="s">
        <v>1324</v>
      </c>
      <c r="E458" s="2" t="s">
        <v>1325</v>
      </c>
      <c r="F458" s="2" t="s">
        <v>15</v>
      </c>
      <c r="G458" s="2" t="s">
        <v>1377</v>
      </c>
      <c r="H458" s="2" t="s">
        <v>481</v>
      </c>
      <c r="I458" s="2" t="str">
        <f>IFERROR(__xludf.DUMMYFUNCTION("GOOGLETRANSLATE(C458,""fr"",""en"")"),"Take the time to answer questions and study all the documents in order to best adjust the contract. Very interesting offer. I recommend
")</f>
        <v>Take the time to answer questions and study all the documents in order to best adjust the contract. Very interesting offer. I recommend
</v>
      </c>
    </row>
    <row r="459" ht="15.75" customHeight="1">
      <c r="B459" s="2" t="s">
        <v>1378</v>
      </c>
      <c r="C459" s="2" t="s">
        <v>1379</v>
      </c>
      <c r="D459" s="2" t="s">
        <v>1324</v>
      </c>
      <c r="E459" s="2" t="s">
        <v>1325</v>
      </c>
      <c r="F459" s="2" t="s">
        <v>15</v>
      </c>
      <c r="G459" s="2" t="s">
        <v>1380</v>
      </c>
      <c r="H459" s="2" t="s">
        <v>481</v>
      </c>
      <c r="I459" s="2" t="str">
        <f>IFERROR(__xludf.DUMMYFUNCTION("GOOGLETRANSLATE(C459,""fr"",""en"")"),"I am satisfied with the service
The prices are interesting
I now recommend that we can change credit insurance do not hesitate.")</f>
        <v>I am satisfied with the service
The prices are interesting
I now recommend that we can change credit insurance do not hesitate.</v>
      </c>
    </row>
    <row r="460" ht="15.75" customHeight="1">
      <c r="B460" s="2" t="s">
        <v>1381</v>
      </c>
      <c r="C460" s="2" t="s">
        <v>1382</v>
      </c>
      <c r="D460" s="2" t="s">
        <v>1324</v>
      </c>
      <c r="E460" s="2" t="s">
        <v>1325</v>
      </c>
      <c r="F460" s="2" t="s">
        <v>15</v>
      </c>
      <c r="G460" s="2" t="s">
        <v>1383</v>
      </c>
      <c r="H460" s="2" t="s">
        <v>164</v>
      </c>
      <c r="I460" s="2" t="str">
        <f>IFERROR(__xludf.DUMMYFUNCTION("GOOGLETRANSLATE(C460,""fr"",""en"")"),"Good presentation of the offer from the advisor, a very competitive offer.
Good customer service, very welcome, clear explanations, ...
")</f>
        <v>Good presentation of the offer from the advisor, a very competitive offer.
Good customer service, very welcome, clear explanations, ...
</v>
      </c>
    </row>
    <row r="461" ht="15.75" customHeight="1">
      <c r="B461" s="2" t="s">
        <v>1384</v>
      </c>
      <c r="C461" s="2" t="s">
        <v>1385</v>
      </c>
      <c r="D461" s="2" t="s">
        <v>1324</v>
      </c>
      <c r="E461" s="2" t="s">
        <v>1325</v>
      </c>
      <c r="F461" s="2" t="s">
        <v>15</v>
      </c>
      <c r="G461" s="2" t="s">
        <v>855</v>
      </c>
      <c r="H461" s="2" t="s">
        <v>164</v>
      </c>
      <c r="I461" s="2" t="str">
        <f>IFERROR(__xludf.DUMMYFUNCTION("GOOGLETRANSLATE(C461,""fr"",""en"")"),"I am satisfied with the EL Line service, a reminder after a quote, very nice on the phone and good advice. The price is half as expensive as with my bank!")</f>
        <v>I am satisfied with the EL Line service, a reminder after a quote, very nice on the phone and good advice. The price is half as expensive as with my bank!</v>
      </c>
    </row>
    <row r="462" ht="15.75" customHeight="1">
      <c r="B462" s="2" t="s">
        <v>1386</v>
      </c>
      <c r="C462" s="2" t="s">
        <v>1387</v>
      </c>
      <c r="D462" s="2" t="s">
        <v>1324</v>
      </c>
      <c r="E462" s="2" t="s">
        <v>1325</v>
      </c>
      <c r="F462" s="2" t="s">
        <v>15</v>
      </c>
      <c r="G462" s="2" t="s">
        <v>1069</v>
      </c>
      <c r="H462" s="2" t="s">
        <v>164</v>
      </c>
      <c r="I462" s="2" t="str">
        <f>IFERROR(__xludf.DUMMYFUNCTION("GOOGLETRANSLATE(C462,""fr"",""en"")"),"Very satisfied, good communication, a top advisor. Favorable opinion without additional cost for thyroid concerns. Super prices so I recommend")</f>
        <v>Very satisfied, good communication, a top advisor. Favorable opinion without additional cost for thyroid concerns. Super prices so I recommend</v>
      </c>
    </row>
    <row r="463" ht="15.75" customHeight="1">
      <c r="B463" s="2" t="s">
        <v>1388</v>
      </c>
      <c r="C463" s="2" t="s">
        <v>1389</v>
      </c>
      <c r="D463" s="2" t="s">
        <v>1324</v>
      </c>
      <c r="E463" s="2" t="s">
        <v>1325</v>
      </c>
      <c r="F463" s="2" t="s">
        <v>15</v>
      </c>
      <c r="G463" s="2" t="s">
        <v>1390</v>
      </c>
      <c r="H463" s="2" t="s">
        <v>164</v>
      </c>
      <c r="I463" s="2" t="str">
        <f>IFERROR(__xludf.DUMMYFUNCTION("GOOGLETRANSLATE(C463,""fr"",""en"")"),"Fully satisfied with the service and service !!
Very fast and efficient.
We were guided for a long time with the procedure with specific answers to the questions.")</f>
        <v>Fully satisfied with the service and service !!
Very fast and efficient.
We were guided for a long time with the procedure with specific answers to the questions.</v>
      </c>
    </row>
    <row r="464" ht="15.75" customHeight="1">
      <c r="B464" s="2" t="s">
        <v>1391</v>
      </c>
      <c r="C464" s="2" t="s">
        <v>1392</v>
      </c>
      <c r="D464" s="2" t="s">
        <v>1324</v>
      </c>
      <c r="E464" s="2" t="s">
        <v>1325</v>
      </c>
      <c r="F464" s="2" t="s">
        <v>15</v>
      </c>
      <c r="G464" s="2" t="s">
        <v>1393</v>
      </c>
      <c r="H464" s="2" t="s">
        <v>164</v>
      </c>
      <c r="I464" s="2" t="str">
        <f>IFERROR(__xludf.DUMMYFUNCTION("GOOGLETRANSLATE(C464,""fr"",""en"")"),"Simple and practical approach
Very competitive prices with simplified formalities.
I am satisfied with the service, to recommend to those around us, well done!")</f>
        <v>Simple and practical approach
Very competitive prices with simplified formalities.
I am satisfied with the service, to recommend to those around us, well done!</v>
      </c>
    </row>
    <row r="465" ht="15.75" customHeight="1">
      <c r="B465" s="2" t="s">
        <v>1394</v>
      </c>
      <c r="C465" s="2" t="s">
        <v>1395</v>
      </c>
      <c r="D465" s="2" t="s">
        <v>1324</v>
      </c>
      <c r="E465" s="2" t="s">
        <v>1325</v>
      </c>
      <c r="F465" s="2" t="s">
        <v>15</v>
      </c>
      <c r="G465" s="2" t="s">
        <v>1396</v>
      </c>
      <c r="H465" s="2" t="s">
        <v>164</v>
      </c>
      <c r="I465" s="2" t="str">
        <f>IFERROR(__xludf.DUMMYFUNCTION("GOOGLETRANSLATE(C465,""fr"",""en"")"),"The price suited me, simple and quick to subscribe. Very clear and very explicit quote for our project. Pleasant and friendly telephone welcome.")</f>
        <v>The price suited me, simple and quick to subscribe. Very clear and very explicit quote for our project. Pleasant and friendly telephone welcome.</v>
      </c>
    </row>
    <row r="466" ht="15.75" customHeight="1">
      <c r="B466" s="2" t="s">
        <v>1397</v>
      </c>
      <c r="C466" s="2" t="s">
        <v>1398</v>
      </c>
      <c r="D466" s="2" t="s">
        <v>1324</v>
      </c>
      <c r="E466" s="2" t="s">
        <v>1325</v>
      </c>
      <c r="F466" s="2" t="s">
        <v>15</v>
      </c>
      <c r="G466" s="2" t="s">
        <v>1399</v>
      </c>
      <c r="H466" s="2" t="s">
        <v>164</v>
      </c>
      <c r="I466" s="2" t="str">
        <f>IFERROR(__xludf.DUMMYFUNCTION("GOOGLETRANSLATE(C466,""fr"",""en"")"),"For the moment satisfied, I hope that the implementation will be done quickly.
Fast and simple service and subscription
Welcoming staff on the phone
")</f>
        <v>For the moment satisfied, I hope that the implementation will be done quickly.
Fast and simple service and subscription
Welcoming staff on the phone
</v>
      </c>
    </row>
    <row r="467" ht="15.75" customHeight="1">
      <c r="B467" s="2" t="s">
        <v>1400</v>
      </c>
      <c r="C467" s="2" t="s">
        <v>1401</v>
      </c>
      <c r="D467" s="2" t="s">
        <v>1324</v>
      </c>
      <c r="E467" s="2" t="s">
        <v>1325</v>
      </c>
      <c r="F467" s="2" t="s">
        <v>15</v>
      </c>
      <c r="G467" s="2" t="s">
        <v>1402</v>
      </c>
      <c r="H467" s="2" t="s">
        <v>168</v>
      </c>
      <c r="I467" s="2" t="str">
        <f>IFERROR(__xludf.DUMMYFUNCTION("GOOGLETRANSLATE(C467,""fr"",""en"")"),"I am satisfied with the service...
Nothing to report ...
The teams are reactive and the information is clear ...
I fully recommend Zen Up.
Alexis")</f>
        <v>I am satisfied with the service...
Nothing to report ...
The teams are reactive and the information is clear ...
I fully recommend Zen Up.
Alexis</v>
      </c>
    </row>
    <row r="468" ht="15.75" customHeight="1">
      <c r="B468" s="2" t="s">
        <v>1403</v>
      </c>
      <c r="C468" s="2" t="s">
        <v>1404</v>
      </c>
      <c r="D468" s="2" t="s">
        <v>1324</v>
      </c>
      <c r="E468" s="2" t="s">
        <v>1325</v>
      </c>
      <c r="F468" s="2" t="s">
        <v>15</v>
      </c>
      <c r="G468" s="2" t="s">
        <v>631</v>
      </c>
      <c r="H468" s="2" t="s">
        <v>168</v>
      </c>
      <c r="I468" s="2" t="str">
        <f>IFERROR(__xludf.DUMMYFUNCTION("GOOGLETRANSLATE(C468,""fr"",""en"")"),"Very happy with speed, I signed a loan agreement yesterday with the group's group insurance (very expensive). I compared, came across Zenup. My banker agrees to do me again sign the agreement (tomorrow) with this time the Generali insurance which is, 3 ti"&amp;"mes cheaper than the one he offered me, for the same guarantees. 15th saved over 20 years in barely a few clicks and 24 hours, it's really great !! I am glad!")</f>
        <v>Very happy with speed, I signed a loan agreement yesterday with the group's group insurance (very expensive). I compared, came across Zenup. My banker agrees to do me again sign the agreement (tomorrow) with this time the Generali insurance which is, 3 times cheaper than the one he offered me, for the same guarantees. 15th saved over 20 years in barely a few clicks and 24 hours, it's really great !! I am glad!</v>
      </c>
    </row>
    <row r="469" ht="15.75" customHeight="1">
      <c r="B469" s="2" t="s">
        <v>1405</v>
      </c>
      <c r="C469" s="2" t="s">
        <v>1406</v>
      </c>
      <c r="D469" s="2" t="s">
        <v>1324</v>
      </c>
      <c r="E469" s="2" t="s">
        <v>1325</v>
      </c>
      <c r="F469" s="2" t="s">
        <v>15</v>
      </c>
      <c r="G469" s="2" t="s">
        <v>1407</v>
      </c>
      <c r="H469" s="2" t="s">
        <v>168</v>
      </c>
      <c r="I469" s="2" t="str">
        <f>IFERROR(__xludf.DUMMYFUNCTION("GOOGLETRANSLATE(C469,""fr"",""en"")"),"Good value for money on services
Some difficulties in standard but good responsiveness in reminders.
To be validated in the long term")</f>
        <v>Good value for money on services
Some difficulties in standard but good responsiveness in reminders.
To be validated in the long term</v>
      </c>
    </row>
    <row r="470" ht="15.75" customHeight="1">
      <c r="B470" s="2" t="s">
        <v>1408</v>
      </c>
      <c r="C470" s="2" t="s">
        <v>1409</v>
      </c>
      <c r="D470" s="2" t="s">
        <v>1324</v>
      </c>
      <c r="E470" s="2" t="s">
        <v>1325</v>
      </c>
      <c r="F470" s="2" t="s">
        <v>15</v>
      </c>
      <c r="G470" s="2" t="s">
        <v>1410</v>
      </c>
      <c r="H470" s="2" t="s">
        <v>168</v>
      </c>
      <c r="I470" s="2" t="str">
        <f>IFERROR(__xludf.DUMMYFUNCTION("GOOGLETRANSLATE(C470,""fr"",""en"")"),"Super Mekki advisor, kind courteous patient takes the time, nothing to say
Zen Up Playful Internet Plate Practical and Flexible Pleasant to Use
in short thank you")</f>
        <v>Super Mekki advisor, kind courteous patient takes the time, nothing to say
Zen Up Playful Internet Plate Practical and Flexible Pleasant to Use
in short thank you</v>
      </c>
    </row>
    <row r="471" ht="15.75" customHeight="1">
      <c r="B471" s="2" t="s">
        <v>1411</v>
      </c>
      <c r="C471" s="2" t="s">
        <v>1412</v>
      </c>
      <c r="D471" s="2" t="s">
        <v>1324</v>
      </c>
      <c r="E471" s="2" t="s">
        <v>1325</v>
      </c>
      <c r="F471" s="2" t="s">
        <v>15</v>
      </c>
      <c r="G471" s="2" t="s">
        <v>1413</v>
      </c>
      <c r="H471" s="2" t="s">
        <v>168</v>
      </c>
      <c r="I471" s="2" t="str">
        <f>IFERROR(__xludf.DUMMYFUNCTION("GOOGLETRANSLATE(C471,""fr"",""en"")"),"Very attractive price ...
Pleasant and listening advisor
Hopefully the service will be in the event of a disaster ..... hoping not to need! ....")</f>
        <v>Very attractive price ...
Pleasant and listening advisor
Hopefully the service will be in the event of a disaster ..... hoping not to need! ....</v>
      </c>
    </row>
    <row r="472" ht="15.75" customHeight="1">
      <c r="B472" s="2" t="s">
        <v>1414</v>
      </c>
      <c r="C472" s="2" t="s">
        <v>1415</v>
      </c>
      <c r="D472" s="2" t="s">
        <v>1324</v>
      </c>
      <c r="E472" s="2" t="s">
        <v>1325</v>
      </c>
      <c r="F472" s="2" t="s">
        <v>15</v>
      </c>
      <c r="G472" s="2" t="s">
        <v>167</v>
      </c>
      <c r="H472" s="2" t="s">
        <v>168</v>
      </c>
      <c r="I472" s="2" t="str">
        <f>IFERROR(__xludf.DUMMYFUNCTION("GOOGLETRANSLATE(C472,""fr"",""en"")"),"Satisfied with the prices and the responsiveness of the Zen Up sales. Ease of the interface, fast handling. Thank you. Nothing more to say.........")</f>
        <v>Satisfied with the prices and the responsiveness of the Zen Up sales. Ease of the interface, fast handling. Thank you. Nothing more to say.........</v>
      </c>
    </row>
    <row r="473" ht="15.75" customHeight="1">
      <c r="B473" s="2" t="s">
        <v>1416</v>
      </c>
      <c r="C473" s="2" t="s">
        <v>1417</v>
      </c>
      <c r="D473" s="2" t="s">
        <v>1324</v>
      </c>
      <c r="E473" s="2" t="s">
        <v>1325</v>
      </c>
      <c r="F473" s="2" t="s">
        <v>15</v>
      </c>
      <c r="G473" s="2" t="s">
        <v>167</v>
      </c>
      <c r="H473" s="2" t="s">
        <v>168</v>
      </c>
      <c r="I473" s="2" t="str">
        <f>IFERROR(__xludf.DUMMYFUNCTION("GOOGLETRANSLATE(C473,""fr"",""en"")"),"I am satisfied with the fast and precise clear support offer
Good Elocuton to Telephonic Conversation
The good point of time no precipitation in the explanations help live for the seizure one plus")</f>
        <v>I am satisfied with the fast and precise clear support offer
Good Elocuton to Telephonic Conversation
The good point of time no precipitation in the explanations help live for the seizure one plus</v>
      </c>
    </row>
    <row r="474" ht="15.75" customHeight="1">
      <c r="B474" s="2" t="s">
        <v>1418</v>
      </c>
      <c r="C474" s="2" t="s">
        <v>1419</v>
      </c>
      <c r="D474" s="2" t="s">
        <v>1324</v>
      </c>
      <c r="E474" s="2" t="s">
        <v>1325</v>
      </c>
      <c r="F474" s="2" t="s">
        <v>15</v>
      </c>
      <c r="G474" s="2" t="s">
        <v>1420</v>
      </c>
      <c r="H474" s="2" t="s">
        <v>168</v>
      </c>
      <c r="I474" s="2" t="str">
        <f>IFERROR(__xludf.DUMMYFUNCTION("GOOGLETRANSLATE(C474,""fr"",""en"")"),"A top and extremely kind advisor!
And also super efficient and rigorous to have followed my file perfection!
very cordially.
")</f>
        <v>A top and extremely kind advisor!
And also super efficient and rigorous to have followed my file perfection!
very cordially.
</v>
      </c>
    </row>
    <row r="475" ht="15.75" customHeight="1">
      <c r="B475" s="2" t="s">
        <v>1421</v>
      </c>
      <c r="C475" s="2" t="s">
        <v>1422</v>
      </c>
      <c r="D475" s="2" t="s">
        <v>1324</v>
      </c>
      <c r="E475" s="2" t="s">
        <v>1325</v>
      </c>
      <c r="F475" s="2" t="s">
        <v>15</v>
      </c>
      <c r="G475" s="2" t="s">
        <v>1423</v>
      </c>
      <c r="H475" s="2" t="s">
        <v>172</v>
      </c>
      <c r="I475" s="2" t="str">
        <f>IFERROR(__xludf.DUMMYFUNCTION("GOOGLETRANSLATE(C475,""fr"",""en"")"),"Satisfied with the very attractive service and price. I am a winner. Too bad that I was not aware of zen'up before. But there I will save money and it will do good at the wallet")</f>
        <v>Satisfied with the very attractive service and price. I am a winner. Too bad that I was not aware of zen'up before. But there I will save money and it will do good at the wallet</v>
      </c>
    </row>
    <row r="476" ht="15.75" customHeight="1">
      <c r="B476" s="2" t="s">
        <v>1424</v>
      </c>
      <c r="C476" s="2" t="s">
        <v>1425</v>
      </c>
      <c r="D476" s="2" t="s">
        <v>1324</v>
      </c>
      <c r="E476" s="2" t="s">
        <v>1325</v>
      </c>
      <c r="F476" s="2" t="s">
        <v>15</v>
      </c>
      <c r="G476" s="2" t="s">
        <v>1426</v>
      </c>
      <c r="H476" s="2" t="s">
        <v>172</v>
      </c>
      <c r="I476" s="2" t="str">
        <f>IFERROR(__xludf.DUMMYFUNCTION("GOOGLETRANSLATE(C476,""fr"",""en"")"),"Very good especially perfect interlocutor super support
Very attentive. Very good competitive price. Nothing to say I recommend this insurance.
Thank you")</f>
        <v>Very good especially perfect interlocutor super support
Very attentive. Very good competitive price. Nothing to say I recommend this insurance.
Thank you</v>
      </c>
    </row>
    <row r="477" ht="15.75" customHeight="1">
      <c r="B477" s="2" t="s">
        <v>1427</v>
      </c>
      <c r="C477" s="2" t="s">
        <v>1428</v>
      </c>
      <c r="D477" s="2" t="s">
        <v>1324</v>
      </c>
      <c r="E477" s="2" t="s">
        <v>1325</v>
      </c>
      <c r="F477" s="2" t="s">
        <v>15</v>
      </c>
      <c r="G477" s="2" t="s">
        <v>1429</v>
      </c>
      <c r="H477" s="2" t="s">
        <v>172</v>
      </c>
      <c r="I477" s="2" t="str">
        <f>IFERROR(__xludf.DUMMYFUNCTION("GOOGLETRANSLATE(C477,""fr"",""en"")"),"Simplicity of the service, speed and price unbeatable
extremely satisfied
phone advisor was available and advise
")</f>
        <v>Simplicity of the service, speed and price unbeatable
extremely satisfied
phone advisor was available and advise
</v>
      </c>
    </row>
    <row r="478" ht="15.75" customHeight="1">
      <c r="B478" s="2" t="s">
        <v>1430</v>
      </c>
      <c r="C478" s="2" t="s">
        <v>1431</v>
      </c>
      <c r="D478" s="2" t="s">
        <v>1324</v>
      </c>
      <c r="E478" s="2" t="s">
        <v>1325</v>
      </c>
      <c r="F478" s="2" t="s">
        <v>15</v>
      </c>
      <c r="G478" s="2" t="s">
        <v>866</v>
      </c>
      <c r="H478" s="2" t="s">
        <v>172</v>
      </c>
      <c r="I478" s="2" t="str">
        <f>IFERROR(__xludf.DUMMYFUNCTION("GOOGLETRANSLATE(C478,""fr"",""en"")"),"Simple, efficient and fast, and really competitive.
Exchanges with a reactive and easily reachable dedicated advisor is a plus. I recommend")</f>
        <v>Simple, efficient and fast, and really competitive.
Exchanges with a reactive and easily reachable dedicated advisor is a plus. I recommend</v>
      </c>
    </row>
    <row r="479" ht="15.75" customHeight="1">
      <c r="B479" s="2" t="s">
        <v>1432</v>
      </c>
      <c r="C479" s="2" t="s">
        <v>1433</v>
      </c>
      <c r="D479" s="2" t="s">
        <v>1324</v>
      </c>
      <c r="E479" s="2" t="s">
        <v>1325</v>
      </c>
      <c r="F479" s="2" t="s">
        <v>15</v>
      </c>
      <c r="G479" s="2" t="s">
        <v>1434</v>
      </c>
      <c r="H479" s="2" t="s">
        <v>172</v>
      </c>
      <c r="I479" s="2" t="str">
        <f>IFERROR(__xludf.DUMMYFUNCTION("GOOGLETRANSLATE(C479,""fr"",""en"")"),"I am satisfied with the advice and the proposed offer
Listening quality, and the patience of my interlocutor.
I am not an easy customer and not very aware of normative and financial changes.
")</f>
        <v>I am satisfied with the advice and the proposed offer
Listening quality, and the patience of my interlocutor.
I am not an easy customer and not very aware of normative and financial changes.
</v>
      </c>
    </row>
    <row r="480" ht="15.75" customHeight="1">
      <c r="B480" s="2" t="s">
        <v>1435</v>
      </c>
      <c r="C480" s="2" t="s">
        <v>1436</v>
      </c>
      <c r="D480" s="2" t="s">
        <v>1324</v>
      </c>
      <c r="E480" s="2" t="s">
        <v>1325</v>
      </c>
      <c r="F480" s="2" t="s">
        <v>15</v>
      </c>
      <c r="G480" s="2" t="s">
        <v>1434</v>
      </c>
      <c r="H480" s="2" t="s">
        <v>172</v>
      </c>
      <c r="I480" s="2" t="str">
        <f>IFERROR(__xludf.DUMMYFUNCTION("GOOGLETRANSLATE(C480,""fr"",""en"")"),"A quality, responsive, very professional service and exceptional rates.
Thank you Zen'up.
I highly recommend them and I will go through them for my next loans.")</f>
        <v>A quality, responsive, very professional service and exceptional rates.
Thank you Zen'up.
I highly recommend them and I will go through them for my next loans.</v>
      </c>
    </row>
    <row r="481" ht="15.75" customHeight="1">
      <c r="B481" s="2" t="s">
        <v>1437</v>
      </c>
      <c r="C481" s="2" t="s">
        <v>1438</v>
      </c>
      <c r="D481" s="2" t="s">
        <v>1324</v>
      </c>
      <c r="E481" s="2" t="s">
        <v>1325</v>
      </c>
      <c r="F481" s="2" t="s">
        <v>15</v>
      </c>
      <c r="G481" s="2" t="s">
        <v>1439</v>
      </c>
      <c r="H481" s="2" t="s">
        <v>172</v>
      </c>
      <c r="I481" s="2" t="str">
        <f>IFERROR(__xludf.DUMMYFUNCTION("GOOGLETRANSLATE(C481,""fr"",""en"")"),"I am satisfied with the service I am satisfied with the prices I am satisfied with the welcome and the care of my file and I no longer know what to mark")</f>
        <v>I am satisfied with the service I am satisfied with the prices I am satisfied with the welcome and the care of my file and I no longer know what to mark</v>
      </c>
    </row>
    <row r="482" ht="15.75" customHeight="1">
      <c r="B482" s="2" t="s">
        <v>1440</v>
      </c>
      <c r="C482" s="2" t="s">
        <v>1441</v>
      </c>
      <c r="D482" s="2" t="s">
        <v>1324</v>
      </c>
      <c r="E482" s="2" t="s">
        <v>1325</v>
      </c>
      <c r="F482" s="2" t="s">
        <v>15</v>
      </c>
      <c r="G482" s="2" t="s">
        <v>1439</v>
      </c>
      <c r="H482" s="2" t="s">
        <v>172</v>
      </c>
      <c r="I482" s="2" t="str">
        <f>IFERROR(__xludf.DUMMYFUNCTION("GOOGLETRANSLATE(C482,""fr"",""en"")"),"Excellent online service and on the phone. The team is very helpful and the price is perfect. Insurance in 7 days! Quick schedules and a nice and motivated team")</f>
        <v>Excellent online service and on the phone. The team is very helpful and the price is perfect. Insurance in 7 days! Quick schedules and a nice and motivated team</v>
      </c>
    </row>
    <row r="483" ht="15.75" customHeight="1">
      <c r="B483" s="2" t="s">
        <v>1442</v>
      </c>
      <c r="C483" s="2" t="s">
        <v>1443</v>
      </c>
      <c r="D483" s="2" t="s">
        <v>1324</v>
      </c>
      <c r="E483" s="2" t="s">
        <v>1325</v>
      </c>
      <c r="F483" s="2" t="s">
        <v>15</v>
      </c>
      <c r="G483" s="2" t="s">
        <v>1444</v>
      </c>
      <c r="H483" s="2" t="s">
        <v>172</v>
      </c>
      <c r="I483" s="2" t="str">
        <f>IFERROR(__xludf.DUMMYFUNCTION("GOOGLETRANSLATE(C483,""fr"",""en"")"),"I am satisfied with the prices that the organization offers. The prices are really very attractive. Therefore, we have no choice but to subscribe to this insurance.")</f>
        <v>I am satisfied with the prices that the organization offers. The prices are really very attractive. Therefore, we have no choice but to subscribe to this insurance.</v>
      </c>
    </row>
    <row r="484" ht="15.75" customHeight="1">
      <c r="B484" s="2" t="s">
        <v>1445</v>
      </c>
      <c r="C484" s="2" t="s">
        <v>1446</v>
      </c>
      <c r="D484" s="2" t="s">
        <v>1324</v>
      </c>
      <c r="E484" s="2" t="s">
        <v>1325</v>
      </c>
      <c r="F484" s="2" t="s">
        <v>15</v>
      </c>
      <c r="G484" s="2" t="s">
        <v>1447</v>
      </c>
      <c r="H484" s="2" t="s">
        <v>172</v>
      </c>
      <c r="I484" s="2" t="str">
        <f>IFERROR(__xludf.DUMMYFUNCTION("GOOGLETRANSLATE(C484,""fr"",""en"")"),"Everything is at the top person on the phone very pleasant friendly top price nothing to say always available for the slightest problem I highly recommend top top")</f>
        <v>Everything is at the top person on the phone very pleasant friendly top price nothing to say always available for the slightest problem I highly recommend top top</v>
      </c>
    </row>
    <row r="485" ht="15.75" customHeight="1">
      <c r="B485" s="2" t="s">
        <v>1448</v>
      </c>
      <c r="C485" s="2" t="s">
        <v>1449</v>
      </c>
      <c r="D485" s="2" t="s">
        <v>1324</v>
      </c>
      <c r="E485" s="2" t="s">
        <v>1325</v>
      </c>
      <c r="F485" s="2" t="s">
        <v>15</v>
      </c>
      <c r="G485" s="2" t="s">
        <v>492</v>
      </c>
      <c r="H485" s="2" t="s">
        <v>172</v>
      </c>
      <c r="I485" s="2" t="str">
        <f>IFERROR(__xludf.DUMMYFUNCTION("GOOGLETRANSLATE(C485,""fr"",""en"")"),"The telephone contact that I had throughout my subscription was decisive: kind, listening and competent.
Now to see over the duration if the insurance subscribed remains competitive and holds up.")</f>
        <v>The telephone contact that I had throughout my subscription was decisive: kind, listening and competent.
Now to see over the duration if the insurance subscribed remains competitive and holds up.</v>
      </c>
    </row>
    <row r="486" ht="15.75" customHeight="1">
      <c r="B486" s="2" t="s">
        <v>1450</v>
      </c>
      <c r="C486" s="2" t="s">
        <v>1451</v>
      </c>
      <c r="D486" s="2" t="s">
        <v>1324</v>
      </c>
      <c r="E486" s="2" t="s">
        <v>1325</v>
      </c>
      <c r="F486" s="2" t="s">
        <v>15</v>
      </c>
      <c r="G486" s="2" t="s">
        <v>492</v>
      </c>
      <c r="H486" s="2" t="s">
        <v>172</v>
      </c>
      <c r="I486" s="2" t="str">
        <f>IFERROR(__xludf.DUMMYFUNCTION("GOOGLETRANSLATE(C486,""fr"",""en"")"),"I am very satisfied with the service, the price level. Very personalized advisor always listening it is the second insurance with you Marian")</f>
        <v>I am very satisfied with the service, the price level. Very personalized advisor always listening it is the second insurance with you Marian</v>
      </c>
    </row>
    <row r="487" ht="15.75" customHeight="1">
      <c r="B487" s="2" t="s">
        <v>1452</v>
      </c>
      <c r="C487" s="2" t="s">
        <v>1453</v>
      </c>
      <c r="D487" s="2" t="s">
        <v>1324</v>
      </c>
      <c r="E487" s="2" t="s">
        <v>1325</v>
      </c>
      <c r="F487" s="2" t="s">
        <v>15</v>
      </c>
      <c r="G487" s="2" t="s">
        <v>1454</v>
      </c>
      <c r="H487" s="2" t="s">
        <v>172</v>
      </c>
      <c r="I487" s="2" t="str">
        <f>IFERROR(__xludf.DUMMYFUNCTION("GOOGLETRANSLATE(C487,""fr"",""en"")"),"Efficient, fast service with attractive prices! Reactive and attentive advisers who provide relevant advice in managing your project.")</f>
        <v>Efficient, fast service with attractive prices! Reactive and attentive advisers who provide relevant advice in managing your project.</v>
      </c>
    </row>
    <row r="488" ht="15.75" customHeight="1">
      <c r="B488" s="2" t="s">
        <v>1455</v>
      </c>
      <c r="C488" s="2" t="s">
        <v>1456</v>
      </c>
      <c r="D488" s="2" t="s">
        <v>1324</v>
      </c>
      <c r="E488" s="2" t="s">
        <v>1325</v>
      </c>
      <c r="F488" s="2" t="s">
        <v>15</v>
      </c>
      <c r="G488" s="2" t="s">
        <v>172</v>
      </c>
      <c r="H488" s="2" t="s">
        <v>172</v>
      </c>
      <c r="I488" s="2" t="str">
        <f>IFERROR(__xludf.DUMMYFUNCTION("GOOGLETRANSLATE(C488,""fr"",""en"")"),"Easy to use service. Simple fast efficient! Top ! Another little effort on the price and it's perfect! I have any other credit to bring to Zen'up and I would do it with good heart I recommend to all my friends!")</f>
        <v>Easy to use service. Simple fast efficient! Top ! Another little effort on the price and it's perfect! I have any other credit to bring to Zen'up and I would do it with good heart I recommend to all my friends!</v>
      </c>
    </row>
    <row r="489" ht="15.75" customHeight="1">
      <c r="B489" s="2" t="s">
        <v>1457</v>
      </c>
      <c r="C489" s="2" t="s">
        <v>1458</v>
      </c>
      <c r="D489" s="2" t="s">
        <v>1324</v>
      </c>
      <c r="E489" s="2" t="s">
        <v>1325</v>
      </c>
      <c r="F489" s="2" t="s">
        <v>15</v>
      </c>
      <c r="G489" s="2" t="s">
        <v>1459</v>
      </c>
      <c r="H489" s="2" t="s">
        <v>496</v>
      </c>
      <c r="I489" s="2" t="str">
        <f>IFERROR(__xludf.DUMMYFUNCTION("GOOGLETRANSLATE(C489,""fr"",""en"")"),"Unfortunately the very unpleasant advisor on the phone tells me dryly that they never call on a foreign number (difficult to have a French number by being non-resident French).
We will choose another insurance for our mortgage in France.")</f>
        <v>Unfortunately the very unpleasant advisor on the phone tells me dryly that they never call on a foreign number (difficult to have a French number by being non-resident French).
We will choose another insurance for our mortgage in France.</v>
      </c>
    </row>
    <row r="490" ht="15.75" customHeight="1">
      <c r="B490" s="2" t="s">
        <v>1460</v>
      </c>
      <c r="C490" s="2" t="s">
        <v>1461</v>
      </c>
      <c r="D490" s="2" t="s">
        <v>1324</v>
      </c>
      <c r="E490" s="2" t="s">
        <v>1325</v>
      </c>
      <c r="F490" s="2" t="s">
        <v>15</v>
      </c>
      <c r="G490" s="2" t="s">
        <v>637</v>
      </c>
      <c r="H490" s="2" t="s">
        <v>496</v>
      </c>
      <c r="I490" s="2" t="str">
        <f>IFERROR(__xludf.DUMMYFUNCTION("GOOGLETRANSLATE(C490,""fr"",""en"")"),"Very well nothing to say. Pleasant person attractive price. I recommend. The costs are not expensive next to other competitors is worth it ....")</f>
        <v>Very well nothing to say. Pleasant person attractive price. I recommend. The costs are not expensive next to other competitors is worth it ....</v>
      </c>
    </row>
    <row r="491" ht="15.75" customHeight="1">
      <c r="B491" s="2" t="s">
        <v>1462</v>
      </c>
      <c r="C491" s="2" t="s">
        <v>1463</v>
      </c>
      <c r="D491" s="2" t="s">
        <v>1324</v>
      </c>
      <c r="E491" s="2" t="s">
        <v>1325</v>
      </c>
      <c r="F491" s="2" t="s">
        <v>15</v>
      </c>
      <c r="G491" s="2" t="s">
        <v>637</v>
      </c>
      <c r="H491" s="2" t="s">
        <v>496</v>
      </c>
      <c r="I491" s="2" t="str">
        <f>IFERROR(__xludf.DUMMYFUNCTION("GOOGLETRANSLATE(C491,""fr"",""en"")"),"I am very satisfied with the service. Mr. Séraphin is very competent and attentive. I was very well accompanied and the prices are very interesting. I recommend Zen'up.")</f>
        <v>I am very satisfied with the service. Mr. Séraphin is very competent and attentive. I was very well accompanied and the prices are very interesting. I recommend Zen'up.</v>
      </c>
    </row>
    <row r="492" ht="15.75" customHeight="1">
      <c r="B492" s="2" t="s">
        <v>1464</v>
      </c>
      <c r="C492" s="2" t="s">
        <v>1465</v>
      </c>
      <c r="D492" s="2" t="s">
        <v>1324</v>
      </c>
      <c r="E492" s="2" t="s">
        <v>1325</v>
      </c>
      <c r="F492" s="2" t="s">
        <v>15</v>
      </c>
      <c r="G492" s="2" t="s">
        <v>1466</v>
      </c>
      <c r="H492" s="2" t="s">
        <v>496</v>
      </c>
      <c r="I492" s="2" t="str">
        <f>IFERROR(__xludf.DUMMYFUNCTION("GOOGLETRANSLATE(C492,""fr"",""en"")"),"Zen'up practices the best prices found, my interlocutor was clear and pleasant on the phone and my steps were fast, no hassle to have.")</f>
        <v>Zen'up practices the best prices found, my interlocutor was clear and pleasant on the phone and my steps were fast, no hassle to have.</v>
      </c>
    </row>
    <row r="493" ht="15.75" customHeight="1">
      <c r="B493" s="2" t="s">
        <v>1467</v>
      </c>
      <c r="C493" s="2" t="s">
        <v>1468</v>
      </c>
      <c r="D493" s="2" t="s">
        <v>1324</v>
      </c>
      <c r="E493" s="2" t="s">
        <v>1325</v>
      </c>
      <c r="F493" s="2" t="s">
        <v>15</v>
      </c>
      <c r="G493" s="2" t="s">
        <v>1469</v>
      </c>
      <c r="H493" s="2" t="s">
        <v>496</v>
      </c>
      <c r="I493" s="2" t="str">
        <f>IFERROR(__xludf.DUMMYFUNCTION("GOOGLETRANSLATE(C493,""fr"",""en"")"),"We are very satisfied with the services of the Zen’Up company for the exceptional responsiveness of the advisor who takes care of us and the ultra competitive prices. We will use them whenever it is necessary.")</f>
        <v>We are very satisfied with the services of the Zen’Up company for the exceptional responsiveness of the advisor who takes care of us and the ultra competitive prices. We will use them whenever it is necessary.</v>
      </c>
    </row>
    <row r="494" ht="15.75" customHeight="1">
      <c r="B494" s="2" t="s">
        <v>1470</v>
      </c>
      <c r="C494" s="2" t="s">
        <v>1471</v>
      </c>
      <c r="D494" s="2" t="s">
        <v>1324</v>
      </c>
      <c r="E494" s="2" t="s">
        <v>1325</v>
      </c>
      <c r="F494" s="2" t="s">
        <v>15</v>
      </c>
      <c r="G494" s="2" t="s">
        <v>649</v>
      </c>
      <c r="H494" s="2" t="s">
        <v>496</v>
      </c>
      <c r="I494" s="2" t="str">
        <f>IFERROR(__xludf.DUMMYFUNCTION("GOOGLETRANSLATE(C494,""fr"",""en"")"),"My Séraphin interlocutor is very attentive and patient. Took all his time to do the step to the end step by step.
The prices are interesting.")</f>
        <v>My Séraphin interlocutor is very attentive and patient. Took all his time to do the step to the end step by step.
The prices are interesting.</v>
      </c>
    </row>
    <row r="495" ht="15.75" customHeight="1">
      <c r="B495" s="2" t="s">
        <v>1472</v>
      </c>
      <c r="C495" s="2" t="s">
        <v>1473</v>
      </c>
      <c r="D495" s="2" t="s">
        <v>1324</v>
      </c>
      <c r="E495" s="2" t="s">
        <v>1325</v>
      </c>
      <c r="F495" s="2" t="s">
        <v>15</v>
      </c>
      <c r="G495" s="2" t="s">
        <v>1474</v>
      </c>
      <c r="H495" s="2" t="s">
        <v>496</v>
      </c>
      <c r="I495" s="2" t="str">
        <f>IFERROR(__xludf.DUMMYFUNCTION("GOOGLETRANSLATE(C495,""fr"",""en"")"),"
Simple and practical
Fast, we will see in time, friendly and available staff
Cheaper than many others, I hope not to get sick ...
")</f>
        <v>
Simple and practical
Fast, we will see in time, friendly and available staff
Cheaper than many others, I hope not to get sick ...
</v>
      </c>
    </row>
    <row r="496" ht="15.75" customHeight="1">
      <c r="B496" s="2" t="s">
        <v>1475</v>
      </c>
      <c r="C496" s="2" t="s">
        <v>1476</v>
      </c>
      <c r="D496" s="2" t="s">
        <v>1324</v>
      </c>
      <c r="E496" s="2" t="s">
        <v>1325</v>
      </c>
      <c r="F496" s="2" t="s">
        <v>15</v>
      </c>
      <c r="G496" s="2" t="s">
        <v>1477</v>
      </c>
      <c r="H496" s="2" t="s">
        <v>496</v>
      </c>
      <c r="I496" s="2" t="str">
        <f>IFERROR(__xludf.DUMMYFUNCTION("GOOGLETRANSLATE(C496,""fr"",""en"")"),"Simple, practical and fast, see for the future!
I am waiting for your information to terminate with current insurance.
I could, at the end of the manipulation, note more precisely and give an opinion.")</f>
        <v>Simple, practical and fast, see for the future!
I am waiting for your information to terminate with current insurance.
I could, at the end of the manipulation, note more precisely and give an opinion.</v>
      </c>
    </row>
    <row r="497" ht="15.75" customHeight="1">
      <c r="B497" s="2" t="s">
        <v>1478</v>
      </c>
      <c r="C497" s="2" t="s">
        <v>1479</v>
      </c>
      <c r="D497" s="2" t="s">
        <v>1324</v>
      </c>
      <c r="E497" s="2" t="s">
        <v>1325</v>
      </c>
      <c r="F497" s="2" t="s">
        <v>15</v>
      </c>
      <c r="G497" s="2" t="s">
        <v>1480</v>
      </c>
      <c r="H497" s="2" t="s">
        <v>496</v>
      </c>
      <c r="I497" s="2" t="str">
        <f>IFERROR(__xludf.DUMMYFUNCTION("GOOGLETRANSLATE(C497,""fr"",""en"")"),"I am satisfied
I highly recommend
Thank you again for your speed and your call as well as your very pedagogical explanations
paradation offer")</f>
        <v>I am satisfied
I highly recommend
Thank you again for your speed and your call as well as your very pedagogical explanations
paradation offer</v>
      </c>
    </row>
    <row r="498" ht="15.75" customHeight="1">
      <c r="B498" s="2" t="s">
        <v>1481</v>
      </c>
      <c r="C498" s="2" t="s">
        <v>1482</v>
      </c>
      <c r="D498" s="2" t="s">
        <v>1324</v>
      </c>
      <c r="E498" s="2" t="s">
        <v>1325</v>
      </c>
      <c r="F498" s="2" t="s">
        <v>15</v>
      </c>
      <c r="G498" s="2" t="s">
        <v>1480</v>
      </c>
      <c r="H498" s="2" t="s">
        <v>496</v>
      </c>
      <c r="I498" s="2" t="str">
        <f>IFERROR(__xludf.DUMMYFUNCTION("GOOGLETRANSLATE(C498,""fr"",""en"")"),"Simple, fast and attractive prices.
The service is reactive to meet the various modification requests and the validation of the immediate file.")</f>
        <v>Simple, fast and attractive prices.
The service is reactive to meet the various modification requests and the validation of the immediate file.</v>
      </c>
    </row>
    <row r="499" ht="15.75" customHeight="1">
      <c r="B499" s="2" t="s">
        <v>1483</v>
      </c>
      <c r="C499" s="2" t="s">
        <v>1484</v>
      </c>
      <c r="D499" s="2" t="s">
        <v>1324</v>
      </c>
      <c r="E499" s="2" t="s">
        <v>1325</v>
      </c>
      <c r="F499" s="2" t="s">
        <v>15</v>
      </c>
      <c r="G499" s="2" t="s">
        <v>496</v>
      </c>
      <c r="H499" s="2" t="s">
        <v>496</v>
      </c>
      <c r="I499" s="2" t="str">
        <f>IFERROR(__xludf.DUMMYFUNCTION("GOOGLETRANSLATE(C499,""fr"",""en"")"),"I am satisfied with Zenup
To go further in the satisfaction process, why not offer a mandate to your customers and send and proceeds to their places for a price supplement of course")</f>
        <v>I am satisfied with Zenup
To go further in the satisfaction process, why not offer a mandate to your customers and send and proceeds to their places for a price supplement of course</v>
      </c>
    </row>
    <row r="500" ht="15.75" customHeight="1">
      <c r="B500" s="2" t="s">
        <v>1485</v>
      </c>
      <c r="C500" s="2" t="s">
        <v>1486</v>
      </c>
      <c r="D500" s="2" t="s">
        <v>1324</v>
      </c>
      <c r="E500" s="2" t="s">
        <v>1325</v>
      </c>
      <c r="F500" s="2" t="s">
        <v>15</v>
      </c>
      <c r="G500" s="2" t="s">
        <v>1487</v>
      </c>
      <c r="H500" s="2" t="s">
        <v>179</v>
      </c>
      <c r="I500" s="2" t="str">
        <f>IFERROR(__xludf.DUMMYFUNCTION("GOOGLETRANSLATE(C500,""fr"",""en"")"),"Reactive and efficient advisor
Reactive and efficient advisor Reactive and efficient reactive and effective reactive and effective")</f>
        <v>Reactive and efficient advisor
Reactive and efficient advisor Reactive and efficient reactive and effective reactive and effective</v>
      </c>
    </row>
    <row r="501" ht="15.75" customHeight="1">
      <c r="B501" s="2" t="s">
        <v>1488</v>
      </c>
      <c r="C501" s="2" t="s">
        <v>1489</v>
      </c>
      <c r="D501" s="2" t="s">
        <v>1324</v>
      </c>
      <c r="E501" s="2" t="s">
        <v>1325</v>
      </c>
      <c r="F501" s="2" t="s">
        <v>15</v>
      </c>
      <c r="G501" s="2" t="s">
        <v>1490</v>
      </c>
      <c r="H501" s="2" t="s">
        <v>179</v>
      </c>
      <c r="I501" s="2" t="str">
        <f>IFERROR(__xludf.DUMMYFUNCTION("GOOGLETRANSLATE(C501,""fr"",""en"")"),"I am satisfied with the service. Prices are the cheapest I have been able to get.
My interlocutor has always been attentive, of great availability and unparalleled kindness.")</f>
        <v>I am satisfied with the service. Prices are the cheapest I have been able to get.
My interlocutor has always been attentive, of great availability and unparalleled kindness.</v>
      </c>
    </row>
    <row r="502" ht="15.75" customHeight="1">
      <c r="B502" s="2" t="s">
        <v>1491</v>
      </c>
      <c r="C502" s="2" t="s">
        <v>1492</v>
      </c>
      <c r="D502" s="2" t="s">
        <v>1324</v>
      </c>
      <c r="E502" s="2" t="s">
        <v>1325</v>
      </c>
      <c r="F502" s="2" t="s">
        <v>15</v>
      </c>
      <c r="G502" s="2" t="s">
        <v>1490</v>
      </c>
      <c r="H502" s="2" t="s">
        <v>179</v>
      </c>
      <c r="I502" s="2" t="str">
        <f>IFERROR(__xludf.DUMMYFUNCTION("GOOGLETRANSLATE(C502,""fr"",""en"")"),"The prices are very attractive, good management on the part of advisers and good responsiveness, I am satisfied with the entire process, no opinion on the incident part for the moment.")</f>
        <v>The prices are very attractive, good management on the part of advisers and good responsiveness, I am satisfied with the entire process, no opinion on the incident part for the moment.</v>
      </c>
    </row>
    <row r="503" ht="15.75" customHeight="1">
      <c r="B503" s="2" t="s">
        <v>1493</v>
      </c>
      <c r="C503" s="2" t="s">
        <v>1494</v>
      </c>
      <c r="D503" s="2" t="s">
        <v>1324</v>
      </c>
      <c r="E503" s="2" t="s">
        <v>1325</v>
      </c>
      <c r="F503" s="2" t="s">
        <v>15</v>
      </c>
      <c r="G503" s="2" t="s">
        <v>1495</v>
      </c>
      <c r="H503" s="2" t="s">
        <v>179</v>
      </c>
      <c r="I503" s="2" t="str">
        <f>IFERROR(__xludf.DUMMYFUNCTION("GOOGLETRANSLATE(C503,""fr"",""en"")"),"I am very satisfied with the speed of treatment and the responsiveness of the advisor who processed my file. She knew how to answer my questions or find the answer so that I was 100%informed, and reminded me as soon as I left her a message.")</f>
        <v>I am very satisfied with the speed of treatment and the responsiveness of the advisor who processed my file. She knew how to answer my questions or find the answer so that I was 100%informed, and reminded me as soon as I left her a message.</v>
      </c>
    </row>
    <row r="504" ht="15.75" customHeight="1">
      <c r="B504" s="2" t="s">
        <v>1496</v>
      </c>
      <c r="C504" s="2" t="s">
        <v>1497</v>
      </c>
      <c r="D504" s="2" t="s">
        <v>1324</v>
      </c>
      <c r="E504" s="2" t="s">
        <v>1325</v>
      </c>
      <c r="F504" s="2" t="s">
        <v>15</v>
      </c>
      <c r="G504" s="2" t="s">
        <v>1498</v>
      </c>
      <c r="H504" s="2" t="s">
        <v>179</v>
      </c>
      <c r="I504" s="2" t="str">
        <f>IFERROR(__xludf.DUMMYFUNCTION("GOOGLETRANSLATE(C504,""fr"",""en"")"),"I am currently a customer of the savings bank who works with CNP Insurance. I have subscribed.
I would only be satisfied if my file is accepted.")</f>
        <v>I am currently a customer of the savings bank who works with CNP Insurance. I have subscribed.
I would only be satisfied if my file is accepted.</v>
      </c>
    </row>
    <row r="505" ht="15.75" customHeight="1">
      <c r="B505" s="2" t="s">
        <v>1499</v>
      </c>
      <c r="C505" s="2" t="s">
        <v>1500</v>
      </c>
      <c r="D505" s="2" t="s">
        <v>1324</v>
      </c>
      <c r="E505" s="2" t="s">
        <v>1325</v>
      </c>
      <c r="F505" s="2" t="s">
        <v>15</v>
      </c>
      <c r="G505" s="2" t="s">
        <v>1501</v>
      </c>
      <c r="H505" s="2" t="s">
        <v>179</v>
      </c>
      <c r="I505" s="2" t="str">
        <f>IFERROR(__xludf.DUMMYFUNCTION("GOOGLETRANSLATE(C505,""fr"",""en"")"),"I am delighted with the services and responsiveness of my advisor
                                                     ")</f>
        <v>I am delighted with the services and responsiveness of my advisor
                                                     </v>
      </c>
    </row>
    <row r="506" ht="15.75" customHeight="1">
      <c r="B506" s="2" t="s">
        <v>1502</v>
      </c>
      <c r="C506" s="2" t="s">
        <v>1503</v>
      </c>
      <c r="D506" s="2" t="s">
        <v>1324</v>
      </c>
      <c r="E506" s="2" t="s">
        <v>1325</v>
      </c>
      <c r="F506" s="2" t="s">
        <v>15</v>
      </c>
      <c r="G506" s="2" t="s">
        <v>1504</v>
      </c>
      <c r="H506" s="2" t="s">
        <v>179</v>
      </c>
      <c r="I506" s="2" t="str">
        <f>IFERROR(__xludf.DUMMYFUNCTION("GOOGLETRANSLATE(C506,""fr"",""en"")"),"This insurance meets my needs and waiting. Easy subscription given the COVID CONJUNTORY 19.
Competitive price and easily advised reachable. Do not change anything.
Thank you")</f>
        <v>This insurance meets my needs and waiting. Easy subscription given the COVID CONJUNTORY 19.
Competitive price and easily advised reachable. Do not change anything.
Thank you</v>
      </c>
    </row>
    <row r="507" ht="15.75" customHeight="1">
      <c r="B507" s="2" t="s">
        <v>1505</v>
      </c>
      <c r="C507" s="2" t="s">
        <v>1506</v>
      </c>
      <c r="D507" s="2" t="s">
        <v>1324</v>
      </c>
      <c r="E507" s="2" t="s">
        <v>1325</v>
      </c>
      <c r="F507" s="2" t="s">
        <v>15</v>
      </c>
      <c r="G507" s="2" t="s">
        <v>1504</v>
      </c>
      <c r="H507" s="2" t="s">
        <v>179</v>
      </c>
      <c r="I507" s="2" t="str">
        <f>IFERROR(__xludf.DUMMYFUNCTION("GOOGLETRANSLATE(C507,""fr"",""en"")"),"Very satisfied with the service, good telephone contact, very attractive price, simplicity of subscription for a new loan insurance file. thank you")</f>
        <v>Very satisfied with the service, good telephone contact, very attractive price, simplicity of subscription for a new loan insurance file. thank you</v>
      </c>
    </row>
    <row r="508" ht="15.75" customHeight="1">
      <c r="B508" s="2" t="s">
        <v>1507</v>
      </c>
      <c r="C508" s="2" t="s">
        <v>1508</v>
      </c>
      <c r="D508" s="2" t="s">
        <v>1324</v>
      </c>
      <c r="E508" s="2" t="s">
        <v>1325</v>
      </c>
      <c r="F508" s="2" t="s">
        <v>15</v>
      </c>
      <c r="G508" s="2" t="s">
        <v>1509</v>
      </c>
      <c r="H508" s="2" t="s">
        <v>179</v>
      </c>
      <c r="I508" s="2" t="str">
        <f>IFERROR(__xludf.DUMMYFUNCTION("GOOGLETRANSLATE(C508,""fr"",""en"")"),"VERY WELL THANK YOU
I recommend Zen Up to all my friends
Cordially
                          ")</f>
        <v>VERY WELL THANK YOU
I recommend Zen Up to all my friends
Cordially
                          </v>
      </c>
    </row>
    <row r="509" ht="15.75" customHeight="1">
      <c r="B509" s="2" t="s">
        <v>1510</v>
      </c>
      <c r="C509" s="2" t="s">
        <v>1511</v>
      </c>
      <c r="D509" s="2" t="s">
        <v>1324</v>
      </c>
      <c r="E509" s="2" t="s">
        <v>1325</v>
      </c>
      <c r="F509" s="2" t="s">
        <v>15</v>
      </c>
      <c r="G509" s="2" t="s">
        <v>1512</v>
      </c>
      <c r="H509" s="2" t="s">
        <v>179</v>
      </c>
      <c r="I509" s="2" t="str">
        <f>IFERROR(__xludf.DUMMYFUNCTION("GOOGLETRANSLATE(C509,""fr"",""en"")"),"Pleasant and helpful welcome, however the computer teams that carry out the support do not seem to be very effective in ensuring the maintenance of their platform.
A problem on authentication, the solution? Ask me to recreate a new account related to a"&amp;" new email address.
If already the authentication part presents dysfunctions and they are not able to solve the problem, I am a little afraid for data security ...")</f>
        <v>Pleasant and helpful welcome, however the computer teams that carry out the support do not seem to be very effective in ensuring the maintenance of their platform.
A problem on authentication, the solution? Ask me to recreate a new account related to a new email address.
If already the authentication part presents dysfunctions and they are not able to solve the problem, I am a little afraid for data security ...</v>
      </c>
    </row>
    <row r="510" ht="15.75" customHeight="1">
      <c r="B510" s="2" t="s">
        <v>1513</v>
      </c>
      <c r="C510" s="2" t="s">
        <v>1514</v>
      </c>
      <c r="D510" s="2" t="s">
        <v>1324</v>
      </c>
      <c r="E510" s="2" t="s">
        <v>1325</v>
      </c>
      <c r="F510" s="2" t="s">
        <v>15</v>
      </c>
      <c r="G510" s="2" t="s">
        <v>877</v>
      </c>
      <c r="H510" s="2" t="s">
        <v>179</v>
      </c>
      <c r="I510" s="2" t="str">
        <f>IFERROR(__xludf.DUMMYFUNCTION("GOOGLETRANSLATE(C510,""fr"",""en"")"),"I AM SATISFIED WITH THE SERVICE. Good welcome the advisor and the listening of customers and it is well advised and he is reactive that we ask him for information")</f>
        <v>I AM SATISFIED WITH THE SERVICE. Good welcome the advisor and the listening of customers and it is well advised and he is reactive that we ask him for information</v>
      </c>
    </row>
    <row r="511" ht="15.75" customHeight="1">
      <c r="B511" s="2" t="s">
        <v>1515</v>
      </c>
      <c r="C511" s="2" t="s">
        <v>1516</v>
      </c>
      <c r="D511" s="2" t="s">
        <v>1324</v>
      </c>
      <c r="E511" s="2" t="s">
        <v>1325</v>
      </c>
      <c r="F511" s="2" t="s">
        <v>15</v>
      </c>
      <c r="G511" s="2" t="s">
        <v>1075</v>
      </c>
      <c r="H511" s="2" t="s">
        <v>179</v>
      </c>
      <c r="I511" s="2" t="str">
        <f>IFERROR(__xludf.DUMMYFUNCTION("GOOGLETRANSLATE(C511,""fr"",""en"")"),"I am very satisfied, the gain is really very significant, the advice is attentive.
In short, no complaints, I fully recommend this Zen Up.")</f>
        <v>I am very satisfied, the gain is really very significant, the advice is attentive.
In short, no complaints, I fully recommend this Zen Up.</v>
      </c>
    </row>
    <row r="512" ht="15.75" customHeight="1">
      <c r="B512" s="2" t="s">
        <v>1517</v>
      </c>
      <c r="C512" s="2" t="s">
        <v>1518</v>
      </c>
      <c r="D512" s="2" t="s">
        <v>1324</v>
      </c>
      <c r="E512" s="2" t="s">
        <v>1325</v>
      </c>
      <c r="F512" s="2" t="s">
        <v>15</v>
      </c>
      <c r="G512" s="2" t="s">
        <v>1075</v>
      </c>
      <c r="H512" s="2" t="s">
        <v>179</v>
      </c>
      <c r="I512" s="2" t="str">
        <f>IFERROR(__xludf.DUMMYFUNCTION("GOOGLETRANSLATE(C512,""fr"",""en"")"),"I am satisfied with the service, the prices are competitive and the answers to the questions were rapid. Very little wait during the calls that I had to make")</f>
        <v>I am satisfied with the service, the prices are competitive and the answers to the questions were rapid. Very little wait during the calls that I had to make</v>
      </c>
    </row>
    <row r="513" ht="15.75" customHeight="1">
      <c r="B513" s="2" t="s">
        <v>1519</v>
      </c>
      <c r="C513" s="2" t="s">
        <v>1520</v>
      </c>
      <c r="D513" s="2" t="s">
        <v>1324</v>
      </c>
      <c r="E513" s="2" t="s">
        <v>1325</v>
      </c>
      <c r="F513" s="2" t="s">
        <v>15</v>
      </c>
      <c r="G513" s="2" t="s">
        <v>1521</v>
      </c>
      <c r="H513" s="2" t="s">
        <v>194</v>
      </c>
      <c r="I513" s="2" t="str">
        <f>IFERROR(__xludf.DUMMYFUNCTION("GOOGLETRANSLATE(C513,""fr"",""en"")"),"100% digital approach. Simple, fast, super efficient, unbeatable price for change of borrower insurance. Much cheaper than group insurance imposed.")</f>
        <v>100% digital approach. Simple, fast, super efficient, unbeatable price for change of borrower insurance. Much cheaper than group insurance imposed.</v>
      </c>
    </row>
    <row r="514" ht="15.75" customHeight="1">
      <c r="B514" s="2" t="s">
        <v>1522</v>
      </c>
      <c r="C514" s="2" t="s">
        <v>1523</v>
      </c>
      <c r="D514" s="2" t="s">
        <v>1324</v>
      </c>
      <c r="E514" s="2" t="s">
        <v>1325</v>
      </c>
      <c r="F514" s="2" t="s">
        <v>15</v>
      </c>
      <c r="G514" s="2" t="s">
        <v>502</v>
      </c>
      <c r="H514" s="2" t="s">
        <v>194</v>
      </c>
      <c r="I514" s="2" t="str">
        <f>IFERROR(__xludf.DUMMYFUNCTION("GOOGLETRANSLATE(C514,""fr"",""en"")"),"Very attractive and competitive price.
Ultra fast and competent services.
This is the 3rd time that we contract with Zen'up
I highly recommend !")</f>
        <v>Very attractive and competitive price.
Ultra fast and competent services.
This is the 3rd time that we contract with Zen'up
I highly recommend !</v>
      </c>
    </row>
    <row r="515" ht="15.75" customHeight="1">
      <c r="B515" s="2" t="s">
        <v>1524</v>
      </c>
      <c r="C515" s="2" t="s">
        <v>1525</v>
      </c>
      <c r="D515" s="2" t="s">
        <v>1324</v>
      </c>
      <c r="E515" s="2" t="s">
        <v>1325</v>
      </c>
      <c r="F515" s="2" t="s">
        <v>15</v>
      </c>
      <c r="G515" s="2" t="s">
        <v>1526</v>
      </c>
      <c r="H515" s="2" t="s">
        <v>194</v>
      </c>
      <c r="I515" s="2" t="str">
        <f>IFERROR(__xludf.DUMMYFUNCTION("GOOGLETRANSLATE(C515,""fr"",""en"")"),"I am satisfied with the service. Efficacity availability and responsiveness are the watchwords effort of your brand I would like to thank Mademoiselle IMANE in particular who was exemplary in her function.")</f>
        <v>I am satisfied with the service. Efficacity availability and responsiveness are the watchwords effort of your brand I would like to thank Mademoiselle IMANE in particular who was exemplary in her function.</v>
      </c>
    </row>
    <row r="516" ht="15.75" customHeight="1">
      <c r="B516" s="2" t="s">
        <v>1527</v>
      </c>
      <c r="C516" s="2" t="s">
        <v>1528</v>
      </c>
      <c r="D516" s="2" t="s">
        <v>1324</v>
      </c>
      <c r="E516" s="2" t="s">
        <v>1325</v>
      </c>
      <c r="F516" s="2" t="s">
        <v>15</v>
      </c>
      <c r="G516" s="2" t="s">
        <v>1526</v>
      </c>
      <c r="H516" s="2" t="s">
        <v>194</v>
      </c>
      <c r="I516" s="2" t="str">
        <f>IFERROR(__xludf.DUMMYFUNCTION("GOOGLETRANSLATE(C516,""fr"",""en"")"),"Very well on prices and information by telephone but lacks support so that it is the company that does the termination procedures with the current insurer")</f>
        <v>Very well on prices and information by telephone but lacks support so that it is the company that does the termination procedures with the current insurer</v>
      </c>
    </row>
    <row r="517" ht="15.75" customHeight="1">
      <c r="B517" s="2" t="s">
        <v>1529</v>
      </c>
      <c r="C517" s="2" t="s">
        <v>1530</v>
      </c>
      <c r="D517" s="2" t="s">
        <v>1324</v>
      </c>
      <c r="E517" s="2" t="s">
        <v>1325</v>
      </c>
      <c r="F517" s="2" t="s">
        <v>15</v>
      </c>
      <c r="G517" s="2" t="s">
        <v>1531</v>
      </c>
      <c r="H517" s="2" t="s">
        <v>194</v>
      </c>
      <c r="I517" s="2" t="str">
        <f>IFERROR(__xludf.DUMMYFUNCTION("GOOGLETRANSLATE(C517,""fr"",""en"")"),"Very reactive service, the exchanges are fast. Listening to your needs. The prices are very competitive.
I highly recommend Zenup
Thank you")</f>
        <v>Very reactive service, the exchanges are fast. Listening to your needs. The prices are very competitive.
I highly recommend Zenup
Thank you</v>
      </c>
    </row>
    <row r="518" ht="15.75" customHeight="1">
      <c r="B518" s="2" t="s">
        <v>1532</v>
      </c>
      <c r="C518" s="2" t="s">
        <v>1533</v>
      </c>
      <c r="D518" s="2" t="s">
        <v>1324</v>
      </c>
      <c r="E518" s="2" t="s">
        <v>1325</v>
      </c>
      <c r="F518" s="2" t="s">
        <v>15</v>
      </c>
      <c r="G518" s="2" t="s">
        <v>1534</v>
      </c>
      <c r="H518" s="2" t="s">
        <v>194</v>
      </c>
      <c r="I518" s="2" t="str">
        <f>IFERROR(__xludf.DUMMYFUNCTION("GOOGLETRANSLATE(C518,""fr"",""en"")"),"I am satisfied with the subscription route, and the follow -up which was produced by the advisor who followed all of my file. Bravo Zen up. Cordially")</f>
        <v>I am satisfied with the subscription route, and the follow -up which was produced by the advisor who followed all of my file. Bravo Zen up. Cordially</v>
      </c>
    </row>
    <row r="519" ht="15.75" customHeight="1">
      <c r="B519" s="2" t="s">
        <v>1535</v>
      </c>
      <c r="C519" s="2" t="s">
        <v>1536</v>
      </c>
      <c r="D519" s="2" t="s">
        <v>1324</v>
      </c>
      <c r="E519" s="2" t="s">
        <v>1325</v>
      </c>
      <c r="F519" s="2" t="s">
        <v>15</v>
      </c>
      <c r="G519" s="2" t="s">
        <v>1537</v>
      </c>
      <c r="H519" s="2" t="s">
        <v>194</v>
      </c>
      <c r="I519" s="2" t="str">
        <f>IFERROR(__xludf.DUMMYFUNCTION("GOOGLETRANSLATE(C519,""fr"",""en"")"),"Thank you for your help. A downside for Generali's insurance exclusions for conventional and benign operations. Zen up very good. Simple and practical")</f>
        <v>Thank you for your help. A downside for Generali's insurance exclusions for conventional and benign operations. Zen up very good. Simple and practical</v>
      </c>
    </row>
    <row r="520" ht="15.75" customHeight="1">
      <c r="B520" s="2" t="s">
        <v>1538</v>
      </c>
      <c r="C520" s="2" t="s">
        <v>1539</v>
      </c>
      <c r="D520" s="2" t="s">
        <v>1324</v>
      </c>
      <c r="E520" s="2" t="s">
        <v>1325</v>
      </c>
      <c r="F520" s="2" t="s">
        <v>15</v>
      </c>
      <c r="G520" s="2" t="s">
        <v>1537</v>
      </c>
      <c r="H520" s="2" t="s">
        <v>194</v>
      </c>
      <c r="I520" s="2" t="str">
        <f>IFERROR(__xludf.DUMMYFUNCTION("GOOGLETRANSLATE(C520,""fr"",""en"")"),"I am satisfied with the service and the exchanges with our very available and attentive interlocutor. He did not hesitate to provide us with the necessary information while remaining clear in the words.")</f>
        <v>I am satisfied with the service and the exchanges with our very available and attentive interlocutor. He did not hesitate to provide us with the necessary information while remaining clear in the words.</v>
      </c>
    </row>
    <row r="521" ht="15.75" customHeight="1">
      <c r="B521" s="2" t="s">
        <v>1540</v>
      </c>
      <c r="C521" s="2" t="s">
        <v>1541</v>
      </c>
      <c r="D521" s="2" t="s">
        <v>1324</v>
      </c>
      <c r="E521" s="2" t="s">
        <v>1325</v>
      </c>
      <c r="F521" s="2" t="s">
        <v>15</v>
      </c>
      <c r="G521" s="2" t="s">
        <v>885</v>
      </c>
      <c r="H521" s="2" t="s">
        <v>204</v>
      </c>
      <c r="I521" s="2" t="str">
        <f>IFERROR(__xludf.DUMMYFUNCTION("GOOGLETRANSLATE(C521,""fr"",""en"")"),"Very satisfied.
The price was important in our choice criteria
But your employee's work did the rest.
Thanks to Eric for his professionalism, his listening and his concern for detail.
This allowed us to remove all the ""traps"" of our loan assembly.
")</f>
        <v>Very satisfied.
The price was important in our choice criteria
But your employee's work did the rest.
Thanks to Eric for his professionalism, his listening and his concern for detail.
This allowed us to remove all the "traps" of our loan assembly.
</v>
      </c>
    </row>
    <row r="522" ht="15.75" customHeight="1">
      <c r="B522" s="2" t="s">
        <v>1542</v>
      </c>
      <c r="C522" s="2" t="s">
        <v>1543</v>
      </c>
      <c r="D522" s="2" t="s">
        <v>1324</v>
      </c>
      <c r="E522" s="2" t="s">
        <v>1325</v>
      </c>
      <c r="F522" s="2" t="s">
        <v>15</v>
      </c>
      <c r="G522" s="2" t="s">
        <v>1544</v>
      </c>
      <c r="H522" s="2" t="s">
        <v>204</v>
      </c>
      <c r="I522" s="2" t="str">
        <f>IFERROR(__xludf.DUMMYFUNCTION("GOOGLETRANSLATE(C522,""fr"",""en"")"),"I am satisfied with the price despite there is a lot of restrictions on the health ...
We will see in the future by hoping not to need it
thanks again")</f>
        <v>I am satisfied with the price despite there is a lot of restrictions on the health ...
We will see in the future by hoping not to need it
thanks again</v>
      </c>
    </row>
    <row r="523" ht="15.75" customHeight="1">
      <c r="B523" s="2" t="s">
        <v>1545</v>
      </c>
      <c r="C523" s="2" t="s">
        <v>1546</v>
      </c>
      <c r="D523" s="2" t="s">
        <v>1324</v>
      </c>
      <c r="E523" s="2" t="s">
        <v>1325</v>
      </c>
      <c r="F523" s="2" t="s">
        <v>15</v>
      </c>
      <c r="G523" s="2" t="s">
        <v>1547</v>
      </c>
      <c r="H523" s="2" t="s">
        <v>204</v>
      </c>
      <c r="I523" s="2" t="str">
        <f>IFERROR(__xludf.DUMMYFUNCTION("GOOGLETRANSLATE(C523,""fr"",""en"")"),"I am satisfied with the service, the advisor was very attentive and his help to fill very precious.
In addition I make a real economy on my contract.")</f>
        <v>I am satisfied with the service, the advisor was very attentive and his help to fill very precious.
In addition I make a real economy on my contract.</v>
      </c>
    </row>
    <row r="524" ht="15.75" customHeight="1">
      <c r="B524" s="2" t="s">
        <v>1548</v>
      </c>
      <c r="C524" s="2" t="s">
        <v>1549</v>
      </c>
      <c r="D524" s="2" t="s">
        <v>1324</v>
      </c>
      <c r="E524" s="2" t="s">
        <v>1325</v>
      </c>
      <c r="F524" s="2" t="s">
        <v>15</v>
      </c>
      <c r="G524" s="2" t="s">
        <v>1547</v>
      </c>
      <c r="H524" s="2" t="s">
        <v>204</v>
      </c>
      <c r="I524" s="2" t="str">
        <f>IFERROR(__xludf.DUMMYFUNCTION("GOOGLETRANSLATE(C524,""fr"",""en"")"),"Very happy with the reception and prices
The speed of response and execution of the contract
I was called yesterday and today I am assured
Thank you to my contact with you")</f>
        <v>Very happy with the reception and prices
The speed of response and execution of the contract
I was called yesterday and today I am assured
Thank you to my contact with you</v>
      </c>
    </row>
    <row r="525" ht="15.75" customHeight="1">
      <c r="B525" s="2" t="s">
        <v>1550</v>
      </c>
      <c r="C525" s="2" t="s">
        <v>1551</v>
      </c>
      <c r="D525" s="2" t="s">
        <v>1324</v>
      </c>
      <c r="E525" s="2" t="s">
        <v>1325</v>
      </c>
      <c r="F525" s="2" t="s">
        <v>15</v>
      </c>
      <c r="G525" s="2" t="s">
        <v>1552</v>
      </c>
      <c r="H525" s="2" t="s">
        <v>214</v>
      </c>
      <c r="I525" s="2" t="str">
        <f>IFERROR(__xludf.DUMMYFUNCTION("GOOGLETRANSLATE(C525,""fr"",""en"")"),"When we call an advisor on the phone, we have a quick response and a return by email almost immediately. The prices are very attractive and correspond to our request")</f>
        <v>When we call an advisor on the phone, we have a quick response and a return by email almost immediately. The prices are very attractive and correspond to our request</v>
      </c>
    </row>
    <row r="526" ht="15.75" customHeight="1">
      <c r="B526" s="2" t="s">
        <v>1553</v>
      </c>
      <c r="C526" s="2" t="s">
        <v>1554</v>
      </c>
      <c r="D526" s="2" t="s">
        <v>1324</v>
      </c>
      <c r="E526" s="2" t="s">
        <v>1325</v>
      </c>
      <c r="F526" s="2" t="s">
        <v>15</v>
      </c>
      <c r="G526" s="2" t="s">
        <v>511</v>
      </c>
      <c r="H526" s="2" t="s">
        <v>214</v>
      </c>
      <c r="I526" s="2" t="str">
        <f>IFERROR(__xludf.DUMMYFUNCTION("GOOGLETRANSLATE(C526,""fr"",""en"")"),"I am satisfied with prices and fast management by phone and email, I await the final acceptance of the bank to make significant savings")</f>
        <v>I am satisfied with prices and fast management by phone and email, I await the final acceptance of the bank to make significant savings</v>
      </c>
    </row>
    <row r="527" ht="15.75" customHeight="1">
      <c r="B527" s="2" t="s">
        <v>1555</v>
      </c>
      <c r="C527" s="2" t="s">
        <v>1556</v>
      </c>
      <c r="D527" s="2" t="s">
        <v>1324</v>
      </c>
      <c r="E527" s="2" t="s">
        <v>1325</v>
      </c>
      <c r="F527" s="2" t="s">
        <v>15</v>
      </c>
      <c r="G527" s="2" t="s">
        <v>1557</v>
      </c>
      <c r="H527" s="2" t="s">
        <v>214</v>
      </c>
      <c r="I527" s="2" t="str">
        <f>IFERROR(__xludf.DUMMYFUNCTION("GOOGLETRANSLATE(C527,""fr"",""en"")"),"A pleasant welcome a competent person listening to your listening and good follow -up of the file of the answers to your questions tailor -made advice with availability up to 8 pm.
")</f>
        <v>A pleasant welcome a competent person listening to your listening and good follow -up of the file of the answers to your questions tailor -made advice with availability up to 8 pm.
</v>
      </c>
    </row>
    <row r="528" ht="15.75" customHeight="1">
      <c r="B528" s="2" t="s">
        <v>1558</v>
      </c>
      <c r="C528" s="2" t="s">
        <v>1559</v>
      </c>
      <c r="D528" s="2" t="s">
        <v>1324</v>
      </c>
      <c r="E528" s="2" t="s">
        <v>1325</v>
      </c>
      <c r="F528" s="2" t="s">
        <v>15</v>
      </c>
      <c r="G528" s="2" t="s">
        <v>1560</v>
      </c>
      <c r="H528" s="2" t="s">
        <v>214</v>
      </c>
      <c r="I528" s="2" t="str">
        <f>IFERROR(__xludf.DUMMYFUNCTION("GOOGLETRANSLATE(C528,""fr"",""en"")"),"I am satisfied with the service, the price and the conditions suit me. The advisor was able to answer my various questions concerning the conditions of the future mortgage loan insurance contract.")</f>
        <v>I am satisfied with the service, the price and the conditions suit me. The advisor was able to answer my various questions concerning the conditions of the future mortgage loan insurance contract.</v>
      </c>
    </row>
    <row r="529" ht="15.75" customHeight="1">
      <c r="B529" s="2" t="s">
        <v>1561</v>
      </c>
      <c r="C529" s="2" t="s">
        <v>1562</v>
      </c>
      <c r="D529" s="2" t="s">
        <v>1324</v>
      </c>
      <c r="E529" s="2" t="s">
        <v>1325</v>
      </c>
      <c r="F529" s="2" t="s">
        <v>15</v>
      </c>
      <c r="G529" s="2" t="s">
        <v>1563</v>
      </c>
      <c r="H529" s="2" t="s">
        <v>226</v>
      </c>
      <c r="I529" s="2" t="str">
        <f>IFERROR(__xludf.DUMMYFUNCTION("GOOGLETRANSLATE(C529,""fr"",""en"")"),"I am satisfied with the service, the advisor was very clear and diligent. I am now waiting for confirmation of my loan by my bank, I keep you posted.")</f>
        <v>I am satisfied with the service, the advisor was very clear and diligent. I am now waiting for confirmation of my loan by my bank, I keep you posted.</v>
      </c>
    </row>
    <row r="530" ht="15.75" customHeight="1">
      <c r="B530" s="2" t="s">
        <v>1564</v>
      </c>
      <c r="C530" s="2" t="s">
        <v>1565</v>
      </c>
      <c r="D530" s="2" t="s">
        <v>1324</v>
      </c>
      <c r="E530" s="2" t="s">
        <v>1325</v>
      </c>
      <c r="F530" s="2" t="s">
        <v>15</v>
      </c>
      <c r="G530" s="2" t="s">
        <v>1566</v>
      </c>
      <c r="H530" s="2" t="s">
        <v>307</v>
      </c>
      <c r="I530" s="2" t="str">
        <f>IFERROR(__xludf.DUMMYFUNCTION("GOOGLETRANSLATE(C530,""fr"",""en"")"),"Created a MNCAP contract despite the refusal of delegation of my bank. This mail should be avoided. Its only objective is the creation and placement of contract. Without interest and mediocre follow -up")</f>
        <v>Created a MNCAP contract despite the refusal of delegation of my bank. This mail should be avoided. Its only objective is the creation and placement of contract. Without interest and mediocre follow -up</v>
      </c>
    </row>
    <row r="531" ht="15.75" customHeight="1">
      <c r="B531" s="2" t="s">
        <v>1567</v>
      </c>
      <c r="C531" s="2" t="s">
        <v>1568</v>
      </c>
      <c r="D531" s="2" t="s">
        <v>1569</v>
      </c>
      <c r="E531" s="2" t="s">
        <v>1325</v>
      </c>
      <c r="F531" s="2" t="s">
        <v>15</v>
      </c>
      <c r="G531" s="2" t="s">
        <v>1202</v>
      </c>
      <c r="H531" s="2" t="s">
        <v>172</v>
      </c>
      <c r="I531" s="2" t="str">
        <f>IFERROR(__xludf.DUMMYFUNCTION("GOOGLETRANSLATE(C531,""fr"",""en"")"),"A quality service, always attentive, I highly recommend this insurance and advise it around me. I will not fail to boast the professionalism of general")</f>
        <v>A quality service, always attentive, I highly recommend this insurance and advise it around me. I will not fail to boast the professionalism of general</v>
      </c>
    </row>
    <row r="532" ht="15.75" customHeight="1">
      <c r="B532" s="2" t="s">
        <v>1570</v>
      </c>
      <c r="C532" s="2" t="s">
        <v>1571</v>
      </c>
      <c r="D532" s="2" t="s">
        <v>1569</v>
      </c>
      <c r="E532" s="2" t="s">
        <v>1325</v>
      </c>
      <c r="F532" s="2" t="s">
        <v>15</v>
      </c>
      <c r="G532" s="2" t="s">
        <v>554</v>
      </c>
      <c r="H532" s="2" t="s">
        <v>554</v>
      </c>
      <c r="I532" s="2" t="str">
        <f>IFERROR(__xludf.DUMMYFUNCTION("GOOGLETRANSLATE(C532,""fr"",""en"")"),"I called for information on my contract. I came across an incompetent person who redirected me to someone else, very haughty who hung me on the nose .... Null customer service !!!!!!!")</f>
        <v>I called for information on my contract. I came across an incompetent person who redirected me to someone else, very haughty who hung me on the nose .... Null customer service !!!!!!!</v>
      </c>
    </row>
    <row r="533" ht="15.75" customHeight="1">
      <c r="B533" s="2" t="s">
        <v>1572</v>
      </c>
      <c r="C533" s="2" t="s">
        <v>1573</v>
      </c>
      <c r="D533" s="2" t="s">
        <v>1569</v>
      </c>
      <c r="E533" s="2" t="s">
        <v>1325</v>
      </c>
      <c r="F533" s="2" t="s">
        <v>15</v>
      </c>
      <c r="G533" s="2" t="s">
        <v>1574</v>
      </c>
      <c r="H533" s="2" t="s">
        <v>27</v>
      </c>
      <c r="I533" s="2" t="str">
        <f>IFERROR(__xludf.DUMMYFUNCTION("GOOGLETRANSLATE(C533,""fr"",""en"")"),"No")</f>
        <v>No</v>
      </c>
    </row>
    <row r="534" ht="15.75" customHeight="1">
      <c r="B534" s="2" t="s">
        <v>1575</v>
      </c>
      <c r="C534" s="2" t="s">
        <v>1576</v>
      </c>
      <c r="D534" s="2" t="s">
        <v>1569</v>
      </c>
      <c r="E534" s="2" t="s">
        <v>1325</v>
      </c>
      <c r="F534" s="2" t="s">
        <v>15</v>
      </c>
      <c r="G534" s="2" t="s">
        <v>607</v>
      </c>
      <c r="H534" s="2" t="s">
        <v>138</v>
      </c>
      <c r="I534" s="2" t="str">
        <f>IFERROR(__xludf.DUMMYFUNCTION("GOOGLETRANSLATE(C534,""fr"",""en"")"),"Following a refund of our real estate loan, we wanted to resill our Generali borrower insurance: the processing time is very long. Result: We have been waiting for the reimbursement of the monthly payment to be wrong in January and still nothing for 4 wee"&amp;"ks. Fortunately, the rest of the insurance is at Groupama.")</f>
        <v>Following a refund of our real estate loan, we wanted to resill our Generali borrower insurance: the processing time is very long. Result: We have been waiting for the reimbursement of the monthly payment to be wrong in January and still nothing for 4 weeks. Fortunately, the rest of the insurance is at Groupama.</v>
      </c>
    </row>
    <row r="535" ht="15.75" customHeight="1">
      <c r="B535" s="2" t="s">
        <v>1577</v>
      </c>
      <c r="C535" s="2" t="s">
        <v>1578</v>
      </c>
      <c r="D535" s="2" t="s">
        <v>1579</v>
      </c>
      <c r="E535" s="2" t="s">
        <v>1325</v>
      </c>
      <c r="F535" s="2" t="s">
        <v>15</v>
      </c>
      <c r="G535" s="2" t="s">
        <v>249</v>
      </c>
      <c r="H535" s="2" t="s">
        <v>246</v>
      </c>
      <c r="I535" s="2" t="str">
        <f>IFERROR(__xludf.DUMMYFUNCTION("GOOGLETRANSLATE(C535,""fr"",""en"")"),"A horror - to avoid absolutely!
File refused very clear after a transplant while health is perfect and the analyzes impeccable - analyzes that they did not even take the time to consult! It is ""the shame of the profession"", as several insurers told me,"&amp;" as well as my lawyer, who had never seen that and was very shocked.")</f>
        <v>A horror - to avoid absolutely!
File refused very clear after a transplant while health is perfect and the analyzes impeccable - analyzes that they did not even take the time to consult! It is "the shame of the profession", as several insurers told me, as well as my lawyer, who had never seen that and was very shocked.</v>
      </c>
    </row>
    <row r="536" ht="15.75" customHeight="1">
      <c r="B536" s="2" t="s">
        <v>1580</v>
      </c>
      <c r="C536" s="2" t="s">
        <v>1581</v>
      </c>
      <c r="D536" s="2" t="s">
        <v>1579</v>
      </c>
      <c r="E536" s="2" t="s">
        <v>1325</v>
      </c>
      <c r="F536" s="2" t="s">
        <v>15</v>
      </c>
      <c r="G536" s="2" t="s">
        <v>1582</v>
      </c>
      <c r="H536" s="2" t="s">
        <v>269</v>
      </c>
      <c r="I536" s="2" t="str">
        <f>IFERROR(__xludf.DUMMYFUNCTION("GOOGLETRANSLATE(C536,""fr"",""en"")"),"An efficient, fast company, a good borrower insurance offer. A contract accepted by my loan organization. Very good advice, good follow -up.")</f>
        <v>An efficient, fast company, a good borrower insurance offer. A contract accepted by my loan organization. Very good advice, good follow -up.</v>
      </c>
    </row>
    <row r="537" ht="15.75" customHeight="1">
      <c r="B537" s="2" t="s">
        <v>1583</v>
      </c>
      <c r="C537" s="2" t="s">
        <v>1584</v>
      </c>
      <c r="D537" s="2" t="s">
        <v>1579</v>
      </c>
      <c r="E537" s="2" t="s">
        <v>1325</v>
      </c>
      <c r="F537" s="2" t="s">
        <v>15</v>
      </c>
      <c r="G537" s="2" t="s">
        <v>1585</v>
      </c>
      <c r="H537" s="2" t="s">
        <v>269</v>
      </c>
      <c r="I537" s="2" t="str">
        <f>IFERROR(__xludf.DUMMYFUNCTION("GOOGLETRANSLATE(C537,""fr"",""en"")"),"Advise in front of listening and fast
Electronic subscription is really a plus and allows you to make the accession very quickly
Quick return also and tailor -made advice")</f>
        <v>Advise in front of listening and fast
Electronic subscription is really a plus and allows you to make the accession very quickly
Quick return also and tailor -made advice</v>
      </c>
    </row>
    <row r="538" ht="15.75" customHeight="1">
      <c r="B538" s="2" t="s">
        <v>1586</v>
      </c>
      <c r="C538" s="2" t="s">
        <v>1587</v>
      </c>
      <c r="D538" s="2" t="s">
        <v>1579</v>
      </c>
      <c r="E538" s="2" t="s">
        <v>1325</v>
      </c>
      <c r="F538" s="2" t="s">
        <v>15</v>
      </c>
      <c r="G538" s="2" t="s">
        <v>1588</v>
      </c>
      <c r="H538" s="2" t="s">
        <v>277</v>
      </c>
      <c r="I538" s="2" t="str">
        <f>IFERROR(__xludf.DUMMYFUNCTION("GOOGLETRANSLATE(C538,""fr"",""en"")"),"From request to subscription membership, we were taken care of and support with professionalism, listening and good advice.
The company is there to support us in our efforts and provides us with quality service.")</f>
        <v>From request to subscription membership, we were taken care of and support with professionalism, listening and good advice.
The company is there to support us in our efforts and provides us with quality service.</v>
      </c>
    </row>
    <row r="539" ht="15.75" customHeight="1">
      <c r="B539" s="2" t="s">
        <v>1589</v>
      </c>
      <c r="C539" s="2" t="s">
        <v>1590</v>
      </c>
      <c r="D539" s="2" t="s">
        <v>1579</v>
      </c>
      <c r="E539" s="2" t="s">
        <v>1325</v>
      </c>
      <c r="F539" s="2" t="s">
        <v>15</v>
      </c>
      <c r="G539" s="2" t="s">
        <v>1591</v>
      </c>
      <c r="H539" s="2" t="s">
        <v>277</v>
      </c>
      <c r="I539" s="2" t="str">
        <f>IFERROR(__xludf.DUMMYFUNCTION("GOOGLETRANSLATE(C539,""fr"",""en"")"),"followed by a single correspondent. Very professional and professional active, he contributed a lot to the smooth running of our real estate purchase. Our satisfaction is total! I recommend.")</f>
        <v>followed by a single correspondent. Very professional and professional active, he contributed a lot to the smooth running of our real estate purchase. Our satisfaction is total! I recommend.</v>
      </c>
    </row>
    <row r="540" ht="15.75" customHeight="1">
      <c r="B540" s="2" t="s">
        <v>1592</v>
      </c>
      <c r="C540" s="2" t="s">
        <v>1593</v>
      </c>
      <c r="D540" s="2" t="s">
        <v>1579</v>
      </c>
      <c r="E540" s="2" t="s">
        <v>1325</v>
      </c>
      <c r="F540" s="2" t="s">
        <v>15</v>
      </c>
      <c r="G540" s="2" t="s">
        <v>704</v>
      </c>
      <c r="H540" s="2" t="s">
        <v>284</v>
      </c>
      <c r="I540" s="2" t="str">
        <f>IFERROR(__xludf.DUMMYFUNCTION("GOOGLETRANSLATE(C540,""fr"",""en"")"),"Refuse to make sure for a credit following a transplant with medical report specifying healing and results of top analyzes but above all have the courage to give the reason for the refusal and do not respond to emails")</f>
        <v>Refuse to make sure for a credit following a transplant with medical report specifying healing and results of top analyzes but above all have the courage to give the reason for the refusal and do not respond to emails</v>
      </c>
    </row>
    <row r="541" ht="15.75" customHeight="1">
      <c r="B541" s="2" t="s">
        <v>1594</v>
      </c>
      <c r="C541" s="2" t="s">
        <v>1595</v>
      </c>
      <c r="D541" s="2" t="s">
        <v>1579</v>
      </c>
      <c r="E541" s="2" t="s">
        <v>1325</v>
      </c>
      <c r="F541" s="2" t="s">
        <v>15</v>
      </c>
      <c r="G541" s="2" t="s">
        <v>339</v>
      </c>
      <c r="H541" s="2" t="s">
        <v>339</v>
      </c>
      <c r="I541" s="2" t="str">
        <f>IFERROR(__xludf.DUMMYFUNCTION("GOOGLETRANSLATE(C541,""fr"",""en"")"),"They continue to punctuate after death despite the evidence. All because they refuse to lose money!")</f>
        <v>They continue to punctuate after death despite the evidence. All because they refuse to lose money!</v>
      </c>
    </row>
    <row r="542" ht="15.75" customHeight="1">
      <c r="B542" s="2" t="s">
        <v>1596</v>
      </c>
      <c r="C542" s="2" t="s">
        <v>1597</v>
      </c>
      <c r="D542" s="2" t="s">
        <v>1579</v>
      </c>
      <c r="E542" s="2" t="s">
        <v>1325</v>
      </c>
      <c r="F542" s="2" t="s">
        <v>15</v>
      </c>
      <c r="G542" s="2" t="s">
        <v>1598</v>
      </c>
      <c r="H542" s="2" t="s">
        <v>81</v>
      </c>
      <c r="I542" s="2" t="str">
        <f>IFERROR(__xludf.DUMMYFUNCTION("GOOGLETRANSLATE(C542,""fr"",""en"")"),"A natural disaster when you need them !!! Put approx. 7 months to accept the work stoppage, a real me ....")</f>
        <v>A natural disaster when you need them !!! Put approx. 7 months to accept the work stoppage, a real me ....</v>
      </c>
    </row>
    <row r="543" ht="15.75" customHeight="1">
      <c r="B543" s="2" t="s">
        <v>1599</v>
      </c>
      <c r="C543" s="2" t="s">
        <v>1600</v>
      </c>
      <c r="D543" s="2" t="s">
        <v>1579</v>
      </c>
      <c r="E543" s="2" t="s">
        <v>1325</v>
      </c>
      <c r="F543" s="2" t="s">
        <v>15</v>
      </c>
      <c r="G543" s="2" t="s">
        <v>1152</v>
      </c>
      <c r="H543" s="2" t="s">
        <v>85</v>
      </c>
      <c r="I543" s="2" t="str">
        <f>IFERROR(__xludf.DUMMYFUNCTION("GOOGLETRANSLATE(C543,""fr"",""en"")"),"To avoid urgently ... These are ....... with fracture of the two femur he asks me for the dates of tobacco consumption and if I am wean all it writes by my doctor ... today 'Hui I spend my days to make papers instead of resting ... I think my patient has "&amp;"limits ... On the phone in the sinister service we have to do with funny minds. The paper and close your mouths ... I will enter legal aid ....")</f>
        <v>To avoid urgently ... These are ....... with fracture of the two femur he asks me for the dates of tobacco consumption and if I am wean all it writes by my doctor ... today 'Hui I spend my days to make papers instead of resting ... I think my patient has limits ... On the phone in the sinister service we have to do with funny minds. The paper and close your mouths ... I will enter legal aid ....</v>
      </c>
    </row>
    <row r="544" ht="15.75" customHeight="1">
      <c r="B544" s="2" t="s">
        <v>1601</v>
      </c>
      <c r="C544" s="2" t="s">
        <v>1602</v>
      </c>
      <c r="D544" s="2" t="s">
        <v>1579</v>
      </c>
      <c r="E544" s="2" t="s">
        <v>1325</v>
      </c>
      <c r="F544" s="2" t="s">
        <v>15</v>
      </c>
      <c r="G544" s="2" t="s">
        <v>1603</v>
      </c>
      <c r="H544" s="2" t="s">
        <v>391</v>
      </c>
      <c r="I544" s="2" t="str">
        <f>IFERROR(__xludf.DUMMYFUNCTION("GOOGLETRANSLATE(C544,""fr"",""en"")"),"Everything is going well until you have a health problem. Contract not suitable for modular loans: increase in duration = health questionnaire with any exclusions.")</f>
        <v>Everything is going well until you have a health problem. Contract not suitable for modular loans: increase in duration = health questionnaire with any exclusions.</v>
      </c>
    </row>
    <row r="545" ht="15.75" customHeight="1">
      <c r="B545" s="2" t="s">
        <v>1604</v>
      </c>
      <c r="C545" s="2" t="s">
        <v>1605</v>
      </c>
      <c r="D545" s="2" t="s">
        <v>1606</v>
      </c>
      <c r="E545" s="2" t="s">
        <v>1325</v>
      </c>
      <c r="F545" s="2" t="s">
        <v>15</v>
      </c>
      <c r="G545" s="2" t="s">
        <v>1607</v>
      </c>
      <c r="H545" s="2" t="s">
        <v>153</v>
      </c>
      <c r="I545" s="2" t="str">
        <f>IFERROR(__xludf.DUMMYFUNCTION("GOOGLETRANSLATE(C545,""fr"",""en"")"),"Second insurance with APRIORISM. My advisor was extremely responsive to process my file and answer my questions + attractive prices
")</f>
        <v>Second insurance with APRIORISM. My advisor was extremely responsive to process my file and answer my questions + attractive prices
</v>
      </c>
    </row>
    <row r="546" ht="15.75" customHeight="1">
      <c r="B546" s="2" t="s">
        <v>1608</v>
      </c>
      <c r="C546" s="2" t="s">
        <v>1609</v>
      </c>
      <c r="D546" s="2" t="s">
        <v>1606</v>
      </c>
      <c r="E546" s="2" t="s">
        <v>1325</v>
      </c>
      <c r="F546" s="2" t="s">
        <v>15</v>
      </c>
      <c r="G546" s="2" t="s">
        <v>1610</v>
      </c>
      <c r="H546" s="2" t="s">
        <v>481</v>
      </c>
      <c r="I546" s="2" t="str">
        <f>IFERROR(__xludf.DUMMYFUNCTION("GOOGLETRANSLATE(C546,""fr"",""en"")"),"Hi there,
I am very very angry with this insurance which boasts us of speed, rigor and especially the proper execution of the files !!
While we are subscribing to two ready -made ready insurances, the file numbers are mixed! AUGUST 2021 samples while sc"&amp;"heduled for March 2022! Thirty minutes of waiting on the phone to be said to be said: a manager reminds you of&gt; Results: no recall !! We only earn some euros compared to lost time and the incompetence of this insurance. I absolutely do not recommend!")</f>
        <v>Hi there,
I am very very angry with this insurance which boasts us of speed, rigor and especially the proper execution of the files !!
While we are subscribing to two ready -made ready insurances, the file numbers are mixed! AUGUST 2021 samples while scheduled for March 2022! Thirty minutes of waiting on the phone to be said to be said: a manager reminds you of&gt; Results: no recall !! We only earn some euros compared to lost time and the incompetence of this insurance. I absolutely do not recommend!</v>
      </c>
    </row>
    <row r="547" ht="15.75" customHeight="1">
      <c r="B547" s="2" t="s">
        <v>1611</v>
      </c>
      <c r="C547" s="2" t="s">
        <v>1612</v>
      </c>
      <c r="D547" s="2" t="s">
        <v>1606</v>
      </c>
      <c r="E547" s="2" t="s">
        <v>1325</v>
      </c>
      <c r="F547" s="2" t="s">
        <v>15</v>
      </c>
      <c r="G547" s="2" t="s">
        <v>874</v>
      </c>
      <c r="H547" s="2" t="s">
        <v>179</v>
      </c>
      <c r="I547" s="2" t="str">
        <f>IFERROR(__xludf.DUMMYFUNCTION("GOOGLETRANSLATE(C547,""fr"",""en"")"),"We have just learned that April Our borrower insurance is removing for false declaration. We are stunned. This termination follows a request for care following a health problem. The health problem n has no priority. We have provided all the documents requ"&amp;"ested by paying medical consultations for paperwork .... but it is the rule and we do not question it. We are resilled for having omitted to declare low back pain that does not require any care and a hygroma without any sequelae or suite which has had alc"&amp;"oholic compresses. We sent the requested documents of these 2 care without any reluctance because we absolutely do not have the feeling of having cheated or having wanted to mislead we did not think about it anymore. Conversely, my husband has a long list"&amp;" like the arm of important history which was of course declared which has not been a problem. Receive the monthly payments for members yes but compensated no ..... and a priori we are not the only ones .....
But as the lady told us on the phone there are"&amp;" very happy people of April look on our internet portal ..... they refused my opinion ..... if it is not to make fun of the customer .... .
")</f>
        <v>We have just learned that April Our borrower insurance is removing for false declaration. We are stunned. This termination follows a request for care following a health problem. The health problem n has no priority. We have provided all the documents requested by paying medical consultations for paperwork .... but it is the rule and we do not question it. We are resilled for having omitted to declare low back pain that does not require any care and a hygroma without any sequelae or suite which has had alcoholic compresses. We sent the requested documents of these 2 care without any reluctance because we absolutely do not have the feeling of having cheated or having wanted to mislead we did not think about it anymore. Conversely, my husband has a long list like the arm of important history which was of course declared which has not been a problem. Receive the monthly payments for members yes but compensated no ..... and a priori we are not the only ones .....
But as the lady told us on the phone there are very happy people of April look on our internet portal ..... they refused my opinion ..... if it is not to make fun of the customer .... .
</v>
      </c>
    </row>
    <row r="548" ht="15.75" customHeight="1">
      <c r="B548" s="2" t="s">
        <v>1611</v>
      </c>
      <c r="C548" s="2" t="s">
        <v>1613</v>
      </c>
      <c r="D548" s="2" t="s">
        <v>1606</v>
      </c>
      <c r="E548" s="2" t="s">
        <v>1325</v>
      </c>
      <c r="F548" s="2" t="s">
        <v>15</v>
      </c>
      <c r="G548" s="2" t="s">
        <v>182</v>
      </c>
      <c r="H548" s="2" t="s">
        <v>179</v>
      </c>
      <c r="I548" s="2" t="str">
        <f>IFERROR(__xludf.DUMMYFUNCTION("GOOGLETRANSLATE(C548,""fr"",""en"")"),"We have just learned that April Our borrower insurance is removing for false declaration. We are stunned. This termination follows a request for care following a health problem. The health problem n has no priority. We have provided all the documents requ"&amp;"ested by paying medical consultations for paperwork .... but it is the rule and we do not question it. We are resilled for having omitted to declare low back pain that does not require any care and a hygroma without any sequelae or suite which has had alc"&amp;"oholic compresses. We sent the requested documents of these 2 care without any reluctance because we absolutely do not have the feeling of having cheated or having wanted to mislead we did not think about it anymore. Conversely, my husband has a long list"&amp;" like the arm of important history which was of course declared which has not been a problem. Receive the monthly payments for members yes but compensated no ..... and a priori we are not the only ones .....
")</f>
        <v>We have just learned that April Our borrower insurance is removing for false declaration. We are stunned. This termination follows a request for care following a health problem. The health problem n has no priority. We have provided all the documents requested by paying medical consultations for paperwork .... but it is the rule and we do not question it. We are resilled for having omitted to declare low back pain that does not require any care and a hygroma without any sequelae or suite which has had alcoholic compresses. We sent the requested documents of these 2 care without any reluctance because we absolutely do not have the feeling of having cheated or having wanted to mislead we did not think about it anymore. Conversely, my husband has a long list like the arm of important history which was of course declared which has not been a problem. Receive the monthly payments for members yes but compensated no ..... and a priori we are not the only ones .....
</v>
      </c>
    </row>
    <row r="549" ht="15.75" customHeight="1">
      <c r="B549" s="2" t="s">
        <v>1614</v>
      </c>
      <c r="C549" s="2" t="s">
        <v>1615</v>
      </c>
      <c r="D549" s="2" t="s">
        <v>1606</v>
      </c>
      <c r="E549" s="2" t="s">
        <v>1325</v>
      </c>
      <c r="F549" s="2" t="s">
        <v>15</v>
      </c>
      <c r="G549" s="2" t="s">
        <v>1616</v>
      </c>
      <c r="H549" s="2" t="s">
        <v>194</v>
      </c>
      <c r="I549" s="2" t="str">
        <f>IFERROR(__xludf.DUMMYFUNCTION("GOOGLETRANSLATE(C549,""fr"",""en"")"),"We have taken out insurance for our mortgage at April. At the slightest problem, it's hell !! He does not remind you, refuses any appointment, does not give you any information by phone and do everything not to compensate you until you are terminated with"&amp;"out keeping yourself informed !!!
We had found it cheap compared to the insurance offered by our bank but now we know why = it seems that everything they want is collected the money and not respect the contracts
RUN AWAY")</f>
        <v>We have taken out insurance for our mortgage at April. At the slightest problem, it's hell !! He does not remind you, refuses any appointment, does not give you any information by phone and do everything not to compensate you until you are terminated without keeping yourself informed !!!
We had found it cheap compared to the insurance offered by our bank but now we know why = it seems that everything they want is collected the money and not respect the contracts
RUN AWAY</v>
      </c>
    </row>
    <row r="550" ht="15.75" customHeight="1">
      <c r="B550" s="2" t="s">
        <v>1617</v>
      </c>
      <c r="C550" s="2" t="s">
        <v>1618</v>
      </c>
      <c r="D550" s="2" t="s">
        <v>1606</v>
      </c>
      <c r="E550" s="2" t="s">
        <v>1325</v>
      </c>
      <c r="F550" s="2" t="s">
        <v>15</v>
      </c>
      <c r="G550" s="2" t="s">
        <v>1218</v>
      </c>
      <c r="H550" s="2" t="s">
        <v>226</v>
      </c>
      <c r="I550" s="2" t="str">
        <f>IFERROR(__xludf.DUMMYFUNCTION("GOOGLETRANSLATE(C550,""fr"",""en"")"),"Mrs. Thiyfa
Very disappointed with the April insurance for the processing of a mortgage for mortgage, moreover, two years at the end of credit.
Widowed since February 15, 2020 following a vascular accident that my husband had on November 25, 2019, with "&amp;"two minor children.
This insurance organization asks me every six weeks a CR Medical to complete by the treating doctor, in addition to all the hospitalization CRs transmitted.
This way of dragging this file cost me dear psychologically and financially "&amp;"me and my two children.
I am morally exhausted between the reminders and the letters and the costs of my bank because I continue to reimburse our common credit me and my husband for a year.
It is the only organization that did not rule on a credit file,"&amp;" as specified two years at the end.
Unsatisfied with response, quality and availability of their managers.
In two words I am very very disappointed
Mrs. Thiyfa")</f>
        <v>Mrs. Thiyfa
Very disappointed with the April insurance for the processing of a mortgage for mortgage, moreover, two years at the end of credit.
Widowed since February 15, 2020 following a vascular accident that my husband had on November 25, 2019, with two minor children.
This insurance organization asks me every six weeks a CR Medical to complete by the treating doctor, in addition to all the hospitalization CRs transmitted.
This way of dragging this file cost me dear psychologically and financially me and my two children.
I am morally exhausted between the reminders and the letters and the costs of my bank because I continue to reimburse our common credit me and my husband for a year.
It is the only organization that did not rule on a credit file, as specified two years at the end.
Unsatisfied with response, quality and availability of their managers.
In two words I am very very disappointed
Mrs. Thiyfa</v>
      </c>
    </row>
    <row r="551" ht="15.75" customHeight="1">
      <c r="B551" s="2" t="s">
        <v>1619</v>
      </c>
      <c r="C551" s="2" t="s">
        <v>1620</v>
      </c>
      <c r="D551" s="2" t="s">
        <v>1606</v>
      </c>
      <c r="E551" s="2" t="s">
        <v>1325</v>
      </c>
      <c r="F551" s="2" t="s">
        <v>15</v>
      </c>
      <c r="G551" s="2" t="s">
        <v>1621</v>
      </c>
      <c r="H551" s="2" t="s">
        <v>226</v>
      </c>
      <c r="I551" s="2" t="str">
        <f>IFERROR(__xludf.DUMMYFUNCTION("GOOGLETRANSLATE(C551,""fr"",""en"")"),"Gougeas, already expensive then you should not have health concerns, after 2 years fortunately no more, I had an infiltration at the foot because I had an inflammation. It is 2 years later I had the foot operated, 6 months of stops, after 3 months they as"&amp;"ked me for lots of document it lacked all the time.
To summarize he paid me that half of what owed me because I had not said that I had been to see the doctor for infiltration before signing the contract.
So I told them that if I had an angina and that "&amp;"2 years after a cancer he would have paid me that half?
They are gougeas they pocket the money they fuck and the slightest problem they saw you.
Besides, they had a tax adjustment of 68,000,000 euros by the Fisque, they set up the company to pay less ta"&amp;"x.")</f>
        <v>Gougeas, already expensive then you should not have health concerns, after 2 years fortunately no more, I had an infiltration at the foot because I had an inflammation. It is 2 years later I had the foot operated, 6 months of stops, after 3 months they asked me for lots of document it lacked all the time.
To summarize he paid me that half of what owed me because I had not said that I had been to see the doctor for infiltration before signing the contract.
So I told them that if I had an angina and that 2 years after a cancer he would have paid me that half?
They are gougeas they pocket the money they fuck and the slightest problem they saw you.
Besides, they had a tax adjustment of 68,000,000 euros by the Fisque, they set up the company to pay less tax.</v>
      </c>
    </row>
    <row r="552" ht="15.75" customHeight="1">
      <c r="B552" s="2" t="s">
        <v>1622</v>
      </c>
      <c r="C552" s="2" t="s">
        <v>1623</v>
      </c>
      <c r="D552" s="2" t="s">
        <v>1606</v>
      </c>
      <c r="E552" s="2" t="s">
        <v>1325</v>
      </c>
      <c r="F552" s="2" t="s">
        <v>15</v>
      </c>
      <c r="G552" s="2" t="s">
        <v>1624</v>
      </c>
      <c r="H552" s="2" t="s">
        <v>257</v>
      </c>
      <c r="I552" s="2" t="str">
        <f>IFERROR(__xludf.DUMMYFUNCTION("GOOGLETRANSLATE(C552,""fr"",""en"")"),"Catastrophic.
Very slow responses, out of the deadlines set by the bank. They made me lose 1500 € by responding widely outside the delay. The behind times I had asked for a renegotiation it was also very complicated.")</f>
        <v>Catastrophic.
Very slow responses, out of the deadlines set by the bank. They made me lose 1500 € by responding widely outside the delay. The behind times I had asked for a renegotiation it was also very complicated.</v>
      </c>
    </row>
    <row r="553" ht="15.75" customHeight="1">
      <c r="B553" s="2" t="s">
        <v>1625</v>
      </c>
      <c r="C553" s="2" t="s">
        <v>1626</v>
      </c>
      <c r="D553" s="2" t="s">
        <v>1606</v>
      </c>
      <c r="E553" s="2" t="s">
        <v>1325</v>
      </c>
      <c r="F553" s="2" t="s">
        <v>15</v>
      </c>
      <c r="G553" s="2" t="s">
        <v>1585</v>
      </c>
      <c r="H553" s="2" t="s">
        <v>269</v>
      </c>
      <c r="I553" s="2" t="str">
        <f>IFERROR(__xludf.DUMMYFUNCTION("GOOGLETRANSLATE(C553,""fr"",""en"")"),"Deplorable customer service, slowness, errors and lies at the appointment. Flee if you want to avoid problems! Their competitors do much better for a low price difference.")</f>
        <v>Deplorable customer service, slowness, errors and lies at the appointment. Flee if you want to avoid problems! Their competitors do much better for a low price difference.</v>
      </c>
    </row>
    <row r="554" ht="15.75" customHeight="1">
      <c r="B554" s="2" t="s">
        <v>1627</v>
      </c>
      <c r="C554" s="2" t="s">
        <v>1628</v>
      </c>
      <c r="D554" s="2" t="s">
        <v>1606</v>
      </c>
      <c r="E554" s="2" t="s">
        <v>1325</v>
      </c>
      <c r="F554" s="2" t="s">
        <v>15</v>
      </c>
      <c r="G554" s="2" t="s">
        <v>334</v>
      </c>
      <c r="H554" s="2" t="s">
        <v>335</v>
      </c>
      <c r="I554" s="2" t="str">
        <f>IFERROR(__xludf.DUMMYFUNCTION("GOOGLETRANSLATE(C554,""fr"",""en"")"),"I wanted to share their new practice with you: if your loan is postponed by one month, the insurance bill increases by 8% !!
Despite 5 emails, they maintain their decision.
Never seen that")</f>
        <v>I wanted to share their new practice with you: if your loan is postponed by one month, the insurance bill increases by 8% !!
Despite 5 emails, they maintain their decision.
Never seen that</v>
      </c>
    </row>
    <row r="555" ht="15.75" customHeight="1">
      <c r="B555" s="2" t="s">
        <v>1629</v>
      </c>
      <c r="C555" s="2" t="s">
        <v>1630</v>
      </c>
      <c r="D555" s="2" t="s">
        <v>1606</v>
      </c>
      <c r="E555" s="2" t="s">
        <v>1325</v>
      </c>
      <c r="F555" s="2" t="s">
        <v>15</v>
      </c>
      <c r="G555" s="2" t="s">
        <v>1631</v>
      </c>
      <c r="H555" s="2" t="s">
        <v>349</v>
      </c>
      <c r="I555" s="2" t="str">
        <f>IFERROR(__xludf.DUMMYFUNCTION("GOOGLETRANSLATE(C555,""fr"",""en"")"),"hello
I took a real estate loan insurance contract believing to be protected in the event of a hard blow.
Hellas, when I needed a reimbursement of my credit following an occupational disease in 2016, my file and always during study at home, with incessa"&amp;"nt document requests.
Today, in 2019, I am still waiting to be compensated by April.
At April they are very strong to ballad you and not compensate you.
")</f>
        <v>hello
I took a real estate loan insurance contract believing to be protected in the event of a hard blow.
Hellas, when I needed a reimbursement of my credit following an occupational disease in 2016, my file and always during study at home, with incessant document requests.
Today, in 2019, I am still waiting to be compensated by April.
At April they are very strong to ballad you and not compensate you.
</v>
      </c>
    </row>
    <row r="556" ht="15.75" customHeight="1">
      <c r="B556" s="2" t="s">
        <v>1632</v>
      </c>
      <c r="C556" s="2" t="s">
        <v>1633</v>
      </c>
      <c r="D556" s="2" t="s">
        <v>1606</v>
      </c>
      <c r="E556" s="2" t="s">
        <v>1325</v>
      </c>
      <c r="F556" s="2" t="s">
        <v>15</v>
      </c>
      <c r="G556" s="2" t="s">
        <v>365</v>
      </c>
      <c r="H556" s="2" t="s">
        <v>66</v>
      </c>
      <c r="I556" s="2" t="str">
        <f>IFERROR(__xludf.DUMMYFUNCTION("GOOGLETRANSLATE(C556,""fr"",""en"")"),"Hello,
I advise you to avoid this company Certainly the price is attractive but the management service leaves something to be desired. I have terminated my contract to return to my bank because if you have a problem no one responds.
For my part I needed"&amp;" to change the name of a document more than a month and a half and no answer.
If you have a real problem as a job loss or itt do not rely on a quick response.
Avoid this company and quickly run towards a more expensive company but which will really help"&amp;" you
I am witness to their incompetence. A manager M has promised to help me but no answer for a month. I experienced hell to have a simple documents that I have never received.")</f>
        <v>Hello,
I advise you to avoid this company Certainly the price is attractive but the management service leaves something to be desired. I have terminated my contract to return to my bank because if you have a problem no one responds.
For my part I needed to change the name of a document more than a month and a half and no answer.
If you have a real problem as a job loss or itt do not rely on a quick response.
Avoid this company and quickly run towards a more expensive company but which will really help you
I am witness to their incompetence. A manager M has promised to help me but no answer for a month. I experienced hell to have a simple documents that I have never received.</v>
      </c>
    </row>
    <row r="557" ht="15.75" customHeight="1">
      <c r="B557" s="2" t="s">
        <v>1634</v>
      </c>
      <c r="C557" s="2" t="s">
        <v>1635</v>
      </c>
      <c r="D557" s="2" t="s">
        <v>1606</v>
      </c>
      <c r="E557" s="2" t="s">
        <v>1325</v>
      </c>
      <c r="F557" s="2" t="s">
        <v>15</v>
      </c>
      <c r="G557" s="2" t="s">
        <v>1293</v>
      </c>
      <c r="H557" s="2" t="s">
        <v>70</v>
      </c>
      <c r="I557" s="2" t="str">
        <f>IFERROR(__xludf.DUMMYFUNCTION("GOOGLETRANSLATE(C557,""fr"",""en"")"),"I just read several comments on April it scares me because I see that I am not the only my husband is affected by cancer and April do not stop asking me documents that I have already provided or documents that did not Nothing to do with my husband's healt"&amp;"h state they are dragging things it is an evidence if someone can tell me or contact to make things happen because fed up already that it is not easy to live with this disease")</f>
        <v>I just read several comments on April it scares me because I see that I am not the only my husband is affected by cancer and April do not stop asking me documents that I have already provided or documents that did not Nothing to do with my husband's health state they are dragging things it is an evidence if someone can tell me or contact to make things happen because fed up already that it is not easy to live with this disease</v>
      </c>
    </row>
    <row r="558" ht="15.75" customHeight="1">
      <c r="B558" s="2" t="s">
        <v>1636</v>
      </c>
      <c r="C558" s="2" t="s">
        <v>1637</v>
      </c>
      <c r="D558" s="2" t="s">
        <v>1606</v>
      </c>
      <c r="E558" s="2" t="s">
        <v>1325</v>
      </c>
      <c r="F558" s="2" t="s">
        <v>15</v>
      </c>
      <c r="G558" s="2" t="s">
        <v>1638</v>
      </c>
      <c r="H558" s="2" t="s">
        <v>106</v>
      </c>
      <c r="I558" s="2" t="str">
        <f>IFERROR(__xludf.DUMMYFUNCTION("GOOGLETRANSLATE(C558,""fr"",""en"")"),"Hello, bad experience with this insurance. When signing our real estate credit to BPL, we are sold April insurance by certifying to be covered for unemployment, permanent or temporary disability and death. After 9 years of contract, I needed to operate th"&amp;"e temporary disability warranty, but there, the troubles start ... Already they take an incredible time to study supposedly your file, then they send you several times to doctors Experts who no longer consult and finally he finds a preposition in their co"&amp;"ntract to justify their non -management. Indeed, it should be noted that I must be unable to do all my daily work. Despite thatbje being unable to work for 10 months, unable to bring my daughter to school does not count, they just retained that despite th"&amp;"is I was able to launch a machine from time to time. In addition, we saw that we had no unemployment guarantee in the contract. Okay I would have had to read the conditions before signing but we trusted ... too stupid. And be careful to obtain your death "&amp;"guarantee, you have an interest in dying in their conditions !!!!
Do not sign. You have the right now to choose your insurer now unlike 9 years ago so take advantage of it.
")</f>
        <v>Hello, bad experience with this insurance. When signing our real estate credit to BPL, we are sold April insurance by certifying to be covered for unemployment, permanent or temporary disability and death. After 9 years of contract, I needed to operate the temporary disability warranty, but there, the troubles start ... Already they take an incredible time to study supposedly your file, then they send you several times to doctors Experts who no longer consult and finally he finds a preposition in their contract to justify their non -management. Indeed, it should be noted that I must be unable to do all my daily work. Despite thatbje being unable to work for 10 months, unable to bring my daughter to school does not count, they just retained that despite this I was able to launch a machine from time to time. In addition, we saw that we had no unemployment guarantee in the contract. Okay I would have had to read the conditions before signing but we trusted ... too stupid. And be careful to obtain your death guarantee, you have an interest in dying in their conditions !!!!
Do not sign. You have the right now to choose your insurer now unlike 9 years ago so take advantage of it.
</v>
      </c>
    </row>
    <row r="559" ht="15.75" customHeight="1">
      <c r="B559" s="2" t="s">
        <v>1639</v>
      </c>
      <c r="C559" s="2" t="s">
        <v>1640</v>
      </c>
      <c r="D559" s="2" t="s">
        <v>1606</v>
      </c>
      <c r="E559" s="2" t="s">
        <v>1325</v>
      </c>
      <c r="F559" s="2" t="s">
        <v>15</v>
      </c>
      <c r="G559" s="2" t="s">
        <v>109</v>
      </c>
      <c r="H559" s="2" t="s">
        <v>110</v>
      </c>
      <c r="I559" s="2" t="str">
        <f>IFERROR(__xludf.DUMMYFUNCTION("GOOGLETRANSLATE(C559,""fr"",""en"")"),"Hello,
Flee absolutely April.
I have been insured at April since 2014 for loan insurance, I told April all my health problems.
Following a loan renegotiation, I ask April to reassure myself, the galley, requests by April of the same documents as the fi"&amp;"rst time (the television april tell me that Prur only keeps the documents 2 years).
I give everything back to April, one of my health problems having been diagnostic (I have a life treatment which according to my doctor is benign, it is able to provide t"&amp;"hem with a list of experts who can attest to it) I am refused in reinsurance And raft for false declaration.
Future insured April, if you fall sick, April will do everything to tidy up without paying his due.
If the situation evolves, I would comple"&amp;"te a comment.
")</f>
        <v>Hello,
Flee absolutely April.
I have been insured at April since 2014 for loan insurance, I told April all my health problems.
Following a loan renegotiation, I ask April to reassure myself, the galley, requests by April of the same documents as the first time (the television april tell me that Prur only keeps the documents 2 years).
I give everything back to April, one of my health problems having been diagnostic (I have a life treatment which according to my doctor is benign, it is able to provide them with a list of experts who can attest to it) I am refused in reinsurance And raft for false declaration.
Future insured April, if you fall sick, April will do everything to tidy up without paying his due.
If the situation evolves, I would complete a comment.
</v>
      </c>
    </row>
    <row r="560" ht="15.75" customHeight="1">
      <c r="B560" s="2" t="s">
        <v>1641</v>
      </c>
      <c r="C560" s="2" t="s">
        <v>1642</v>
      </c>
      <c r="D560" s="2" t="s">
        <v>1606</v>
      </c>
      <c r="E560" s="2" t="s">
        <v>1325</v>
      </c>
      <c r="F560" s="2" t="s">
        <v>15</v>
      </c>
      <c r="G560" s="2" t="s">
        <v>1643</v>
      </c>
      <c r="H560" s="2" t="s">
        <v>110</v>
      </c>
      <c r="I560" s="2" t="str">
        <f>IFERROR(__xludf.DUMMYFUNCTION("GOOGLETRANSLATE(C560,""fr"",""en"")"),"I ensured my loan home in their homes in 2007 and always paid in time until then.
After 5 years we are created a tax call contribution to the Association of APRIL insured
Then, I renegotiate my loan twice and there, each time errors (to their advantage "&amp;"evidment).
You have to send emails, recall them etc ... In the meantime I do not pay (at least it will move).
I am not sending me the elements that I ask except an invoice with a formal notice and 25 € of costs.
I am given an invoice again with matters"&amp;" of maturity and this famous subscription to the association of doubles doubles doubled. These practices are very unpleasant and with this insurer, everything is good to take money. To run away absolutely")</f>
        <v>I ensured my loan home in their homes in 2007 and always paid in time until then.
After 5 years we are created a tax call contribution to the Association of APRIL insured
Then, I renegotiate my loan twice and there, each time errors (to their advantage evidment).
You have to send emails, recall them etc ... In the meantime I do not pay (at least it will move).
I am not sending me the elements that I ask except an invoice with a formal notice and 25 € of costs.
I am given an invoice again with matters of maturity and this famous subscription to the association of doubles doubles doubled. These practices are very unpleasant and with this insurer, everything is good to take money. To run away absolutely</v>
      </c>
    </row>
    <row r="561" ht="15.75" customHeight="1">
      <c r="B561" s="2" t="s">
        <v>1644</v>
      </c>
      <c r="C561" s="2" t="s">
        <v>1645</v>
      </c>
      <c r="D561" s="2" t="s">
        <v>1606</v>
      </c>
      <c r="E561" s="2" t="s">
        <v>1325</v>
      </c>
      <c r="F561" s="2" t="s">
        <v>15</v>
      </c>
      <c r="G561" s="2" t="s">
        <v>1646</v>
      </c>
      <c r="H561" s="2" t="s">
        <v>836</v>
      </c>
      <c r="I561" s="2" t="str">
        <f>IFERROR(__xludf.DUMMYFUNCTION("GOOGLETRANSLATE(C561,""fr"",""en"")"),"Hello, following a loan renegotiation made in November 2016, I finally received at the end of February 2017, the new contributions (after a dozen threads to customer service and sending documents). And oh surprise I am sent to me a standard letter from th"&amp;"e contributions schedule where I can see that a reminder of € 230 in the years 2015/16 was made because the characteristics of the loan are not the same as the elements Received. This explanation was given to me because I had to call customer service to e"&amp;"xplain this situation to myself. And today I have no detailed element telling me where the error comes from, and why. The calculation of the contributions was necessarily made at the opening of my initial loan with a damping table sent and archived. So th"&amp;"ese are these elements that I want to see to discuss and understand .... I keep you informed because I am determined to understand and go to the end of my approach ...")</f>
        <v>Hello, following a loan renegotiation made in November 2016, I finally received at the end of February 2017, the new contributions (after a dozen threads to customer service and sending documents). And oh surprise I am sent to me a standard letter from the contributions schedule where I can see that a reminder of € 230 in the years 2015/16 was made because the characteristics of the loan are not the same as the elements Received. This explanation was given to me because I had to call customer service to explain this situation to myself. And today I have no detailed element telling me where the error comes from, and why. The calculation of the contributions was necessarily made at the opening of my initial loan with a damping table sent and archived. So these are these elements that I want to see to discuss and understand .... I keep you informed because I am determined to understand and go to the end of my approach ...</v>
      </c>
    </row>
    <row r="562" ht="15.75" customHeight="1">
      <c r="B562" s="2" t="s">
        <v>1647</v>
      </c>
      <c r="C562" s="2" t="s">
        <v>1648</v>
      </c>
      <c r="D562" s="2" t="s">
        <v>1606</v>
      </c>
      <c r="E562" s="2" t="s">
        <v>1325</v>
      </c>
      <c r="F562" s="2" t="s">
        <v>15</v>
      </c>
      <c r="G562" s="2" t="s">
        <v>1649</v>
      </c>
      <c r="H562" s="2" t="s">
        <v>836</v>
      </c>
      <c r="I562" s="2" t="str">
        <f>IFERROR(__xludf.DUMMYFUNCTION("GOOGLETRANSLATE(C562,""fr"",""en"")"),"I have been with this insurer for 10 years and customer service has become completely absent. No response to emails, you have to return the documents several times and nothing moves. It's deplorable. I am very motivated to change insurer.")</f>
        <v>I have been with this insurer for 10 years and customer service has become completely absent. No response to emails, you have to return the documents several times and nothing moves. It's deplorable. I am very motivated to change insurer.</v>
      </c>
    </row>
    <row r="563" ht="15.75" customHeight="1">
      <c r="B563" s="2" t="s">
        <v>1650</v>
      </c>
      <c r="C563" s="2" t="s">
        <v>1651</v>
      </c>
      <c r="D563" s="2" t="s">
        <v>1606</v>
      </c>
      <c r="E563" s="2" t="s">
        <v>1325</v>
      </c>
      <c r="F563" s="2" t="s">
        <v>15</v>
      </c>
      <c r="G563" s="2" t="s">
        <v>1652</v>
      </c>
      <c r="H563" s="2" t="s">
        <v>469</v>
      </c>
      <c r="I563" s="2" t="str">
        <f>IFERROR(__xludf.DUMMYFUNCTION("GOOGLETRANSLATE(C563,""fr"",""en"")"),"Service impossible to reach the phone, in the event of a loan renegotiation, contributions increase without reasons. You are luxury of service in service without ever having a response to your what. I am waiting for January to terminate definitively and I"&amp;" do not recommend this insurance")</f>
        <v>Service impossible to reach the phone, in the event of a loan renegotiation, contributions increase without reasons. You are luxury of service in service without ever having a response to your what. I am waiting for January to terminate definitively and I do not recommend this insurance</v>
      </c>
    </row>
    <row r="564" ht="15.75" customHeight="1">
      <c r="B564" s="2" t="s">
        <v>1653</v>
      </c>
      <c r="C564" s="2" t="s">
        <v>1654</v>
      </c>
      <c r="D564" s="2" t="s">
        <v>1655</v>
      </c>
      <c r="E564" s="2" t="s">
        <v>1325</v>
      </c>
      <c r="F564" s="2" t="s">
        <v>15</v>
      </c>
      <c r="G564" s="2" t="s">
        <v>1656</v>
      </c>
      <c r="H564" s="2" t="s">
        <v>246</v>
      </c>
      <c r="I564" s="2" t="str">
        <f>IFERROR(__xludf.DUMMYFUNCTION("GOOGLETRANSLATE(C564,""fr"",""en"")"),"We sell you insurance at a fixed price I request confirmation I am confirmed and after signature I am released additional costs (contributions) to be paid at once significant for a very small budget of good salespeople to sign contracts.")</f>
        <v>We sell you insurance at a fixed price I request confirmation I am confirmed and after signature I am released additional costs (contributions) to be paid at once significant for a very small budget of good salespeople to sign contracts.</v>
      </c>
    </row>
    <row r="565" ht="15.75" customHeight="1">
      <c r="B565" s="2" t="s">
        <v>1657</v>
      </c>
      <c r="C565" s="2" t="s">
        <v>1658</v>
      </c>
      <c r="D565" s="2" t="s">
        <v>1655</v>
      </c>
      <c r="E565" s="2" t="s">
        <v>1325</v>
      </c>
      <c r="F565" s="2" t="s">
        <v>15</v>
      </c>
      <c r="G565" s="2" t="s">
        <v>1659</v>
      </c>
      <c r="H565" s="2" t="s">
        <v>273</v>
      </c>
      <c r="I565" s="2" t="str">
        <f>IFERROR(__xludf.DUMMYFUNCTION("GOOGLETRANSLATE(C565,""fr"",""en"")"),"Magnolia found me borrower insurance without problem. Everything went well until my loan was bought by another bank. So I terminated my insurance and this is where the problems started. For two months now, the samples have been taken by the old insurance,"&amp;" i.e. more than 300 euros. Magnolia is content to answer that the file is being processed. It's just if I am not told that I just have to wait and that it's like that. I am very angry all the more since it put my account in the red of the expense taken by"&amp;" the bank")</f>
        <v>Magnolia found me borrower insurance without problem. Everything went well until my loan was bought by another bank. So I terminated my insurance and this is where the problems started. For two months now, the samples have been taken by the old insurance, i.e. more than 300 euros. Magnolia is content to answer that the file is being processed. It's just if I am not told that I just have to wait and that it's like that. I am very angry all the more since it put my account in the red of the expense taken by the bank</v>
      </c>
    </row>
    <row r="566" ht="15.75" customHeight="1">
      <c r="B566" s="2" t="s">
        <v>1660</v>
      </c>
      <c r="C566" s="2" t="s">
        <v>1661</v>
      </c>
      <c r="D566" s="2" t="s">
        <v>1655</v>
      </c>
      <c r="E566" s="2" t="s">
        <v>1325</v>
      </c>
      <c r="F566" s="2" t="s">
        <v>15</v>
      </c>
      <c r="G566" s="2" t="s">
        <v>1662</v>
      </c>
      <c r="H566" s="2" t="s">
        <v>317</v>
      </c>
      <c r="I566" s="2" t="str">
        <f>IFERROR(__xludf.DUMMYFUNCTION("GOOGLETRANSLATE(C566,""fr"",""en"")"),"Pitivable incompetent Even lovers have more seriousness in the follow -up of files .... termination sent to another bank the total what ... and height of the cake by returning to the schedule more samples and adhesion costs")</f>
        <v>Pitivable incompetent Even lovers have more seriousness in the follow -up of files .... termination sent to another bank the total what ... and height of the cake by returning to the schedule more samples and adhesion costs</v>
      </c>
    </row>
    <row r="567" ht="15.75" customHeight="1">
      <c r="B567" s="2" t="s">
        <v>1663</v>
      </c>
      <c r="C567" s="2" t="s">
        <v>1664</v>
      </c>
      <c r="D567" s="2" t="s">
        <v>1655</v>
      </c>
      <c r="E567" s="2" t="s">
        <v>1325</v>
      </c>
      <c r="F567" s="2" t="s">
        <v>15</v>
      </c>
      <c r="G567" s="2" t="s">
        <v>1665</v>
      </c>
      <c r="H567" s="2" t="s">
        <v>21</v>
      </c>
      <c r="I567" s="2" t="str">
        <f>IFERROR(__xludf.DUMMYFUNCTION("GOOGLETRANSLATE(C567,""fr"",""en"")"),"I tested the Magnolia service after seeing their pub on TV. Change of my borrower insurance for 2 times cheaper with equivalent guarantees thanks to the Hamon law!")</f>
        <v>I tested the Magnolia service after seeing their pub on TV. Change of my borrower insurance for 2 times cheaper with equivalent guarantees thanks to the Hamon law!</v>
      </c>
    </row>
    <row r="568" ht="15.75" customHeight="1">
      <c r="B568" s="2" t="s">
        <v>1666</v>
      </c>
      <c r="C568" s="2" t="s">
        <v>1667</v>
      </c>
      <c r="D568" s="2" t="s">
        <v>1655</v>
      </c>
      <c r="E568" s="2" t="s">
        <v>1325</v>
      </c>
      <c r="F568" s="2" t="s">
        <v>15</v>
      </c>
      <c r="G568" s="2" t="s">
        <v>1149</v>
      </c>
      <c r="H568" s="2" t="s">
        <v>81</v>
      </c>
      <c r="I568" s="2" t="str">
        <f>IFERROR(__xludf.DUMMYFUNCTION("GOOGLETRANSLATE(C568,""fr"",""en"")"),"My wife and I tried to change our borrower insurance using Magnolia's services. After a few months of administrative formality, we learn that we will be deducted from the monthly insurance monthly insurance while our bank in parallel rejected insurance su"&amp;"brogation. Indeed, a guarantee was missing to ensure a level equivalent to the initial contract. This organization is able to start the monthly payments when they have no contract signed on their side (on the 3 -signatures contract must be affixed: the in"&amp;"sured, the insurer and the bank). Although we have the possibility of updating the guarantees of the contract under subscription at Magnolia, in view of these questionable practices, I preferred to stop the procedures. I have been fighting for this contra"&amp;"ct for a month now (not completely signed suddenly) and to obtain the reimbursement of the first two monthly payments that duplicate the bank's initial insurance. The interlocutors force us to push the procedures or ask us several times the mail of the ba"&amp;"nk meaning the refusal of subrogation to ultimately not respond and let the samples run. This is unacceptable.")</f>
        <v>My wife and I tried to change our borrower insurance using Magnolia's services. After a few months of administrative formality, we learn that we will be deducted from the monthly insurance monthly insurance while our bank in parallel rejected insurance subrogation. Indeed, a guarantee was missing to ensure a level equivalent to the initial contract. This organization is able to start the monthly payments when they have no contract signed on their side (on the 3 -signatures contract must be affixed: the insured, the insurer and the bank). Although we have the possibility of updating the guarantees of the contract under subscription at Magnolia, in view of these questionable practices, I preferred to stop the procedures. I have been fighting for this contract for a month now (not completely signed suddenly) and to obtain the reimbursement of the first two monthly payments that duplicate the bank's initial insurance. The interlocutors force us to push the procedures or ask us several times the mail of the bank meaning the refusal of subrogation to ultimately not respond and let the samples run. This is unacceptable.</v>
      </c>
    </row>
    <row r="569" ht="15.75" customHeight="1">
      <c r="B569" s="2" t="s">
        <v>1668</v>
      </c>
      <c r="C569" s="2" t="s">
        <v>1669</v>
      </c>
      <c r="D569" s="2" t="s">
        <v>1655</v>
      </c>
      <c r="E569" s="2" t="s">
        <v>1325</v>
      </c>
      <c r="F569" s="2" t="s">
        <v>15</v>
      </c>
      <c r="G569" s="2" t="s">
        <v>1670</v>
      </c>
      <c r="H569" s="2" t="s">
        <v>395</v>
      </c>
      <c r="I569" s="2" t="str">
        <f>IFERROR(__xludf.DUMMYFUNCTION("GOOGLETRANSLATE(C569,""fr"",""en"")"),"Magnolia.fr was recommended to me by knowledge and allowed me to easily change my loan insurance using the Hamon law.
I was able to compare a dozen contracts and thus choose the most advantageous. Glad from my final choice!")</f>
        <v>Magnolia.fr was recommended to me by knowledge and allowed me to easily change my loan insurance using the Hamon law.
I was able to compare a dozen contracts and thus choose the most advantageous. Glad from my final choice!</v>
      </c>
    </row>
    <row r="570" ht="15.75" customHeight="1">
      <c r="B570" s="2" t="s">
        <v>1671</v>
      </c>
      <c r="C570" s="2" t="s">
        <v>1672</v>
      </c>
      <c r="D570" s="2" t="s">
        <v>1673</v>
      </c>
      <c r="E570" s="2" t="s">
        <v>1325</v>
      </c>
      <c r="F570" s="2" t="s">
        <v>15</v>
      </c>
      <c r="G570" s="2" t="s">
        <v>1674</v>
      </c>
      <c r="H570" s="2" t="s">
        <v>269</v>
      </c>
      <c r="I570" s="2" t="str">
        <f>IFERROR(__xludf.DUMMYFUNCTION("GOOGLETRANSLATE(C570,""fr"",""en"")"),"Document processing far too long, 11 days! And in addition there is always a problem. Answer by mail only therefore a huge waste of time, a simple email will be much more efficient.
Very vague explanations, an wait by interminable phone.
I do not recomm"&amp;"end at all !!! I await 2 months compensation and there is nothing unlocked")</f>
        <v>Document processing far too long, 11 days! And in addition there is always a problem. Answer by mail only therefore a huge waste of time, a simple email will be much more efficient.
Very vague explanations, an wait by interminable phone.
I do not recommend at all !!! I await 2 months compensation and there is nothing unlocked</v>
      </c>
    </row>
    <row r="571" ht="15.75" customHeight="1">
      <c r="B571" s="2" t="s">
        <v>1675</v>
      </c>
      <c r="C571" s="2" t="s">
        <v>1676</v>
      </c>
      <c r="D571" s="2" t="s">
        <v>1673</v>
      </c>
      <c r="E571" s="2" t="s">
        <v>1325</v>
      </c>
      <c r="F571" s="2" t="s">
        <v>15</v>
      </c>
      <c r="G571" s="2" t="s">
        <v>1677</v>
      </c>
      <c r="H571" s="2" t="s">
        <v>554</v>
      </c>
      <c r="I571" s="2" t="str">
        <f>IFERROR(__xludf.DUMMYFUNCTION("GOOGLETRANSLATE(C571,""fr"",""en"")"),"A fight at all times to obtain its rights requires incessant documents loss of these same documents medical expertise by an expert paid by their balance sheet despite a work stop and a passage in disability following cancer! Refusal of Sogecap of Support")</f>
        <v>A fight at all times to obtain its rights requires incessant documents loss of these same documents medical expertise by an expert paid by their balance sheet despite a work stop and a passage in disability following cancer! Refusal of Sogecap of Support</v>
      </c>
    </row>
    <row r="572" ht="15.75" customHeight="1">
      <c r="B572" s="2" t="s">
        <v>1678</v>
      </c>
      <c r="C572" s="2" t="s">
        <v>1679</v>
      </c>
      <c r="D572" s="2" t="s">
        <v>1673</v>
      </c>
      <c r="E572" s="2" t="s">
        <v>1325</v>
      </c>
      <c r="F572" s="2" t="s">
        <v>15</v>
      </c>
      <c r="G572" s="2" t="s">
        <v>317</v>
      </c>
      <c r="H572" s="2" t="s">
        <v>317</v>
      </c>
      <c r="I572" s="2" t="str">
        <f>IFERROR(__xludf.DUMMYFUNCTION("GOOGLETRANSLATE(C572,""fr"",""en"")"),"This company has several times asking for the same documents that I sent in letter followed, all that to have the file dragged, to avoid going to see elsewhere. Impossible to have someone who at the phone who knows your file, they are just good to take")</f>
        <v>This company has several times asking for the same documents that I sent in letter followed, all that to have the file dragged, to avoid going to see elsewhere. Impossible to have someone who at the phone who knows your file, they are just good to take</v>
      </c>
    </row>
    <row r="573" ht="15.75" customHeight="1">
      <c r="B573" s="2" t="s">
        <v>1680</v>
      </c>
      <c r="C573" s="2" t="s">
        <v>1681</v>
      </c>
      <c r="D573" s="2" t="s">
        <v>1673</v>
      </c>
      <c r="E573" s="2" t="s">
        <v>1325</v>
      </c>
      <c r="F573" s="2" t="s">
        <v>15</v>
      </c>
      <c r="G573" s="2" t="s">
        <v>938</v>
      </c>
      <c r="H573" s="2" t="s">
        <v>572</v>
      </c>
      <c r="I573" s="2" t="str">
        <f>IFERROR(__xludf.DUMMYFUNCTION("GOOGLETRANSLATE(C573,""fr"",""en"")"),"Do not answer the Rar letters or the emails of customers. Insurer who plays with the words not to take care of your file. No consideration for people in sickness who claim their rights and have paid their deadlines on time, however.")</f>
        <v>Do not answer the Rar letters or the emails of customers. Insurer who plays with the words not to take care of your file. No consideration for people in sickness who claim their rights and have paid their deadlines on time, however.</v>
      </c>
    </row>
    <row r="574" ht="15.75" customHeight="1">
      <c r="B574" s="2" t="s">
        <v>1682</v>
      </c>
      <c r="C574" s="2" t="s">
        <v>1683</v>
      </c>
      <c r="D574" s="2" t="s">
        <v>1673</v>
      </c>
      <c r="E574" s="2" t="s">
        <v>1325</v>
      </c>
      <c r="F574" s="2" t="s">
        <v>15</v>
      </c>
      <c r="G574" s="2" t="s">
        <v>1665</v>
      </c>
      <c r="H574" s="2" t="s">
        <v>21</v>
      </c>
      <c r="I574" s="2" t="str">
        <f>IFERROR(__xludf.DUMMYFUNCTION("GOOGLETRANSLATE(C574,""fr"",""en"")"),"Null, zero and zero")</f>
        <v>Null, zero and zero</v>
      </c>
    </row>
    <row r="575" ht="15.75" customHeight="1">
      <c r="B575" s="2" t="s">
        <v>1684</v>
      </c>
      <c r="C575" s="2" t="s">
        <v>1685</v>
      </c>
      <c r="D575" s="2" t="s">
        <v>1673</v>
      </c>
      <c r="E575" s="2" t="s">
        <v>1325</v>
      </c>
      <c r="F575" s="2" t="s">
        <v>15</v>
      </c>
      <c r="G575" s="2" t="s">
        <v>1686</v>
      </c>
      <c r="H575" s="2" t="s">
        <v>349</v>
      </c>
      <c r="I575" s="2" t="str">
        <f>IFERROR(__xludf.DUMMYFUNCTION("GOOGLETRANSLATE(C575,""fr"",""en"")"),"losses of documents constantly made in many cases, responses of responses, followed by non -existent files which made that we could not benefit from guarantees taken out initially to the signing of a loan for my seriously ill wife we ​​could have a Conniv"&amp;"ance between Société Générale and SOGECAP so as not to compensate the rights, we want to create a collective in order to pursue the SOGECAP and the Société Générale E Justice")</f>
        <v>losses of documents constantly made in many cases, responses of responses, followed by non -existent files which made that we could not benefit from guarantees taken out initially to the signing of a loan for my seriously ill wife we ​​could have a Connivance between Société Générale and SOGECAP so as not to compensate the rights, we want to create a collective in order to pursue the SOGECAP and the Société Générale E Justice</v>
      </c>
    </row>
    <row r="576" ht="15.75" customHeight="1">
      <c r="B576" s="2" t="s">
        <v>1687</v>
      </c>
      <c r="C576" s="2" t="s">
        <v>1688</v>
      </c>
      <c r="D576" s="2" t="s">
        <v>1673</v>
      </c>
      <c r="E576" s="2" t="s">
        <v>1325</v>
      </c>
      <c r="F576" s="2" t="s">
        <v>15</v>
      </c>
      <c r="G576" s="2" t="s">
        <v>1689</v>
      </c>
      <c r="H576" s="2" t="s">
        <v>66</v>
      </c>
      <c r="I576" s="2" t="str">
        <f>IFERROR(__xludf.DUMMYFUNCTION("GOOGLETRANSLATE(C576,""fr"",""en"")"),"With each call no answers, the medical service responds after three months while the deadline is 11 working days.
I declare a new pathology I am answered during medical expertise all existing pathologies are taken into account, so after two expertise I a"&amp;"m told of an expert in expertise, half of which at my expense. Do not charge for cause partial permanent invalidity because below 66% while on the guarantees it is specified that the non -management is for a total permanent disability. So that I thought t"&amp;"hat only the invalid category 3 were in total permanent disability.
I am in category 2 ??????")</f>
        <v>With each call no answers, the medical service responds after three months while the deadline is 11 working days.
I declare a new pathology I am answered during medical expertise all existing pathologies are taken into account, so after two expertise I am told of an expert in expertise, half of which at my expense. Do not charge for cause partial permanent invalidity because below 66% while on the guarantees it is specified that the non -management is for a total permanent disability. So that I thought that only the invalid category 3 were in total permanent disability.
I am in category 2 ??????</v>
      </c>
    </row>
    <row r="577" ht="15.75" customHeight="1">
      <c r="B577" s="2" t="s">
        <v>1690</v>
      </c>
      <c r="C577" s="2" t="s">
        <v>1691</v>
      </c>
      <c r="D577" s="2" t="s">
        <v>1673</v>
      </c>
      <c r="E577" s="2" t="s">
        <v>1325</v>
      </c>
      <c r="F577" s="2" t="s">
        <v>15</v>
      </c>
      <c r="G577" s="2" t="s">
        <v>1692</v>
      </c>
      <c r="H577" s="2" t="s">
        <v>92</v>
      </c>
      <c r="I577" s="2" t="str">
        <f>IFERROR(__xludf.DUMMYFUNCTION("GOOGLETRANSLATE(C577,""fr"",""en"")"),"With Sogecap, it is better not to get sick, we often receive requests for parts to complete the file, when you have just sent them. 3 months late, and during this time they nevertheless take the monthly payments !!! We make you look at the phone that you "&amp;"are going to be paid but the weeks go by and .... nothing, except parts of parts. At the start of my stop everything went well and for a few months you have always been fighting! Disappointing!")</f>
        <v>With Sogecap, it is better not to get sick, we often receive requests for parts to complete the file, when you have just sent them. 3 months late, and during this time they nevertheless take the monthly payments !!! We make you look at the phone that you are going to be paid but the weeks go by and .... nothing, except parts of parts. At the start of my stop everything went well and for a few months you have always been fighting! Disappointing!</v>
      </c>
    </row>
    <row r="578" ht="15.75" customHeight="1">
      <c r="B578" s="2" t="s">
        <v>1693</v>
      </c>
      <c r="C578" s="2" t="s">
        <v>1694</v>
      </c>
      <c r="D578" s="2" t="s">
        <v>1673</v>
      </c>
      <c r="E578" s="2" t="s">
        <v>1325</v>
      </c>
      <c r="F578" s="2" t="s">
        <v>15</v>
      </c>
      <c r="G578" s="2" t="s">
        <v>812</v>
      </c>
      <c r="H578" s="2" t="s">
        <v>96</v>
      </c>
      <c r="I578" s="2" t="str">
        <f>IFERROR(__xludf.DUMMYFUNCTION("GOOGLETRANSLATE(C578,""fr"",""en"")"),"Lavable, pitiful, shameful, catastrophic ... A month and a half waiting for consumer credit insurance. Who is not even compulsory in the eyes of the law ... SOGECAP! You should be ashamed. SOGECAP employees! Never recommend this insurance to your children"&amp;".")</f>
        <v>Lavable, pitiful, shameful, catastrophic ... A month and a half waiting for consumer credit insurance. Who is not even compulsory in the eyes of the law ... SOGECAP! You should be ashamed. SOGECAP employees! Never recommend this insurance to your children.</v>
      </c>
    </row>
    <row r="579" ht="15.75" customHeight="1">
      <c r="B579" s="2" t="s">
        <v>1695</v>
      </c>
      <c r="C579" s="2" t="s">
        <v>1696</v>
      </c>
      <c r="D579" s="2" t="s">
        <v>1673</v>
      </c>
      <c r="E579" s="2" t="s">
        <v>1325</v>
      </c>
      <c r="F579" s="2" t="s">
        <v>15</v>
      </c>
      <c r="G579" s="2" t="s">
        <v>1052</v>
      </c>
      <c r="H579" s="2" t="s">
        <v>1053</v>
      </c>
      <c r="I579" s="2" t="str">
        <f>IFERROR(__xludf.DUMMYFUNCTION("GOOGLETRANSLATE(C579,""fr"",""en"")"),"Zero management, zero customer service, 100% bureaucracy, good for nothing. This group has reached the depths of zero service never seen elsewhere. If you use General Societe Refuse their Sogecap insurance group !!!!")</f>
        <v>Zero management, zero customer service, 100% bureaucracy, good for nothing. This group has reached the depths of zero service never seen elsewhere. If you use General Societe Refuse their Sogecap insurance group !!!!</v>
      </c>
    </row>
    <row r="580" ht="15.75" customHeight="1">
      <c r="B580" s="2" t="s">
        <v>1697</v>
      </c>
      <c r="C580" s="2" t="s">
        <v>1698</v>
      </c>
      <c r="D580" s="2" t="s">
        <v>1699</v>
      </c>
      <c r="E580" s="2" t="s">
        <v>1325</v>
      </c>
      <c r="F580" s="2" t="s">
        <v>15</v>
      </c>
      <c r="G580" s="2" t="s">
        <v>1700</v>
      </c>
      <c r="H580" s="2" t="s">
        <v>153</v>
      </c>
      <c r="I580" s="2" t="str">
        <f>IFERROR(__xludf.DUMMYFUNCTION("GOOGLETRANSLATE(C580,""fr"",""en"")"),"Very disappointing, no consideration of the customer, months of waiting for the investigation of the file for the reimbursement of the loan, still not settled despite many reminders remained without follow -up. This type of company should not exist! To fl"&amp;"ee absolutely!")</f>
        <v>Very disappointing, no consideration of the customer, months of waiting for the investigation of the file for the reimbursement of the loan, still not settled despite many reminders remained without follow -up. This type of company should not exist! To flee absolutely!</v>
      </c>
    </row>
    <row r="581" ht="15.75" customHeight="1">
      <c r="B581" s="2" t="s">
        <v>1701</v>
      </c>
      <c r="C581" s="2" t="s">
        <v>1702</v>
      </c>
      <c r="D581" s="2" t="s">
        <v>1699</v>
      </c>
      <c r="E581" s="2" t="s">
        <v>1325</v>
      </c>
      <c r="F581" s="2" t="s">
        <v>15</v>
      </c>
      <c r="G581" s="2" t="s">
        <v>1331</v>
      </c>
      <c r="H581" s="2" t="s">
        <v>160</v>
      </c>
      <c r="I581" s="2" t="str">
        <f>IFERROR(__xludf.DUMMYFUNCTION("GOOGLETRANSLATE(C581,""fr"",""en"")"),"We subscribed to borrower insurance on our main accommodation in 2015. We bought our credit and changed insurance for the new credit in March 2021. Metlife continued to take our account after we ended the credit. We have changed banks and Metlife sends us"&amp;" letters with AR to claim the payment of the deadlines of a credit which no longer exists. No phone number, no email address, just an account number to make transfers and a generic postal address.
These practices are infamed. How can a business like this"&amp;" continue to operate with such practices? They seem above consumer protection laws ... to flee !!!!")</f>
        <v>We subscribed to borrower insurance on our main accommodation in 2015. We bought our credit and changed insurance for the new credit in March 2021. Metlife continued to take our account after we ended the credit. We have changed banks and Metlife sends us letters with AR to claim the payment of the deadlines of a credit which no longer exists. No phone number, no email address, just an account number to make transfers and a generic postal address.
These practices are infamed. How can a business like this continue to operate with such practices? They seem above consumer protection laws ... to flee !!!!</v>
      </c>
    </row>
    <row r="582" ht="15.75" customHeight="1">
      <c r="B582" s="2" t="s">
        <v>1703</v>
      </c>
      <c r="C582" s="2" t="s">
        <v>1704</v>
      </c>
      <c r="D582" s="2" t="s">
        <v>1699</v>
      </c>
      <c r="E582" s="2" t="s">
        <v>1325</v>
      </c>
      <c r="F582" s="2" t="s">
        <v>15</v>
      </c>
      <c r="G582" s="2" t="s">
        <v>1352</v>
      </c>
      <c r="H582" s="2" t="s">
        <v>160</v>
      </c>
      <c r="I582" s="2" t="str">
        <f>IFERROR(__xludf.DUMMYFUNCTION("GOOGLETRANSLATE(C582,""fr"",""en"")"),"Hello,
Wishing to extend a mortgage, my bank claims a letter from Metlife to calculate the TEG. I sent an email in this direction to customer service at the end of June. To date, after 4 email returned and half a dozen calls for responses full of promi"&amp;"ses, I have still received nothing and find myself blocked with my bank. I make them leave this day a registered letter with threat of blocking insurance payments. I do not know if this is very regular but I hardly see other solutions.
This Metlife compa"&amp;"ny is an unnamed horror.
Walter Navarra")</f>
        <v>Hello,
Wishing to extend a mortgage, my bank claims a letter from Metlife to calculate the TEG. I sent an email in this direction to customer service at the end of June. To date, after 4 email returned and half a dozen calls for responses full of promises, I have still received nothing and find myself blocked with my bank. I make them leave this day a registered letter with threat of blocking insurance payments. I do not know if this is very regular but I hardly see other solutions.
This Metlife company is an unnamed horror.
Walter Navarra</v>
      </c>
    </row>
    <row r="583" ht="15.75" customHeight="1">
      <c r="B583" s="2" t="s">
        <v>1705</v>
      </c>
      <c r="C583" s="2" t="s">
        <v>1706</v>
      </c>
      <c r="D583" s="2" t="s">
        <v>1699</v>
      </c>
      <c r="E583" s="2" t="s">
        <v>1325</v>
      </c>
      <c r="F583" s="2" t="s">
        <v>15</v>
      </c>
      <c r="G583" s="2" t="s">
        <v>1413</v>
      </c>
      <c r="H583" s="2" t="s">
        <v>168</v>
      </c>
      <c r="I583" s="2" t="str">
        <f>IFERROR(__xludf.DUMMYFUNCTION("GOOGLETRANSLATE(C583,""fr"",""en"")"),"Being in sickness since 01/29/2021 I therefore triggered borrower insurance for long illness after the 90 -day deductible and I am very satisfied with the speed and seriousness of this insurance which quickly compensated me So I am amazed at bad appreciat"&amp;"ions.")</f>
        <v>Being in sickness since 01/29/2021 I therefore triggered borrower insurance for long illness after the 90 -day deductible and I am very satisfied with the speed and seriousness of this insurance which quickly compensated me So I am amazed at bad appreciations.</v>
      </c>
    </row>
    <row r="584" ht="15.75" customHeight="1">
      <c r="B584" s="2" t="s">
        <v>1707</v>
      </c>
      <c r="C584" s="2" t="s">
        <v>1708</v>
      </c>
      <c r="D584" s="2" t="s">
        <v>1699</v>
      </c>
      <c r="E584" s="2" t="s">
        <v>1325</v>
      </c>
      <c r="F584" s="2" t="s">
        <v>15</v>
      </c>
      <c r="G584" s="2" t="s">
        <v>1709</v>
      </c>
      <c r="H584" s="2" t="s">
        <v>168</v>
      </c>
      <c r="I584" s="2" t="str">
        <f>IFERROR(__xludf.DUMMYFUNCTION("GOOGLETRANSLATE(C584,""fr"",""en"")"),"Unreachable insurer awaiting reimbursement no response to my many emails.
As for the phone, the operators must be abroad ... We are promised that a manager will recall ... of course no one takes the trouble to recall.
I strongly advise against.")</f>
        <v>Unreachable insurer awaiting reimbursement no response to my many emails.
As for the phone, the operators must be abroad ... We are promised that a manager will recall ... of course no one takes the trouble to recall.
I strongly advise against.</v>
      </c>
    </row>
    <row r="585" ht="15.75" customHeight="1">
      <c r="B585" s="2" t="s">
        <v>1710</v>
      </c>
      <c r="C585" s="2" t="s">
        <v>1711</v>
      </c>
      <c r="D585" s="2" t="s">
        <v>1699</v>
      </c>
      <c r="E585" s="2" t="s">
        <v>1325</v>
      </c>
      <c r="F585" s="2" t="s">
        <v>15</v>
      </c>
      <c r="G585" s="2" t="s">
        <v>1712</v>
      </c>
      <c r="H585" s="2" t="s">
        <v>168</v>
      </c>
      <c r="I585" s="2" t="str">
        <f>IFERROR(__xludf.DUMMYFUNCTION("GOOGLETRANSLATE(C585,""fr"",""en"")"),"I sent 3 times for March2021 a request for insurance termination linked to the total reimbursement of my mortgage. No answer.
I am told on the phone that the email will be processed, I do not believe it too much!
What to do ?")</f>
        <v>I sent 3 times for March2021 a request for insurance termination linked to the total reimbursement of my mortgage. No answer.
I am told on the phone that the email will be processed, I do not believe it too much!
What to do ?</v>
      </c>
    </row>
    <row r="586" ht="15.75" customHeight="1">
      <c r="B586" s="2" t="s">
        <v>1713</v>
      </c>
      <c r="C586" s="2" t="s">
        <v>1714</v>
      </c>
      <c r="D586" s="2" t="s">
        <v>1699</v>
      </c>
      <c r="E586" s="2" t="s">
        <v>1325</v>
      </c>
      <c r="F586" s="2" t="s">
        <v>15</v>
      </c>
      <c r="G586" s="2" t="s">
        <v>241</v>
      </c>
      <c r="H586" s="2" t="s">
        <v>242</v>
      </c>
      <c r="I586" s="2" t="str">
        <f>IFERROR(__xludf.DUMMYFUNCTION("GOOGLETRANSLATE(C586,""fr"",""en"")"),"This is an insurance offered with a loan from the savings bank in 2005.
Following the total reimbursement of my loan in 4/2020, the company Metlife continued the samples.
On the savings box side, they indicate that they are not required to do so since i"&amp;"t is not the CE group.
On the Metlife side, their site mentions that it is enough to send an email with some information (https://www.metlife.fr/mes-demarches/assurance-eprunter/remboursment-total-ou-partiel-snc/).
But after a month and 3 emails, no new"&amp;"s from this company.
The emails were well received and read (the reading AR proof) but the samples have continued and no return from them to validate the right taking into account of my request.
Obviously the request for reimbursement of industrial with"&amp;"drawals is not processed either.")</f>
        <v>This is an insurance offered with a loan from the savings bank in 2005.
Following the total reimbursement of my loan in 4/2020, the company Metlife continued the samples.
On the savings box side, they indicate that they are not required to do so since it is not the CE group.
On the Metlife side, their site mentions that it is enough to send an email with some information (https://www.metlife.fr/mes-demarches/assurance-eprunter/remboursment-total-ou-partiel-snc/).
But after a month and 3 emails, no news from this company.
The emails were well received and read (the reading AR proof) but the samples have continued and no return from them to validate the right taking into account of my request.
Obviously the request for reimbursement of industrial withdrawals is not processed either.</v>
      </c>
    </row>
    <row r="587" ht="15.75" customHeight="1">
      <c r="B587" s="2" t="s">
        <v>1715</v>
      </c>
      <c r="C587" s="2" t="s">
        <v>1716</v>
      </c>
      <c r="D587" s="2" t="s">
        <v>1699</v>
      </c>
      <c r="E587" s="2" t="s">
        <v>1325</v>
      </c>
      <c r="F587" s="2" t="s">
        <v>15</v>
      </c>
      <c r="G587" s="2" t="s">
        <v>1717</v>
      </c>
      <c r="H587" s="2" t="s">
        <v>242</v>
      </c>
      <c r="I587" s="2" t="str">
        <f>IFERROR(__xludf.DUMMYFUNCTION("GOOGLETRANSLATE(C587,""fr"",""en"")"),"I do violence to put a Star! to flee for future borrowers.
Ghost company. I renegotiated a loan and sent the new the schedule ready for 9 months to Metlife to obtain the new loan insurance amounts with new schedule. I'm still waiting, like everyone else "&amp;".. I think I'm going to block the samples, the only way to make them move. I dare not imagine the despair of those who are dealing with them in the event of death ... In addition it appears that if we want to change insurer, you need Metlife documents tha"&amp;"t we never receive so so We are prisoners.")</f>
        <v>I do violence to put a Star! to flee for future borrowers.
Ghost company. I renegotiated a loan and sent the new the schedule ready for 9 months to Metlife to obtain the new loan insurance amounts with new schedule. I'm still waiting, like everyone else .. I think I'm going to block the samples, the only way to make them move. I dare not imagine the despair of those who are dealing with them in the event of death ... In addition it appears that if we want to change insurer, you need Metlife documents that we never receive so so We are prisoners.</v>
      </c>
    </row>
    <row r="588" ht="15.75" customHeight="1">
      <c r="B588" s="2" t="s">
        <v>1718</v>
      </c>
      <c r="C588" s="2" t="s">
        <v>1719</v>
      </c>
      <c r="D588" s="2" t="s">
        <v>1699</v>
      </c>
      <c r="E588" s="2" t="s">
        <v>1325</v>
      </c>
      <c r="F588" s="2" t="s">
        <v>15</v>
      </c>
      <c r="G588" s="2" t="s">
        <v>1720</v>
      </c>
      <c r="H588" s="2" t="s">
        <v>246</v>
      </c>
      <c r="I588" s="2" t="str">
        <f>IFERROR(__xludf.DUMMYFUNCTION("GOOGLETRANSLATE(C588,""fr"",""en"")"),"Metlife makes endorsements without warning us and awards the monthly payment by 12 %.
And of course impossible to contact them by phone on 0149024000 on the non -surcharged number.")</f>
        <v>Metlife makes endorsements without warning us and awards the monthly payment by 12 %.
And of course impossible to contact them by phone on 0149024000 on the non -surcharged number.</v>
      </c>
    </row>
    <row r="589" ht="15.75" customHeight="1">
      <c r="B589" s="2" t="s">
        <v>1721</v>
      </c>
      <c r="C589" s="2" t="s">
        <v>1722</v>
      </c>
      <c r="D589" s="2" t="s">
        <v>1699</v>
      </c>
      <c r="E589" s="2" t="s">
        <v>1325</v>
      </c>
      <c r="F589" s="2" t="s">
        <v>15</v>
      </c>
      <c r="G589" s="2" t="s">
        <v>1723</v>
      </c>
      <c r="H589" s="2" t="s">
        <v>257</v>
      </c>
      <c r="I589" s="2" t="str">
        <f>IFERROR(__xludf.DUMMYFUNCTION("GOOGLETRANSLATE(C589,""fr"",""en"")"),"I am in the termination process with this insurer and I tear my hair out, several mail of termination with the file numbers were sent with the membership certificate of the new company and nothing !!
Today I cannot even give an effective date to the new "&amp;"company and find myself in the panade because in July my samples begins !!!
Metlife is completely absent or we are made to pay a phone number in 0800 on the pretext of the COVID !!! It is abberant!")</f>
        <v>I am in the termination process with this insurer and I tear my hair out, several mail of termination with the file numbers were sent with the membership certificate of the new company and nothing !!
Today I cannot even give an effective date to the new company and find myself in the panade because in July my samples begins !!!
Metlife is completely absent or we are made to pay a phone number in 0800 on the pretext of the COVID !!! It is abberant!</v>
      </c>
    </row>
    <row r="590" ht="15.75" customHeight="1">
      <c r="B590" s="2" t="s">
        <v>1724</v>
      </c>
      <c r="C590" s="2" t="s">
        <v>1725</v>
      </c>
      <c r="D590" s="2" t="s">
        <v>1699</v>
      </c>
      <c r="E590" s="2" t="s">
        <v>1325</v>
      </c>
      <c r="F590" s="2" t="s">
        <v>15</v>
      </c>
      <c r="G590" s="2" t="s">
        <v>1726</v>
      </c>
      <c r="H590" s="2" t="s">
        <v>554</v>
      </c>
      <c r="I590" s="2" t="str">
        <f>IFERROR(__xludf.DUMMYFUNCTION("GOOGLETRANSLATE(C590,""fr"",""en"")"),"Price which increases without information on their part and especially which does not correspond to the one that has been signed, unreachable service and paying number at very tight hours 9 to 12 and 14 to 17 ....")</f>
        <v>Price which increases without information on their part and especially which does not correspond to the one that has been signed, unreachable service and paying number at very tight hours 9 to 12 and 14 to 17 ....</v>
      </c>
    </row>
    <row r="591" ht="15.75" customHeight="1">
      <c r="B591" s="2" t="s">
        <v>1727</v>
      </c>
      <c r="C591" s="2" t="s">
        <v>1728</v>
      </c>
      <c r="D591" s="2" t="s">
        <v>1699</v>
      </c>
      <c r="E591" s="2" t="s">
        <v>1325</v>
      </c>
      <c r="F591" s="2" t="s">
        <v>15</v>
      </c>
      <c r="G591" s="2" t="s">
        <v>1729</v>
      </c>
      <c r="H591" s="2" t="s">
        <v>307</v>
      </c>
      <c r="I591" s="2" t="str">
        <f>IFERROR(__xludf.DUMMYFUNCTION("GOOGLETRANSLATE(C591,""fr"",""en"")"),"3 requests by emails without
Return.")</f>
        <v>3 requests by emails without
Return.</v>
      </c>
    </row>
    <row r="592" ht="15.75" customHeight="1">
      <c r="B592" s="2" t="s">
        <v>1730</v>
      </c>
      <c r="C592" s="2" t="s">
        <v>1731</v>
      </c>
      <c r="D592" s="2" t="s">
        <v>1699</v>
      </c>
      <c r="E592" s="2" t="s">
        <v>1325</v>
      </c>
      <c r="F592" s="2" t="s">
        <v>15</v>
      </c>
      <c r="G592" s="2" t="s">
        <v>327</v>
      </c>
      <c r="H592" s="2" t="s">
        <v>328</v>
      </c>
      <c r="I592" s="2" t="str">
        <f>IFERROR(__xludf.DUMMYFUNCTION("GOOGLETRANSLATE(C592,""fr"",""en"")"),"More than 3 months and still no stop of the withdrawals after early reimbursement of the mortgage ...
On the phone we tell you that you need a paper A, 1 week after another advisor tells you that it is paper B ....
No customer follow -up, we must send y"&amp;"ou an email, 2 weeks it is still not there ...
Go see elsewhere you will find very easily better than that.")</f>
        <v>More than 3 months and still no stop of the withdrawals after early reimbursement of the mortgage ...
On the phone we tell you that you need a paper A, 1 week after another advisor tells you that it is paper B ....
No customer follow -up, we must send you an email, 2 weeks it is still not there ...
Go see elsewhere you will find very easily better than that.</v>
      </c>
    </row>
    <row r="593" ht="15.75" customHeight="1">
      <c r="B593" s="2" t="s">
        <v>1732</v>
      </c>
      <c r="C593" s="2" t="s">
        <v>1733</v>
      </c>
      <c r="D593" s="2" t="s">
        <v>1699</v>
      </c>
      <c r="E593" s="2" t="s">
        <v>1325</v>
      </c>
      <c r="F593" s="2" t="s">
        <v>15</v>
      </c>
      <c r="G593" s="2" t="s">
        <v>1734</v>
      </c>
      <c r="H593" s="2" t="s">
        <v>339</v>
      </c>
      <c r="I593" s="2" t="str">
        <f>IFERROR(__xludf.DUMMYFUNCTION("GOOGLETRANSLATE(C593,""fr"",""en"")"),"This insurer is catastrophic ... For months I have been sending emails to monthly a contract and no response. This is not the first time it has happened.")</f>
        <v>This insurer is catastrophic ... For months I have been sending emails to monthly a contract and no response. This is not the first time it has happened.</v>
      </c>
    </row>
    <row r="594" ht="15.75" customHeight="1">
      <c r="B594" s="2" t="s">
        <v>1735</v>
      </c>
      <c r="C594" s="2" t="s">
        <v>1736</v>
      </c>
      <c r="D594" s="2" t="s">
        <v>1699</v>
      </c>
      <c r="E594" s="2" t="s">
        <v>1325</v>
      </c>
      <c r="F594" s="2" t="s">
        <v>15</v>
      </c>
      <c r="G594" s="2" t="s">
        <v>1737</v>
      </c>
      <c r="H594" s="2" t="s">
        <v>572</v>
      </c>
      <c r="I594" s="2" t="str">
        <f>IFERROR(__xludf.DUMMYFUNCTION("GOOGLETRANSLATE(C594,""fr"",""en"")"),"Hello, I have not yet encountered problems with Metlife. Admittedly the processing times can be long but the advisers to whom I had to listen are attentive and do their best to process requests quickly.
")</f>
        <v>Hello, I have not yet encountered problems with Metlife. Admittedly the processing times can be long but the advisers to whom I had to listen are attentive and do their best to process requests quickly.
</v>
      </c>
    </row>
    <row r="595" ht="15.75" customHeight="1">
      <c r="B595" s="2" t="s">
        <v>1738</v>
      </c>
      <c r="C595" s="2" t="s">
        <v>1739</v>
      </c>
      <c r="D595" s="2" t="s">
        <v>1699</v>
      </c>
      <c r="E595" s="2" t="s">
        <v>1325</v>
      </c>
      <c r="F595" s="2" t="s">
        <v>15</v>
      </c>
      <c r="G595" s="2" t="s">
        <v>1740</v>
      </c>
      <c r="H595" s="2" t="s">
        <v>59</v>
      </c>
      <c r="I595" s="2" t="str">
        <f>IFERROR(__xludf.DUMMYFUNCTION("GOOGLETRANSLATE(C595,""fr"",""en"")"),"Does not reimburse excess deadlines. No discussion possible, opens up any discussion when another loan insurance project is requested. Bonus pump and that's it.")</f>
        <v>Does not reimburse excess deadlines. No discussion possible, opens up any discussion when another loan insurance project is requested. Bonus pump and that's it.</v>
      </c>
    </row>
    <row r="596" ht="15.75" customHeight="1">
      <c r="B596" s="2" t="s">
        <v>1741</v>
      </c>
      <c r="C596" s="2" t="s">
        <v>1742</v>
      </c>
      <c r="D596" s="2" t="s">
        <v>1699</v>
      </c>
      <c r="E596" s="2" t="s">
        <v>1325</v>
      </c>
      <c r="F596" s="2" t="s">
        <v>15</v>
      </c>
      <c r="G596" s="2" t="s">
        <v>398</v>
      </c>
      <c r="H596" s="2" t="s">
        <v>395</v>
      </c>
      <c r="I596" s="2" t="str">
        <f>IFERROR(__xludf.DUMMYFUNCTION("GOOGLETRANSLATE(C596,""fr"",""en"")"),"Contract S200056368 soon 5 months (in 6 days) from my request and I still expect an amendment to decrease guarantee following a partial reimbursement of the guaranteed capital, and the reimbursement of the induced contribution ...... Customer relations se"&amp;"rvice n 'Having no influence on management management and which is limited to saying to me ""that this service accuses some delays"" ...... and this despite several telephone reminders. Pure amateurism.
I can only strongly advise against this company whi"&amp;"ch must experience major governance problems.")</f>
        <v>Contract S200056368 soon 5 months (in 6 days) from my request and I still expect an amendment to decrease guarantee following a partial reimbursement of the guaranteed capital, and the reimbursement of the induced contribution ...... Customer relations service n 'Having no influence on management management and which is limited to saying to me "that this service accuses some delays" ...... and this despite several telephone reminders. Pure amateurism.
I can only strongly advise against this company which must experience major governance problems.</v>
      </c>
    </row>
    <row r="597" ht="15.75" customHeight="1">
      <c r="B597" s="2" t="s">
        <v>1743</v>
      </c>
      <c r="C597" s="2" t="s">
        <v>1744</v>
      </c>
      <c r="D597" s="2" t="s">
        <v>1699</v>
      </c>
      <c r="E597" s="2" t="s">
        <v>1325</v>
      </c>
      <c r="F597" s="2" t="s">
        <v>15</v>
      </c>
      <c r="G597" s="2" t="s">
        <v>806</v>
      </c>
      <c r="H597" s="2" t="s">
        <v>92</v>
      </c>
      <c r="I597" s="2" t="str">
        <f>IFERROR(__xludf.DUMMYFUNCTION("GOOGLETRANSLATE(C597,""fr"",""en"")"),"To avoid . Termination following a change of banking organization requested for 3 months impossible. incompetence of customer service which despite my many reminders has still not stopped the sets on my bank account. There is no follow -up ...")</f>
        <v>To avoid . Termination following a change of banking organization requested for 3 months impossible. incompetence of customer service which despite my many reminders has still not stopped the sets on my bank account. There is no follow -up ...</v>
      </c>
    </row>
    <row r="598" ht="15.75" customHeight="1">
      <c r="B598" s="2" t="s">
        <v>1745</v>
      </c>
      <c r="C598" s="2" t="s">
        <v>1746</v>
      </c>
      <c r="D598" s="2" t="s">
        <v>1699</v>
      </c>
      <c r="E598" s="2" t="s">
        <v>1325</v>
      </c>
      <c r="F598" s="2" t="s">
        <v>15</v>
      </c>
      <c r="G598" s="2" t="s">
        <v>1747</v>
      </c>
      <c r="H598" s="2" t="s">
        <v>96</v>
      </c>
      <c r="I598" s="2" t="str">
        <f>IFERROR(__xludf.DUMMYFUNCTION("GOOGLETRANSLATE(C598,""fr"",""en"")"),"Simply incorporate, no customer follow -up, no answer to our questions. They continue to collect when our loans are reimbursed and this despite our termination requests")</f>
        <v>Simply incorporate, no customer follow -up, no answer to our questions. They continue to collect when our loans are reimbursed and this despite our termination requests</v>
      </c>
    </row>
    <row r="599" ht="15.75" customHeight="1">
      <c r="B599" s="2" t="s">
        <v>1748</v>
      </c>
      <c r="C599" s="2" t="s">
        <v>1749</v>
      </c>
      <c r="D599" s="2" t="s">
        <v>1699</v>
      </c>
      <c r="E599" s="2" t="s">
        <v>1325</v>
      </c>
      <c r="F599" s="2" t="s">
        <v>15</v>
      </c>
      <c r="G599" s="2" t="s">
        <v>1750</v>
      </c>
      <c r="H599" s="2" t="s">
        <v>106</v>
      </c>
      <c r="I599" s="2" t="str">
        <f>IFERROR(__xludf.DUMMYFUNCTION("GOOGLETRANSLATE(C599,""fr"",""en"")"),"Too long response time despite the reminders. To avoid.")</f>
        <v>Too long response time despite the reminders. To avoid.</v>
      </c>
    </row>
    <row r="600" ht="15.75" customHeight="1">
      <c r="B600" s="2" t="s">
        <v>1751</v>
      </c>
      <c r="C600" s="2" t="s">
        <v>1752</v>
      </c>
      <c r="D600" s="2" t="s">
        <v>1699</v>
      </c>
      <c r="E600" s="2" t="s">
        <v>1325</v>
      </c>
      <c r="F600" s="2" t="s">
        <v>15</v>
      </c>
      <c r="G600" s="2" t="s">
        <v>1753</v>
      </c>
      <c r="H600" s="2" t="s">
        <v>110</v>
      </c>
      <c r="I600" s="2" t="str">
        <f>IFERROR(__xludf.DUMMYFUNCTION("GOOGLETRANSLATE(C600,""fr"",""en"")"),"To be strongly counted. No response from them to have a summary document despite reminders. Contract during closing for months following the acquisition of my loan. All the documents are in their possession, I had to make opposition and on the other hand "&amp;"I receive a notice of due contribution when it is they who owe me money. Simply shameful")</f>
        <v>To be strongly counted. No response from them to have a summary document despite reminders. Contract during closing for months following the acquisition of my loan. All the documents are in their possession, I had to make opposition and on the other hand I receive a notice of due contribution when it is they who owe me money. Simply shameful</v>
      </c>
    </row>
    <row r="601" ht="15.75" customHeight="1">
      <c r="B601" s="2" t="s">
        <v>1754</v>
      </c>
      <c r="C601" s="2" t="s">
        <v>1755</v>
      </c>
      <c r="D601" s="2" t="s">
        <v>1699</v>
      </c>
      <c r="E601" s="2" t="s">
        <v>1325</v>
      </c>
      <c r="F601" s="2" t="s">
        <v>15</v>
      </c>
      <c r="G601" s="2" t="s">
        <v>1756</v>
      </c>
      <c r="H601" s="2" t="s">
        <v>120</v>
      </c>
      <c r="I601" s="2" t="str">
        <f>IFERROR(__xludf.DUMMYFUNCTION("GOOGLETRANSLATE(C601,""fr"",""en"")"),"Very poorly managed ... Insurance reimbursements take months, while the documents have been sent. I am told that the necessary documents were not received and then Metlife realizes that they have arrived.")</f>
        <v>Very poorly managed ... Insurance reimbursements take months, while the documents have been sent. I am told that the necessary documents were not received and then Metlife realizes that they have arrived.</v>
      </c>
    </row>
    <row r="602" ht="15.75" customHeight="1">
      <c r="B602" s="2" t="s">
        <v>1757</v>
      </c>
      <c r="C602" s="2" t="s">
        <v>1758</v>
      </c>
      <c r="D602" s="2" t="s">
        <v>1699</v>
      </c>
      <c r="E602" s="2" t="s">
        <v>1325</v>
      </c>
      <c r="F602" s="2" t="s">
        <v>15</v>
      </c>
      <c r="G602" s="2" t="s">
        <v>474</v>
      </c>
      <c r="H602" s="2" t="s">
        <v>145</v>
      </c>
      <c r="I602" s="2" t="str">
        <f>IFERROR(__xludf.DUMMYFUNCTION("GOOGLETRANSLATE(C602,""fr"",""en"")"),"Following the death of my spouse, the Metlife insurance to which we have taken out a contract in the event of death to reimburse the creditor.
To date 13/12 and after more than one self sending the complete file and the supporting documents in AR as well"&amp;" as an email to find out or in states, I am always without response of anything, except that we I sent me the checks of the monthly payments of MR and so a termination paper and that again in early December I am led to the monthly insurance of insurance.
"&amp;"
I would just like to know or have the file after more than 40 days.")</f>
        <v>Following the death of my spouse, the Metlife insurance to which we have taken out a contract in the event of death to reimburse the creditor.
To date 13/12 and after more than one self sending the complete file and the supporting documents in AR as well as an email to find out or in states, I am always without response of anything, except that we I sent me the checks of the monthly payments of MR and so a termination paper and that again in early December I am led to the monthly insurance of insurance.
I would just like to know or have the file after more than 40 days.</v>
      </c>
    </row>
    <row r="603" ht="15.75" customHeight="1">
      <c r="B603" s="2" t="s">
        <v>1759</v>
      </c>
      <c r="C603" s="2" t="s">
        <v>1760</v>
      </c>
      <c r="D603" s="2" t="s">
        <v>1699</v>
      </c>
      <c r="E603" s="2" t="s">
        <v>1325</v>
      </c>
      <c r="F603" s="2" t="s">
        <v>15</v>
      </c>
      <c r="G603" s="2" t="s">
        <v>1056</v>
      </c>
      <c r="H603" s="2" t="s">
        <v>1053</v>
      </c>
      <c r="I603" s="2" t="str">
        <f>IFERROR(__xludf.DUMMYFUNCTION("GOOGLETRANSLATE(C603,""fr"",""en"")"),"Hello, Are we obliged to warn Metlife during a mortgage renegotiation by the same bank? In this reduction in the loan rate, should we encourage a decrease in the borrowing temp or just reduce monthly payments? Originally I was a full temp (with specific s"&amp;"tate of health) and now I am in type 1 disability, my new health is declared in Metlife, but redoing a whole file is very heavy (for a revision of capital borrowed to ensure without changing bank). If I renegotiate my loan with the bank, I would save mone"&amp;"y, but I am afraid that it is reducing a new contract with reduced options not incorporating my initial insurance contract, what do you think?")</f>
        <v>Hello, Are we obliged to warn Metlife during a mortgage renegotiation by the same bank? In this reduction in the loan rate, should we encourage a decrease in the borrowing temp or just reduce monthly payments? Originally I was a full temp (with specific state of health) and now I am in type 1 disability, my new health is declared in Metlife, but redoing a whole file is very heavy (for a revision of capital borrowed to ensure without changing bank). If I renegotiate my loan with the bank, I would save money, but I am afraid that it is reducing a new contract with reduced options not incorporating my initial insurance contract, what do you think?</v>
      </c>
    </row>
    <row r="604" ht="15.75" customHeight="1">
      <c r="B604" s="2" t="s">
        <v>1761</v>
      </c>
      <c r="C604" s="2" t="s">
        <v>1762</v>
      </c>
      <c r="D604" s="2" t="s">
        <v>1763</v>
      </c>
      <c r="E604" s="2" t="s">
        <v>1325</v>
      </c>
      <c r="F604" s="2" t="s">
        <v>15</v>
      </c>
      <c r="G604" s="2" t="s">
        <v>1202</v>
      </c>
      <c r="H604" s="2" t="s">
        <v>172</v>
      </c>
      <c r="I604" s="2" t="str">
        <f>IFERROR(__xludf.DUMMYFUNCTION("GOOGLETRANSLATE(C604,""fr"",""en"")"),"Declared invalid 3rd category by the CPAM, Suravenir insurance is reluctant to apply the general conditions of my collective contract of insured n ° 5007. Namely Invalidity 3rd Category CPAM = Ptia therefore supported the remaining capital of. Complicated"&amp;" for an invalid to defend himself in the face of an insurer who does not apply the conditions that he imposes")</f>
        <v>Declared invalid 3rd category by the CPAM, Suravenir insurance is reluctant to apply the general conditions of my collective contract of insured n ° 5007. Namely Invalidity 3rd Category CPAM = Ptia therefore supported the remaining capital of. Complicated for an invalid to defend himself in the face of an insurer who does not apply the conditions that he imposes</v>
      </c>
    </row>
    <row r="605" ht="15.75" customHeight="1">
      <c r="B605" s="2" t="s">
        <v>1764</v>
      </c>
      <c r="C605" s="2" t="s">
        <v>1765</v>
      </c>
      <c r="D605" s="2" t="s">
        <v>1763</v>
      </c>
      <c r="E605" s="2" t="s">
        <v>1325</v>
      </c>
      <c r="F605" s="2" t="s">
        <v>15</v>
      </c>
      <c r="G605" s="2" t="s">
        <v>1766</v>
      </c>
      <c r="H605" s="2" t="s">
        <v>179</v>
      </c>
      <c r="I605" s="2" t="str">
        <f>IFERROR(__xludf.DUMMYFUNCTION("GOOGLETRANSLATE(C605,""fr"",""en"")"),"Totally zero.
to avoid.
You are insured and they do everything not to compensate you.
Go your way and take real insurance pros ...")</f>
        <v>Totally zero.
to avoid.
You are insured and they do everything not to compensate you.
Go your way and take real insurance pros ...</v>
      </c>
    </row>
    <row r="606" ht="15.75" customHeight="1">
      <c r="B606" s="2" t="s">
        <v>1767</v>
      </c>
      <c r="C606" s="2" t="s">
        <v>1768</v>
      </c>
      <c r="D606" s="2" t="s">
        <v>1763</v>
      </c>
      <c r="E606" s="2" t="s">
        <v>1325</v>
      </c>
      <c r="F606" s="2" t="s">
        <v>15</v>
      </c>
      <c r="G606" s="2" t="s">
        <v>1769</v>
      </c>
      <c r="H606" s="2" t="s">
        <v>246</v>
      </c>
      <c r="I606" s="2" t="str">
        <f>IFERROR(__xludf.DUMMYFUNCTION("GOOGLETRANSLATE(C606,""fr"",""en"")"),"After bad advice given by my CMB advisor, I have the disagreeable surprise to have a doubling of my franchise.
It's been more than 9 months that I stop and still no payment.
What is it for it to pay a guarantee?
Very dissatisfied with my bank and borro"&amp;"wer insurance.
I really regret having done business with the CMB and overcoming")</f>
        <v>After bad advice given by my CMB advisor, I have the disagreeable surprise to have a doubling of my franchise.
It's been more than 9 months that I stop and still no payment.
What is it for it to pay a guarantee?
Very dissatisfied with my bank and borrower insurance.
I really regret having done business with the CMB and overcoming</v>
      </c>
    </row>
    <row r="607" ht="15.75" customHeight="1">
      <c r="B607" s="2" t="s">
        <v>1770</v>
      </c>
      <c r="C607" s="2" t="s">
        <v>1771</v>
      </c>
      <c r="D607" s="2" t="s">
        <v>1763</v>
      </c>
      <c r="E607" s="2" t="s">
        <v>1325</v>
      </c>
      <c r="F607" s="2" t="s">
        <v>15</v>
      </c>
      <c r="G607" s="2" t="s">
        <v>1686</v>
      </c>
      <c r="H607" s="2" t="s">
        <v>349</v>
      </c>
      <c r="I607" s="2" t="str">
        <f>IFERROR(__xludf.DUMMYFUNCTION("GOOGLETRANSLATE(C607,""fr"",""en"")"),"This insurer is only good for the price. For everything else, pass your road.")</f>
        <v>This insurer is only good for the price. For everything else, pass your road.</v>
      </c>
    </row>
    <row r="608" ht="15.75" customHeight="1">
      <c r="B608" s="2" t="s">
        <v>1772</v>
      </c>
      <c r="C608" s="2" t="s">
        <v>1773</v>
      </c>
      <c r="D608" s="2" t="s">
        <v>1763</v>
      </c>
      <c r="E608" s="2" t="s">
        <v>1325</v>
      </c>
      <c r="F608" s="2" t="s">
        <v>15</v>
      </c>
      <c r="G608" s="2" t="s">
        <v>1774</v>
      </c>
      <c r="H608" s="2" t="s">
        <v>349</v>
      </c>
      <c r="I608" s="2" t="str">
        <f>IFERROR(__xludf.DUMMYFUNCTION("GOOGLETRANSLATE(C608,""fr"",""en"")"),"When buying a vehicle my parents contracted senior security death insurance. My father died the first year of this purchase and the insurer does not want to take care of. We do not know the causes of death and will never know them but they care to claim a"&amp;" cause !!! This despite a very clear letter from the attending physician. Insurance to flee ++++ They clearly told me on the phone that it is a large amount to take care of ... On the other hand, cash the price of insurance does not pose any problems !!!")</f>
        <v>When buying a vehicle my parents contracted senior security death insurance. My father died the first year of this purchase and the insurer does not want to take care of. We do not know the causes of death and will never know them but they care to claim a cause !!! This despite a very clear letter from the attending physician. Insurance to flee ++++ They clearly told me on the phone that it is a large amount to take care of ... On the other hand, cash the price of insurance does not pose any problems !!!</v>
      </c>
    </row>
    <row r="609" ht="15.75" customHeight="1">
      <c r="B609" s="2" t="s">
        <v>1775</v>
      </c>
      <c r="C609" s="2" t="s">
        <v>1776</v>
      </c>
      <c r="D609" s="2" t="s">
        <v>1763</v>
      </c>
      <c r="E609" s="2" t="s">
        <v>1325</v>
      </c>
      <c r="F609" s="2" t="s">
        <v>15</v>
      </c>
      <c r="G609" s="2" t="s">
        <v>1777</v>
      </c>
      <c r="H609" s="2" t="s">
        <v>66</v>
      </c>
      <c r="I609" s="2" t="str">
        <f>IFERROR(__xludf.DUMMYFUNCTION("GOOGLETRANSLATE(C609,""fr"",""en"")"),"Following a reimbursement of a relay loan, Naoassur did not reimburse me the sums unduly received. Worse, without explanation he levied to me more than 500 euros instead of the 70 planned. No one responds to requests for explanations. I have no new schedu"&amp;"le. I have no idea how much will my next sample be in September. It's a shame. The provider supplier of this CAFPI insurance does not provide me with a response either and says that they have no return from them.")</f>
        <v>Following a reimbursement of a relay loan, Naoassur did not reimburse me the sums unduly received. Worse, without explanation he levied to me more than 500 euros instead of the 70 planned. No one responds to requests for explanations. I have no new schedule. I have no idea how much will my next sample be in September. It's a shame. The provider supplier of this CAFPI insurance does not provide me with a response either and says that they have no return from them.</v>
      </c>
    </row>
    <row r="610" ht="15.75" customHeight="1">
      <c r="B610" s="2" t="s">
        <v>1778</v>
      </c>
      <c r="C610" s="2" t="s">
        <v>1779</v>
      </c>
      <c r="D610" s="2" t="s">
        <v>1763</v>
      </c>
      <c r="E610" s="2" t="s">
        <v>1325</v>
      </c>
      <c r="F610" s="2" t="s">
        <v>15</v>
      </c>
      <c r="G610" s="2" t="s">
        <v>1780</v>
      </c>
      <c r="H610" s="2" t="s">
        <v>395</v>
      </c>
      <c r="I610" s="2" t="str">
        <f>IFERROR(__xludf.DUMMYFUNCTION("GOOGLETRANSLATE(C610,""fr"",""en"")"),"Flee this insurance. Loan loan made in 2010 with their borrower insurance. April 2014 accident. Loss of the use of my left hand. Until now compensation taken into account. In early December mail asking me to go see a psychiatrist. I call to ask why answer"&amp;": he is an insurance expert in insurance. So I go there because this is understandable on their part to ask to go see an expert to be compensated. So appointment on December 29 confident .. my hand is still paralyzed. Except that it was really as a psychi"&amp;"atrist that I was summoned ... it did not happen ... I am invalid a lot in my head .. the day or the loan must be compensated for nothing on the account. I remind you of Suravenir who tells me that we have to wait for the expertise of the 'MèdeCin Expert'"&amp;" OK ... I am waiting ... being insured at 50 % I was reimbursed half the loan ... and much more now. The psychiatrist decided that I was treated 'without left but neat. Explications: the lady is smiling and happy to live ... so be careful if you become di"&amp;"sabled be very unhappy in your head .. I come back Still not .. incredible .. I will call on a lawyer because it is not logical that a psychiatrist decides whether I am invalid or not ... insurance to flee ... they are bankers who only think To put the in"&amp;"sured in 'misery'")</f>
        <v>Flee this insurance. Loan loan made in 2010 with their borrower insurance. April 2014 accident. Loss of the use of my left hand. Until now compensation taken into account. In early December mail asking me to go see a psychiatrist. I call to ask why answer: he is an insurance expert in insurance. So I go there because this is understandable on their part to ask to go see an expert to be compensated. So appointment on December 29 confident .. my hand is still paralyzed. Except that it was really as a psychiatrist that I was summoned ... it did not happen ... I am invalid a lot in my head .. the day or the loan must be compensated for nothing on the account. I remind you of Suravenir who tells me that we have to wait for the expertise of the 'MèdeCin Expert' OK ... I am waiting ... being insured at 50 % I was reimbursed half the loan ... and much more now. The psychiatrist decided that I was treated 'without left but neat. Explications: the lady is smiling and happy to live ... so be careful if you become disabled be very unhappy in your head .. I come back Still not .. incredible .. I will call on a lawyer because it is not logical that a psychiatrist decides whether I am invalid or not ... insurance to flee ... they are bankers who only think To put the insured in 'misery'</v>
      </c>
    </row>
    <row r="611" ht="15.75" customHeight="1">
      <c r="B611" s="2" t="s">
        <v>1781</v>
      </c>
      <c r="C611" s="2" t="s">
        <v>1782</v>
      </c>
      <c r="D611" s="2" t="s">
        <v>1763</v>
      </c>
      <c r="E611" s="2" t="s">
        <v>1325</v>
      </c>
      <c r="F611" s="2" t="s">
        <v>15</v>
      </c>
      <c r="G611" s="2" t="s">
        <v>1783</v>
      </c>
      <c r="H611" s="2" t="s">
        <v>409</v>
      </c>
      <c r="I611" s="2" t="str">
        <f>IFERROR(__xludf.DUMMYFUNCTION("GOOGLETRANSLATE(C611,""fr"",""en"")"),"Especially if you take borrower insurance, do not decede. The succession service and the Ass Suravenir do not want to pay, seek the little beast and are incompetent as possible")</f>
        <v>Especially if you take borrower insurance, do not decede. The succession service and the Ass Suravenir do not want to pay, seek the little beast and are incompetent as possible</v>
      </c>
    </row>
    <row r="612" ht="15.75" customHeight="1">
      <c r="B612" s="2" t="s">
        <v>1784</v>
      </c>
      <c r="C612" s="2" t="s">
        <v>1785</v>
      </c>
      <c r="D612" s="2" t="s">
        <v>1786</v>
      </c>
      <c r="E612" s="2" t="s">
        <v>1325</v>
      </c>
      <c r="F612" s="2" t="s">
        <v>15</v>
      </c>
      <c r="G612" s="2" t="s">
        <v>1787</v>
      </c>
      <c r="H612" s="2" t="s">
        <v>164</v>
      </c>
      <c r="I612" s="2" t="str">
        <f>IFERROR(__xludf.DUMMYFUNCTION("GOOGLETRANSLATE(C612,""fr"",""en"")"),"No respect for what had been negotiated with the broker concerning our loan, no response to our multiple reminders concerning the errors of which we are victims from the BNP and Cardiff. A bank that does not keep its commitments, to flee. We will havetene"&amp;"d to change borrower insurance as soon as possible, ditto for the home insurance that they force you to take at home during a loan and which is 3 or 4 times more expensive than those of comparators.")</f>
        <v>No respect for what had been negotiated with the broker concerning our loan, no response to our multiple reminders concerning the errors of which we are victims from the BNP and Cardiff. A bank that does not keep its commitments, to flee. We will havetened to change borrower insurance as soon as possible, ditto for the home insurance that they force you to take at home during a loan and which is 3 or 4 times more expensive than those of comparators.</v>
      </c>
    </row>
    <row r="613" ht="15.75" customHeight="1">
      <c r="B613" s="2" t="s">
        <v>1788</v>
      </c>
      <c r="C613" s="2" t="s">
        <v>1789</v>
      </c>
      <c r="D613" s="2" t="s">
        <v>1786</v>
      </c>
      <c r="E613" s="2" t="s">
        <v>1325</v>
      </c>
      <c r="F613" s="2" t="s">
        <v>15</v>
      </c>
      <c r="G613" s="2" t="s">
        <v>1339</v>
      </c>
      <c r="H613" s="2" t="s">
        <v>160</v>
      </c>
      <c r="I613" s="2" t="str">
        <f>IFERROR(__xludf.DUMMYFUNCTION("GOOGLETRANSLATE(C613,""fr"",""en"")"),"I have been on work stoppage for more than three months, I declared my situation with Cardif on September 1 I answer me that my September monthly payment will not be deducted what I find very surprising, I ask for the steps to take to The continuation of "&amp;"Min file, I am told that we open a disaster and that I will receive a file within 48 hours by post. But today by still not seeing anything happen to the mail I call them, we have no trace of your request, that does not suggest anything good for the future"&amp;".
Has anyone already been in this case?")</f>
        <v>I have been on work stoppage for more than three months, I declared my situation with Cardif on September 1 I answer me that my September monthly payment will not be deducted what I find very surprising, I ask for the steps to take to The continuation of Min file, I am told that we open a disaster and that I will receive a file within 48 hours by post. But today by still not seeing anything happen to the mail I call them, we have no trace of your request, that does not suggest anything good for the future.
Has anyone already been in this case?</v>
      </c>
    </row>
    <row r="614" ht="15.75" customHeight="1">
      <c r="B614" s="2" t="s">
        <v>1790</v>
      </c>
      <c r="C614" s="2" t="s">
        <v>1791</v>
      </c>
      <c r="D614" s="2" t="s">
        <v>1786</v>
      </c>
      <c r="E614" s="2" t="s">
        <v>1325</v>
      </c>
      <c r="F614" s="2" t="s">
        <v>15</v>
      </c>
      <c r="G614" s="2" t="s">
        <v>1792</v>
      </c>
      <c r="H614" s="2" t="s">
        <v>164</v>
      </c>
      <c r="I614" s="2" t="str">
        <f>IFERROR(__xludf.DUMMYFUNCTION("GOOGLETRANSLATE(C614,""fr"",""en"")"),"Hello
Frankly you scared me well, I started to freak out with your journeys, I really have no luck in my life I specify but personally I sent the documents directly on their sites and not by mail I received the amount corresponding to my mom's life ins"&amp;"urance in 10 days by returning the documents correctly each time, I do not judge you because I am not in your cases, but thank you cardif I have nothing to win to put 5 Stars but I strongly thank BNP Cardif for my case. If it can possibly reassure certain"&amp;" because the guys I did not sleep when I read the stories here ... and I know that there are really cases, between the hateful, the competition and the people who dries cats in the microwave that does a lot ...
Peace")</f>
        <v>Hello
Frankly you scared me well, I started to freak out with your journeys, I really have no luck in my life I specify but personally I sent the documents directly on their sites and not by mail I received the amount corresponding to my mom's life insurance in 10 days by returning the documents correctly each time, I do not judge you because I am not in your cases, but thank you cardif I have nothing to win to put 5 Stars but I strongly thank BNP Cardif for my case. If it can possibly reassure certain because the guys I did not sleep when I read the stories here ... and I know that there are really cases, between the hateful, the competition and the people who dries cats in the microwave that does a lot ...
Peace</v>
      </c>
    </row>
    <row r="615" ht="15.75" customHeight="1">
      <c r="B615" s="2" t="s">
        <v>1793</v>
      </c>
      <c r="C615" s="2" t="s">
        <v>1794</v>
      </c>
      <c r="D615" s="2" t="s">
        <v>1786</v>
      </c>
      <c r="E615" s="2" t="s">
        <v>1325</v>
      </c>
      <c r="F615" s="2" t="s">
        <v>15</v>
      </c>
      <c r="G615" s="2" t="s">
        <v>1795</v>
      </c>
      <c r="H615" s="2" t="s">
        <v>194</v>
      </c>
      <c r="I615" s="2" t="str">
        <f>IFERROR(__xludf.DUMMYFUNCTION("GOOGLETRANSLATE(C615,""fr"",""en"")"),"They play on time based on the weariness of the insured. The ignominy of this group is to be vomit. And I will not check the wish that my contact details will be transmitted to them for fear of reprisals and threats. Because yes it is their practices")</f>
        <v>They play on time based on the weariness of the insured. The ignominy of this group is to be vomit. And I will not check the wish that my contact details will be transmitted to them for fear of reprisals and threats. Because yes it is their practices</v>
      </c>
    </row>
    <row r="616" ht="15.75" customHeight="1">
      <c r="B616" s="2" t="s">
        <v>1796</v>
      </c>
      <c r="C616" s="2" t="s">
        <v>1797</v>
      </c>
      <c r="D616" s="2" t="s">
        <v>1786</v>
      </c>
      <c r="E616" s="2" t="s">
        <v>1325</v>
      </c>
      <c r="F616" s="2" t="s">
        <v>15</v>
      </c>
      <c r="G616" s="2" t="s">
        <v>214</v>
      </c>
      <c r="H616" s="2" t="s">
        <v>214</v>
      </c>
      <c r="I616" s="2" t="str">
        <f>IFERROR(__xludf.DUMMYFUNCTION("GOOGLETRANSLATE(C616,""fr"",""en"")"),"Following your decision on my file I do not follow myself in accordance with you indeed you tell me that I did not declare my treatment for my tension when I constituted my loan file with the commercial he said that for his is not necessary and that in th"&amp;"e signaliature no one of domifinance or of yourself cardif sent us mail in this sense how do you want me to know? But my request does not in any case concern a problem with my tension but a problem with pain with my left hip I am completely obliged to wal"&amp;"k with canes so I think that its tightening has nothing to pay insurance if that does not take Not in account when you had a health problem and if I die my wife should continue paid the loan because we have not been at my treatment for my tension! What if"&amp;" I am at my hip problem I become invalid I should continue paid? With this small disability pension. I think I'm going to go see the house of justice in my Lens 62300 sector to see a lawyer and a lawyer because I paid my drafts every month as well as that"&amp;" of insurance that does not use me so I will ask the Refund of this insurance subscription I am not dispersion even for expertise in my sector if this can allow an advance in my care file. Just for information for the loan of my house there is no problem "&amp;"by the company CNP but by account by your Cartif company really the galley. I will also write everywhere to explain my problem and I will also go see 60 million consumer association for information and consumer defense
63, rue René Lannoy
BP 176
62303 "&amp;"Lens Cedex
I remain at your disposal now for you to see your position on my file
                           Cordially")</f>
        <v>Following your decision on my file I do not follow myself in accordance with you indeed you tell me that I did not declare my treatment for my tension when I constituted my loan file with the commercial he said that for his is not necessary and that in the signaliature no one of domifinance or of yourself cardif sent us mail in this sense how do you want me to know? But my request does not in any case concern a problem with my tension but a problem with pain with my left hip I am completely obliged to walk with canes so I think that its tightening has nothing to pay insurance if that does not take Not in account when you had a health problem and if I die my wife should continue paid the loan because we have not been at my treatment for my tension! What if I am at my hip problem I become invalid I should continue paid? With this small disability pension. I think I'm going to go see the house of justice in my Lens 62300 sector to see a lawyer and a lawyer because I paid my drafts every month as well as that of insurance that does not use me so I will ask the Refund of this insurance subscription I am not dispersion even for expertise in my sector if this can allow an advance in my care file. Just for information for the loan of my house there is no problem by the company CNP but by account by your Cartif company really the galley. I will also write everywhere to explain my problem and I will also go see 60 million consumer association for information and consumer defense
63, rue René Lannoy
BP 176
62303 Lens Cedex
I remain at your disposal now for you to see your position on my file
                           Cordially</v>
      </c>
    </row>
    <row r="617" ht="15.75" customHeight="1">
      <c r="B617" s="2" t="s">
        <v>1798</v>
      </c>
      <c r="C617" s="2" t="s">
        <v>1799</v>
      </c>
      <c r="D617" s="2" t="s">
        <v>1786</v>
      </c>
      <c r="E617" s="2" t="s">
        <v>1325</v>
      </c>
      <c r="F617" s="2" t="s">
        <v>15</v>
      </c>
      <c r="G617" s="2" t="s">
        <v>1563</v>
      </c>
      <c r="H617" s="2" t="s">
        <v>226</v>
      </c>
      <c r="I617" s="2" t="str">
        <f>IFERROR(__xludf.DUMMYFUNCTION("GOOGLETRANSLATE(C617,""fr"",""en"")"),"Sad to read so many negative comments, especially when you are affected by an accident in life! In illness since the end of May, to date the deficiency period of 90 days is very wide, here are several months since nothing happens!. With each call on my pa"&amp;"rt, new papers and supporting documents are requested ... for nothing. Nothing happens, no compassion, no advisers awarded. I can only recognize myself in the comments concerning Cardif, an organization bordering on honesty. Your score of 1.6 on the net i"&amp;"s even wide in view of your services.")</f>
        <v>Sad to read so many negative comments, especially when you are affected by an accident in life! In illness since the end of May, to date the deficiency period of 90 days is very wide, here are several months since nothing happens!. With each call on my part, new papers and supporting documents are requested ... for nothing. Nothing happens, no compassion, no advisers awarded. I can only recognize myself in the comments concerning Cardif, an organization bordering on honesty. Your score of 1.6 on the net is even wide in view of your services.</v>
      </c>
    </row>
    <row r="618" ht="15.75" customHeight="1">
      <c r="B618" s="2" t="s">
        <v>1800</v>
      </c>
      <c r="C618" s="2" t="s">
        <v>1801</v>
      </c>
      <c r="D618" s="2" t="s">
        <v>1786</v>
      </c>
      <c r="E618" s="2" t="s">
        <v>1325</v>
      </c>
      <c r="F618" s="2" t="s">
        <v>15</v>
      </c>
      <c r="G618" s="2" t="s">
        <v>1802</v>
      </c>
      <c r="H618" s="2" t="s">
        <v>226</v>
      </c>
      <c r="I618" s="2" t="str">
        <f>IFERROR(__xludf.DUMMYFUNCTION("GOOGLETRANSLATE(C618,""fr"",""en"")"),"Insurer to flee absolutely.
I have been on sick leave since January 2020 I sent all the documents asking but strangely each time you are asked for a new document in order to have things dragged and make us give up but I would not let go of anything I did"&amp;" several letters by registered mail but No refund since.
It is a shame, we pay off -price insurance but when it comes to reimburse ourselves when we are in our right nothing at all.")</f>
        <v>Insurer to flee absolutely.
I have been on sick leave since January 2020 I sent all the documents asking but strangely each time you are asked for a new document in order to have things dragged and make us give up but I would not let go of anything I did several letters by registered mail but No refund since.
It is a shame, we pay off -price insurance but when it comes to reimburse ourselves when we are in our right nothing at all.</v>
      </c>
    </row>
    <row r="619" ht="15.75" customHeight="1">
      <c r="B619" s="2" t="s">
        <v>1803</v>
      </c>
      <c r="C619" s="2" t="s">
        <v>1804</v>
      </c>
      <c r="D619" s="2" t="s">
        <v>1786</v>
      </c>
      <c r="E619" s="2" t="s">
        <v>1325</v>
      </c>
      <c r="F619" s="2" t="s">
        <v>15</v>
      </c>
      <c r="G619" s="2" t="s">
        <v>1805</v>
      </c>
      <c r="H619" s="2" t="s">
        <v>226</v>
      </c>
      <c r="I619" s="2" t="str">
        <f>IFERROR(__xludf.DUMMYFUNCTION("GOOGLETRANSLATE(C619,""fr"",""en"")"),"Hello, I will not recommend cardif to anyone.
My husband has died for more than 4 months, cardif has compensated the bank about 2 months later, but she still continues today to take the insurance contribution from the late my husband, when she should onl"&amp;"y take mine mine .
My financial situation is very precarious and I am levied every month of € 130, an undue amount. We cannot reach them by phone, because we wait 20 minutes and it hangs up.
No response to my recovery emails.
I do not know what to do.")</f>
        <v>Hello, I will not recommend cardif to anyone.
My husband has died for more than 4 months, cardif has compensated the bank about 2 months later, but she still continues today to take the insurance contribution from the late my husband, when she should only take mine mine .
My financial situation is very precarious and I am levied every month of € 130, an undue amount. We cannot reach them by phone, because we wait 20 minutes and it hangs up.
No response to my recovery emails.
I do not know what to do.</v>
      </c>
    </row>
    <row r="620" ht="15.75" customHeight="1">
      <c r="B620" s="2" t="s">
        <v>1806</v>
      </c>
      <c r="C620" s="2" t="s">
        <v>1807</v>
      </c>
      <c r="D620" s="2" t="s">
        <v>1786</v>
      </c>
      <c r="E620" s="2" t="s">
        <v>1325</v>
      </c>
      <c r="F620" s="2" t="s">
        <v>15</v>
      </c>
      <c r="G620" s="2" t="s">
        <v>1808</v>
      </c>
      <c r="H620" s="2" t="s">
        <v>230</v>
      </c>
      <c r="I620" s="2" t="str">
        <f>IFERROR(__xludf.DUMMYFUNCTION("GOOGLETRANSLATE(C620,""fr"",""en"")"),"A disaster, each call you have a different message. The mandated medical expertise file has arrived at the complaint service but not transmitted to the compensation service …… several calls for different information, extended response times. They are unab"&amp;"le to provide a double of the contract. Despite several requests ... well, I have a disaster. I also invite everyone in dispute with this insurance to contact me. Training lawyer I think we will get more about answers to our questions in grouping our comp"&amp;"laints and why not envisaged a collective appeal…. In view of readings on this site")</f>
        <v>A disaster, each call you have a different message. The mandated medical expertise file has arrived at the complaint service but not transmitted to the compensation service …… several calls for different information, extended response times. They are unable to provide a double of the contract. Despite several requests ... well, I have a disaster. I also invite everyone in dispute with this insurance to contact me. Training lawyer I think we will get more about answers to our questions in grouping our complaints and why not envisaged a collective appeal…. In view of readings on this site</v>
      </c>
    </row>
    <row r="621" ht="15.75" customHeight="1">
      <c r="B621" s="2" t="s">
        <v>1809</v>
      </c>
      <c r="C621" s="2" t="s">
        <v>1810</v>
      </c>
      <c r="D621" s="2" t="s">
        <v>1786</v>
      </c>
      <c r="E621" s="2" t="s">
        <v>1325</v>
      </c>
      <c r="F621" s="2" t="s">
        <v>15</v>
      </c>
      <c r="G621" s="2" t="s">
        <v>893</v>
      </c>
      <c r="H621" s="2" t="s">
        <v>242</v>
      </c>
      <c r="I621" s="2" t="str">
        <f>IFERROR(__xludf.DUMMYFUNCTION("GOOGLETRANSLATE(C621,""fr"",""en"")"),"They ask you for documents and forms to be completed to that all go well they say that the file will be processed and wait 15 days then spent this period it asks you down a document that you already have by sending example: certificates of employer or med"&amp;"ical questionnaires you are still waiting for 1 week 10 days they ask you again for another document they make that you drag while you have all gave all I would take more this insurance they are not serious I always wait for its fact for 1 month.")</f>
        <v>They ask you for documents and forms to be completed to that all go well they say that the file will be processed and wait 15 days then spent this period it asks you down a document that you already have by sending example: certificates of employer or medical questionnaires you are still waiting for 1 week 10 days they ask you again for another document they make that you drag while you have all gave all I would take more this insurance they are not serious I always wait for its fact for 1 month.</v>
      </c>
    </row>
    <row r="622" ht="15.75" customHeight="1">
      <c r="B622" s="2" t="s">
        <v>1811</v>
      </c>
      <c r="C622" s="2" t="s">
        <v>1812</v>
      </c>
      <c r="D622" s="2" t="s">
        <v>1786</v>
      </c>
      <c r="E622" s="2" t="s">
        <v>1325</v>
      </c>
      <c r="F622" s="2" t="s">
        <v>15</v>
      </c>
      <c r="G622" s="2" t="s">
        <v>1813</v>
      </c>
      <c r="H622" s="2" t="s">
        <v>253</v>
      </c>
      <c r="I622" s="2" t="str">
        <f>IFERROR(__xludf.DUMMYFUNCTION("GOOGLETRANSLATE(C622,""fr"",""en"")"),"On stop since January 2020 This insurance tells us that the work stoppage does not correspond to the Signer contract we can sit on the management of loan deadlines anyway when we pay everything is fine when we have anything nothing does not go this assura"&amp;"nce are like most of this one she benefits from the misfortune of people assurance to avoid")</f>
        <v>On stop since January 2020 This insurance tells us that the work stoppage does not correspond to the Signer contract we can sit on the management of loan deadlines anyway when we pay everything is fine when we have anything nothing does not go this assurance are like most of this one she benefits from the misfortune of people assurance to avoid</v>
      </c>
    </row>
    <row r="623" ht="15.75" customHeight="1">
      <c r="B623" s="2" t="s">
        <v>1814</v>
      </c>
      <c r="C623" s="2" t="s">
        <v>1815</v>
      </c>
      <c r="D623" s="2" t="s">
        <v>1786</v>
      </c>
      <c r="E623" s="2" t="s">
        <v>1325</v>
      </c>
      <c r="F623" s="2" t="s">
        <v>15</v>
      </c>
      <c r="G623" s="2" t="s">
        <v>1816</v>
      </c>
      <c r="H623" s="2" t="s">
        <v>257</v>
      </c>
      <c r="I623" s="2" t="str">
        <f>IFERROR(__xludf.DUMMYFUNCTION("GOOGLETRANSLATE(C623,""fr"",""en"")"),"The worst experience of subscription of my life. We had with my partner the project to invest in the rental in order to build a heritage and passive income for the studies of our children and our future retirement.
We had therefore started the procedures"&amp;" to buy a property with very high potential.
For health reasons linked to the past pregnancy of my partner, it was necessary to redo more than 5 successive medical appointments including two examinations with samples, the information provided each time i"&amp;"s never sufficient for the ""advice"" of Cardif . In the end, the financing project took 6 months in total, because after 5 months they realized that ultimately it was not essential that we were both at 100%. I therefore found myself paying for delay for "&amp;"sellers only because Cardif &amp; BNP Paribas first refused to consider reviewing the financing plan by ensuring only me, despite my repeated calls to accept any condition that They would like to impose on us as long as they allow us to make our project a rea"&amp;"lity quickly.
In the end, we redid the entire financing file in emergency procedure, which showed me that if they had heard my calls to negotiate the conditions, everything could have been completed in 2 months instead of 6.
In summary, I signed a compr"&amp;"omise in November for a final signature at the end of February ... which was postponed at the end of May, I lost considerable sums on the scale of my investment because of their deafness and the total absence of dialogue.")</f>
        <v>The worst experience of subscription of my life. We had with my partner the project to invest in the rental in order to build a heritage and passive income for the studies of our children and our future retirement.
We had therefore started the procedures to buy a property with very high potential.
For health reasons linked to the past pregnancy of my partner, it was necessary to redo more than 5 successive medical appointments including two examinations with samples, the information provided each time is never sufficient for the "advice" of Cardif . In the end, the financing project took 6 months in total, because after 5 months they realized that ultimately it was not essential that we were both at 100%. I therefore found myself paying for delay for sellers only because Cardif &amp; BNP Paribas first refused to consider reviewing the financing plan by ensuring only me, despite my repeated calls to accept any condition that They would like to impose on us as long as they allow us to make our project a reality quickly.
In the end, we redid the entire financing file in emergency procedure, which showed me that if they had heard my calls to negotiate the conditions, everything could have been completed in 2 months instead of 6.
In summary, I signed a compromise in November for a final signature at the end of February ... which was postponed at the end of May, I lost considerable sums on the scale of my investment because of their deafness and the total absence of dialogue.</v>
      </c>
    </row>
    <row r="624" ht="15.75" customHeight="1">
      <c r="B624" s="2" t="s">
        <v>1817</v>
      </c>
      <c r="C624" s="2" t="s">
        <v>1818</v>
      </c>
      <c r="D624" s="2" t="s">
        <v>1786</v>
      </c>
      <c r="E624" s="2" t="s">
        <v>1325</v>
      </c>
      <c r="F624" s="2" t="s">
        <v>15</v>
      </c>
      <c r="G624" s="2" t="s">
        <v>1819</v>
      </c>
      <c r="H624" s="2" t="s">
        <v>257</v>
      </c>
      <c r="I624" s="2" t="str">
        <f>IFERROR(__xludf.DUMMYFUNCTION("GOOGLETRANSLATE(C624,""fr"",""en"")"),"Since May 15, 2020, there has been a release of a pledge. Since that date I have no possibility of contacting Cardif to close my contract. Standard gives a phone number, or no one has been answering for two months. It is unacceptable")</f>
        <v>Since May 15, 2020, there has been a release of a pledge. Since that date I have no possibility of contacting Cardif to close my contract. Standard gives a phone number, or no one has been answering for two months. It is unacceptable</v>
      </c>
    </row>
    <row r="625" ht="15.75" customHeight="1">
      <c r="B625" s="2" t="s">
        <v>1820</v>
      </c>
      <c r="C625" s="2" t="s">
        <v>1821</v>
      </c>
      <c r="D625" s="2" t="s">
        <v>1786</v>
      </c>
      <c r="E625" s="2" t="s">
        <v>1325</v>
      </c>
      <c r="F625" s="2" t="s">
        <v>15</v>
      </c>
      <c r="G625" s="2" t="s">
        <v>268</v>
      </c>
      <c r="H625" s="2" t="s">
        <v>269</v>
      </c>
      <c r="I625" s="2" t="str">
        <f>IFERROR(__xludf.DUMMYFUNCTION("GOOGLETRANSLATE(C625,""fr"",""en"")"),"I made a request for a PPI, doctor's statement, social security compensation, expert, response after 6 months, refusal for exclusion of guarantee, fortunately I can read, no exclusion, currently the file has returned In the medical service, everything is "&amp;"good to reach the end of the loan, my lawyer takes care of it especially that I took the incapacity for work? Compared to other insurances there is room, the insurer of one. Another loan with the same guarantees directly compensated, what is it for it to "&amp;"embarrass and arrived at procedures?
")</f>
        <v>I made a request for a PPI, doctor's statement, social security compensation, expert, response after 6 months, refusal for exclusion of guarantee, fortunately I can read, no exclusion, currently the file has returned In the medical service, everything is good to reach the end of the loan, my lawyer takes care of it especially that I took the incapacity for work? Compared to other insurances there is room, the insurer of one. Another loan with the same guarantees directly compensated, what is it for it to embarrass and arrived at procedures?
</v>
      </c>
    </row>
    <row r="626" ht="15.75" customHeight="1">
      <c r="B626" s="2" t="s">
        <v>1822</v>
      </c>
      <c r="C626" s="2" t="s">
        <v>1823</v>
      </c>
      <c r="D626" s="2" t="s">
        <v>1786</v>
      </c>
      <c r="E626" s="2" t="s">
        <v>1325</v>
      </c>
      <c r="F626" s="2" t="s">
        <v>15</v>
      </c>
      <c r="G626" s="2" t="s">
        <v>1824</v>
      </c>
      <c r="H626" s="2" t="s">
        <v>550</v>
      </c>
      <c r="I626" s="2" t="str">
        <f>IFERROR(__xludf.DUMMYFUNCTION("GOOGLETRANSLATE(C626,""fr"",""en"")"),"Lamentable to flee")</f>
        <v>Lamentable to flee</v>
      </c>
    </row>
    <row r="627" ht="15.75" customHeight="1">
      <c r="B627" s="2" t="s">
        <v>1825</v>
      </c>
      <c r="C627" s="2" t="s">
        <v>1826</v>
      </c>
      <c r="D627" s="2" t="s">
        <v>1786</v>
      </c>
      <c r="E627" s="2" t="s">
        <v>1325</v>
      </c>
      <c r="F627" s="2" t="s">
        <v>15</v>
      </c>
      <c r="G627" s="2" t="s">
        <v>1827</v>
      </c>
      <c r="H627" s="2" t="s">
        <v>550</v>
      </c>
      <c r="I627" s="2" t="str">
        <f>IFERROR(__xludf.DUMMYFUNCTION("GOOGLETRANSLATE(C627,""fr"",""en"")"),"A fight that has lasted for 1 year now, based on files sent by recommended for being ignored or made me believe that they have not really been sent.
Telephone calls, emails, letters, nothing helps, they do everything to avoid contact and try to help me.
"&amp;"
One puts the fault on a colleague, the other on their website, the only solution that comes to mind is the call to a lawyer, I can't take it anymore and I think it's the only way to get things done.")</f>
        <v>A fight that has lasted for 1 year now, based on files sent by recommended for being ignored or made me believe that they have not really been sent.
Telephone calls, emails, letters, nothing helps, they do everything to avoid contact and try to help me.
One puts the fault on a colleague, the other on their website, the only solution that comes to mind is the call to a lawyer, I can't take it anymore and I think it's the only way to get things done.</v>
      </c>
    </row>
    <row r="628" ht="15.75" customHeight="1">
      <c r="B628" s="2" t="s">
        <v>1828</v>
      </c>
      <c r="C628" s="2" t="s">
        <v>1829</v>
      </c>
      <c r="D628" s="2" t="s">
        <v>1786</v>
      </c>
      <c r="E628" s="2" t="s">
        <v>1325</v>
      </c>
      <c r="F628" s="2" t="s">
        <v>15</v>
      </c>
      <c r="G628" s="2" t="s">
        <v>1830</v>
      </c>
      <c r="H628" s="2" t="s">
        <v>284</v>
      </c>
      <c r="I628" s="2" t="str">
        <f>IFERROR(__xludf.DUMMYFUNCTION("GOOGLETRANSLATE(C628,""fr"",""en"")"),"Since March 2010 I have to be covered by borrower insurance 4217 as part of a loan housing ensured for death the total and partial disability at 100 %.
I have been in sickness since that date and even in disability since June 2012.
Cardif to subtract fr"&amp;"om its contractual obligations presents an amendment to me for 4208 insurance which does not correspond to that subscribed.
I obtained a court decision which confirms that I am well covered for the death total and partial disability.
I am a former execu"&amp;"tive of the BNP and I am scandalized before the non -compliance with Cardif of the signed contract
I ask myself questions about what respect for cardif must be in front of an insured who does not necessarily know all of his rights.
I can give a single a"&amp;"dvice to a possible future assured pay attention to his health and above all never take out a contract with cardif borrower assurance if he wants to be able to live in serinity")</f>
        <v>Since March 2010 I have to be covered by borrower insurance 4217 as part of a loan housing ensured for death the total and partial disability at 100 %.
I have been in sickness since that date and even in disability since June 2012.
Cardif to subtract from its contractual obligations presents an amendment to me for 4208 insurance which does not correspond to that subscribed.
I obtained a court decision which confirms that I am well covered for the death total and partial disability.
I am a former executive of the BNP and I am scandalized before the non -compliance with Cardif of the signed contract
I ask myself questions about what respect for cardif must be in front of an insured who does not necessarily know all of his rights.
I can give a single advice to a possible future assured pay attention to his health and above all never take out a contract with cardif borrower assurance if he wants to be able to live in serinity</v>
      </c>
    </row>
    <row r="629" ht="15.75" customHeight="1">
      <c r="B629" s="2" t="s">
        <v>1831</v>
      </c>
      <c r="C629" s="2" t="s">
        <v>1832</v>
      </c>
      <c r="D629" s="2" t="s">
        <v>1786</v>
      </c>
      <c r="E629" s="2" t="s">
        <v>1325</v>
      </c>
      <c r="F629" s="2" t="s">
        <v>15</v>
      </c>
      <c r="G629" s="2" t="s">
        <v>297</v>
      </c>
      <c r="H629" s="2" t="s">
        <v>288</v>
      </c>
      <c r="I629" s="2" t="str">
        <f>IFERROR(__xludf.DUMMYFUNCTION("GOOGLETRANSLATE(C629,""fr"",""en"")"),"Hello stop for cancer I filed my request for care since I assume my credits and I pay my cardif insurance contributions BNP BNP Paribas they do not answer they do not receive emails or couriers followed lis have no computer and the staff who answers you o"&amp;"n the phone does not show any empathy and it is well trained liars
I prepare a file I have an eudm in the brain and a lot of trouble concentrating
But determined to assert my rights I base myself
It's scandalous my only fight should be the disease
I w"&amp;"ake up thinking of you cardif group bnp paribas")</f>
        <v>Hello stop for cancer I filed my request for care since I assume my credits and I pay my cardif insurance contributions BNP BNP Paribas they do not answer they do not receive emails or couriers followed lis have no computer and the staff who answers you on the phone does not show any empathy and it is well trained liars
I prepare a file I have an eudm in the brain and a lot of trouble concentrating
But determined to assert my rights I base myself
It's scandalous my only fight should be the disease
I wake up thinking of you cardif group bnp paribas</v>
      </c>
    </row>
    <row r="630" ht="15.75" customHeight="1">
      <c r="B630" s="2" t="s">
        <v>1833</v>
      </c>
      <c r="C630" s="2" t="s">
        <v>1834</v>
      </c>
      <c r="D630" s="2" t="s">
        <v>1786</v>
      </c>
      <c r="E630" s="2" t="s">
        <v>1325</v>
      </c>
      <c r="F630" s="2" t="s">
        <v>15</v>
      </c>
      <c r="G630" s="2" t="s">
        <v>300</v>
      </c>
      <c r="H630" s="2" t="s">
        <v>288</v>
      </c>
      <c r="I630" s="2" t="str">
        <f>IFERROR(__xludf.DUMMYFUNCTION("GOOGLETRANSLATE(C630,""fr"",""en"")"),"No response to the phone.
I try to call them following a disaster to know where it is. The auto answering machine systematically hangs up on the nose. I go through another path, 1 minute of waiting announced ... after 20 minutes of expectations I decid"&amp;"e to hang up.
Person's insurance, to whom I have broken the smartphone, tries to reach them for about 2 months to obtain just 1 document which would allow my friend to be reimbursed by his insurance but, there too, no answer. ..")</f>
        <v>No response to the phone.
I try to call them following a disaster to know where it is. The auto answering machine systematically hangs up on the nose. I go through another path, 1 minute of waiting announced ... after 20 minutes of expectations I decide to hang up.
Person's insurance, to whom I have broken the smartphone, tries to reach them for about 2 months to obtain just 1 document which would allow my friend to be reimbursed by his insurance but, there too, no answer. ..</v>
      </c>
    </row>
    <row r="631" ht="15.75" customHeight="1">
      <c r="B631" s="2" t="s">
        <v>1835</v>
      </c>
      <c r="C631" s="2" t="s">
        <v>1836</v>
      </c>
      <c r="D631" s="2" t="s">
        <v>1786</v>
      </c>
      <c r="E631" s="2" t="s">
        <v>1325</v>
      </c>
      <c r="F631" s="2" t="s">
        <v>15</v>
      </c>
      <c r="G631" s="2" t="s">
        <v>1837</v>
      </c>
      <c r="H631" s="2" t="s">
        <v>307</v>
      </c>
      <c r="I631" s="2" t="str">
        <f>IFERROR(__xludf.DUMMYFUNCTION("GOOGLETRANSLATE(C631,""fr"",""en"")"),"Good evening
When I read all these messages I really worry
I have just made my Document Document Documents yesterday in RAR but with great delay since has been upon November 2017 with full -time time and full time
After contact with Cardif they assured"&amp;" me that I had to do the declaration because I had rights and that it was retroactivity I have several pathology but one of which is part of the exclusion but on the phone the advisor assures me that if it was taken care of my other pathologies they are n"&amp;"ot in the exclusions
So I made an appointment with my doctor who filled all the documents and I sent everything yesterday however when I read all your opinions I worried and tell me that we will surely ask me for other documents which could have been at "&amp;"the same time Let those I have just returned and that in the end in view of all your comments we will drag for a long time to ask me for other pieces that I could have provided immediately and therefore drag. See even wiping a refusal despite multiple pat"&amp;"hologies and therefore loss of time for each one I hope to be wrong and not having to join the group of Meconents because I called on several occasions and was well received if when I ask if I have to join Other pieces we are unable to tell me because dix"&amp;"it advisor she is not doctor but she must well know if other pieces are necessary that said I received the file to be completed quickly and was well received telephonically even if I told me that one of my pathology was taken care of while on the RECUCE d"&amp;"ocument indicates the opposite but my other pathologies they are not in the exclusions so dealing to follow I hope to have a return quickly even if I know that I have a lot To declaire thinking not to be entitled to it but after discussion with several pe"&amp;"ople and my advisor it was told that I had to the right")</f>
        <v>Good evening
When I read all these messages I really worry
I have just made my Document Document Documents yesterday in RAR but with great delay since has been upon November 2017 with full -time time and full time
After contact with Cardif they assured me that I had to do the declaration because I had rights and that it was retroactivity I have several pathology but one of which is part of the exclusion but on the phone the advisor assures me that if it was taken care of my other pathologies they are not in the exclusions
So I made an appointment with my doctor who filled all the documents and I sent everything yesterday however when I read all your opinions I worried and tell me that we will surely ask me for other documents which could have been at the same time Let those I have just returned and that in the end in view of all your comments we will drag for a long time to ask me for other pieces that I could have provided immediately and therefore drag. See even wiping a refusal despite multiple pathologies and therefore loss of time for each one I hope to be wrong and not having to join the group of Meconents because I called on several occasions and was well received if when I ask if I have to join Other pieces we are unable to tell me because dixit advisor she is not doctor but she must well know if other pieces are necessary that said I received the file to be completed quickly and was well received telephonically even if I told me that one of my pathology was taken care of while on the RECUCE document indicates the opposite but my other pathologies they are not in the exclusions so dealing to follow I hope to have a return quickly even if I know that I have a lot To declaire thinking not to be entitled to it but after discussion with several people and my advisor it was told that I had to the right</v>
      </c>
    </row>
    <row r="632" ht="15.75" customHeight="1">
      <c r="B632" s="2" t="s">
        <v>1838</v>
      </c>
      <c r="C632" s="2" t="s">
        <v>1839</v>
      </c>
      <c r="D632" s="2" t="s">
        <v>1786</v>
      </c>
      <c r="E632" s="2" t="s">
        <v>1325</v>
      </c>
      <c r="F632" s="2" t="s">
        <v>15</v>
      </c>
      <c r="G632" s="2" t="s">
        <v>1840</v>
      </c>
      <c r="H632" s="2" t="s">
        <v>307</v>
      </c>
      <c r="I632" s="2" t="str">
        <f>IFERROR(__xludf.DUMMYFUNCTION("GOOGLETRANSLATE(C632,""fr"",""en"")"),"Each month I send the Doc requested on the 1st. I have to call twice every month so that my file advances. Last month I was compensated on the 24th of the month, they had lost my file. If I hadn't called nothing would have happened. Each month I am uncove"&amp;"red because of these delays, my agios they don't care !! Payment deadlines gets longer every month, today on the 16th.")</f>
        <v>Each month I send the Doc requested on the 1st. I have to call twice every month so that my file advances. Last month I was compensated on the 24th of the month, they had lost my file. If I hadn't called nothing would have happened. Each month I am uncovered because of these delays, my agios they don't care !! Payment deadlines gets longer every month, today on the 16th.</v>
      </c>
    </row>
    <row r="633" ht="15.75" customHeight="1">
      <c r="B633" s="2" t="s">
        <v>1841</v>
      </c>
      <c r="C633" s="2" t="s">
        <v>1842</v>
      </c>
      <c r="D633" s="2" t="s">
        <v>1786</v>
      </c>
      <c r="E633" s="2" t="s">
        <v>1325</v>
      </c>
      <c r="F633" s="2" t="s">
        <v>15</v>
      </c>
      <c r="G633" s="2" t="s">
        <v>1843</v>
      </c>
      <c r="H633" s="2" t="s">
        <v>317</v>
      </c>
      <c r="I633" s="2" t="str">
        <f>IFERROR(__xludf.DUMMYFUNCTION("GOOGLETRANSLATE(C633,""fr"",""en"")"),"Hello For the record, my wife had an infiltrating globular carcinoma -type breast cancer with the lymphatic system of his right arm. After 3 years of compensation for work stopping my wife is recognized by the CPAM in cat2 disability and of course losing "&amp;"its job
Today my wife was summoned by an expert doctor from Cardif to assess after the 3 years of his care and pass it into ipt
Aposely rapid examination of the documents and without examining the doctor judges that she can resume work at half time
 Ea"&amp;"sy when we are 54 years old say a work adapted from the style to answer the such by a kind employer who bought him a helmet and a microphone because my wife lost 20 percent of the mobility of his right arm
 How can we say that of a person who always has "&amp;"a damocles sword on his head
 His oncologist refuses to take his catheter to take him too early to withdraw it which is always in micro chemo treatment and especially which is followed up with a surgeon for his second phase of breast reconstruction
A pe"&amp;"rson especially a woman who to work would like to have a presentable physique who is not well in her skin from his cancer and her ablation who no longer sleeps much puff of bad heat in the inferent limbs etc
 I hope that Cardif will give a favorable opin"&amp;"ion to this file and that this file passes as they have explained to the phone in IPT
In addition I do not have only one insurance with them and it would be a shame that I have them canceled to possibly have reimbursement concerns when I need it
To be c"&amp;"ontinued
")</f>
        <v>Hello For the record, my wife had an infiltrating globular carcinoma -type breast cancer with the lymphatic system of his right arm. After 3 years of compensation for work stopping my wife is recognized by the CPAM in cat2 disability and of course losing its job
Today my wife was summoned by an expert doctor from Cardif to assess after the 3 years of his care and pass it into ipt
Aposely rapid examination of the documents and without examining the doctor judges that she can resume work at half time
 Easy when we are 54 years old say a work adapted from the style to answer the such by a kind employer who bought him a helmet and a microphone because my wife lost 20 percent of the mobility of his right arm
 How can we say that of a person who always has a damocles sword on his head
 His oncologist refuses to take his catheter to take him too early to withdraw it which is always in micro chemo treatment and especially which is followed up with a surgeon for his second phase of breast reconstruction
A person especially a woman who to work would like to have a presentable physique who is not well in her skin from his cancer and her ablation who no longer sleeps much puff of bad heat in the inferent limbs etc
 I hope that Cardif will give a favorable opinion to this file and that this file passes as they have explained to the phone in IPT
In addition I do not have only one insurance with them and it would be a shame that I have them canceled to possibly have reimbursement concerns when I need it
To be continued
</v>
      </c>
    </row>
    <row r="634" ht="15.75" customHeight="1">
      <c r="B634" s="2" t="s">
        <v>1844</v>
      </c>
      <c r="C634" s="2" t="s">
        <v>1845</v>
      </c>
      <c r="D634" s="2" t="s">
        <v>1786</v>
      </c>
      <c r="E634" s="2" t="s">
        <v>1325</v>
      </c>
      <c r="F634" s="2" t="s">
        <v>15</v>
      </c>
      <c r="G634" s="2" t="s">
        <v>1846</v>
      </c>
      <c r="H634" s="2" t="s">
        <v>324</v>
      </c>
      <c r="I634" s="2" t="str">
        <f>IFERROR(__xludf.DUMMYFUNCTION("GOOGLETRANSLATE(C634,""fr"",""en"")"),"In February, my wife was the victim of a stroke with hemorrhage. I contact Cardif for credits that she has to BNP and Cetelem and they refuse the care pretending that at the time of the accident she did not work. If a person victim of a stroke cannot be r"&amp;"ecognized temporarily incapacity to work, who can be?")</f>
        <v>In February, my wife was the victim of a stroke with hemorrhage. I contact Cardif for credits that she has to BNP and Cetelem and they refuse the care pretending that at the time of the accident she did not work. If a person victim of a stroke cannot be recognized temporarily incapacity to work, who can be?</v>
      </c>
    </row>
    <row r="635" ht="15.75" customHeight="1">
      <c r="B635" s="2" t="s">
        <v>1847</v>
      </c>
      <c r="C635" s="2" t="s">
        <v>1848</v>
      </c>
      <c r="D635" s="2" t="s">
        <v>1786</v>
      </c>
      <c r="E635" s="2" t="s">
        <v>1325</v>
      </c>
      <c r="F635" s="2" t="s">
        <v>15</v>
      </c>
      <c r="G635" s="2" t="s">
        <v>331</v>
      </c>
      <c r="H635" s="2" t="s">
        <v>328</v>
      </c>
      <c r="I635" s="2" t="str">
        <f>IFERROR(__xludf.DUMMYFUNCTION("GOOGLETRANSLATE(C635,""fr"",""en"")"),"I pay almost 200 euros months of borrower insurance with daily allowances in this contract I find myself stopped 3 and a half months and in addition to their slow service I have resumed for 3 months I have just received a refusal to take care I do not rec"&amp;"ommend this insurance and will attack them in addition to going to see UFC what to choose")</f>
        <v>I pay almost 200 euros months of borrower insurance with daily allowances in this contract I find myself stopped 3 and a half months and in addition to their slow service I have resumed for 3 months I have just received a refusal to take care I do not recommend this insurance and will attack them in addition to going to see UFC what to choose</v>
      </c>
    </row>
    <row r="636" ht="15.75" customHeight="1">
      <c r="B636" s="2" t="s">
        <v>1849</v>
      </c>
      <c r="C636" s="2" t="s">
        <v>1850</v>
      </c>
      <c r="D636" s="2" t="s">
        <v>1786</v>
      </c>
      <c r="E636" s="2" t="s">
        <v>1325</v>
      </c>
      <c r="F636" s="2" t="s">
        <v>15</v>
      </c>
      <c r="G636" s="2" t="s">
        <v>1851</v>
      </c>
      <c r="H636" s="2" t="s">
        <v>335</v>
      </c>
      <c r="I636" s="2" t="str">
        <f>IFERROR(__xludf.DUMMYFUNCTION("GOOGLETRANSLATE(C636,""fr"",""en"")"),"Unable to give clear and precise answers to our requests, an unfortunate 3 -week loan is becoming a hell to live. When one is 70 years old impossible to be treated correctly to believe that we are pestiférés who are going to slam tomorrow, it is a shame t"&amp;"o wander people like that !!!
Extremely badly made site, no contact as possible other than by mail or phone, and on the phone you are always told that a document will soon arrive, 3 days later absolutely nothing. You give the requested documents but noth"&amp;"ing helps, you are always asked for something else. In short, you flee who are looking for credit insurance, run away !!!")</f>
        <v>Unable to give clear and precise answers to our requests, an unfortunate 3 -week loan is becoming a hell to live. When one is 70 years old impossible to be treated correctly to believe that we are pestiférés who are going to slam tomorrow, it is a shame to wander people like that !!!
Extremely badly made site, no contact as possible other than by mail or phone, and on the phone you are always told that a document will soon arrive, 3 days later absolutely nothing. You give the requested documents but nothing helps, you are always asked for something else. In short, you flee who are looking for credit insurance, run away !!!</v>
      </c>
    </row>
    <row r="637" ht="15.75" customHeight="1">
      <c r="B637" s="2" t="s">
        <v>1852</v>
      </c>
      <c r="C637" s="2" t="s">
        <v>1853</v>
      </c>
      <c r="D637" s="2" t="s">
        <v>1786</v>
      </c>
      <c r="E637" s="2" t="s">
        <v>1325</v>
      </c>
      <c r="F637" s="2" t="s">
        <v>15</v>
      </c>
      <c r="G637" s="2" t="s">
        <v>1854</v>
      </c>
      <c r="H637" s="2" t="s">
        <v>339</v>
      </c>
      <c r="I637" s="2" t="str">
        <f>IFERROR(__xludf.DUMMYFUNCTION("GOOGLETRANSLATE(C637,""fr"",""en"")"),"Since October 1st on stop for cancer I have taken the procedures immediately with Cardiff so as not to have a financial problem because already enough concerns with the disease.
On January 22, I returned a medical document and since then I have always be"&amp;"en told that it is in search of the medical service.
And in the meantime I always pay my deadlines.
Despite telephone reminders and emails.
In addition to the health problems I believe that we should not have to manage administrative problems ...")</f>
        <v>Since October 1st on stop for cancer I have taken the procedures immediately with Cardiff so as not to have a financial problem because already enough concerns with the disease.
On January 22, I returned a medical document and since then I have always been told that it is in search of the medical service.
And in the meantime I always pay my deadlines.
Despite telephone reminders and emails.
In addition to the health problems I believe that we should not have to manage administrative problems ...</v>
      </c>
    </row>
    <row r="638" ht="15.75" customHeight="1">
      <c r="B638" s="2" t="s">
        <v>1855</v>
      </c>
      <c r="C638" s="2" t="s">
        <v>1856</v>
      </c>
      <c r="D638" s="2" t="s">
        <v>1786</v>
      </c>
      <c r="E638" s="2" t="s">
        <v>1325</v>
      </c>
      <c r="F638" s="2" t="s">
        <v>15</v>
      </c>
      <c r="G638" s="2" t="s">
        <v>1857</v>
      </c>
      <c r="H638" s="2" t="s">
        <v>572</v>
      </c>
      <c r="I638" s="2" t="str">
        <f>IFERROR(__xludf.DUMMYFUNCTION("GOOGLETRANSLATE(C638,""fr"",""en"")"),"Better to be good. Unable to study a file and provide solutions. Just waste time by strolling by commission 1 in committee 2 and new commission to arrive in fine with a refusal. No creativity although BNP customer since 1996/ zero insurer")</f>
        <v>Better to be good. Unable to study a file and provide solutions. Just waste time by strolling by commission 1 in committee 2 and new commission to arrive in fine with a refusal. No creativity although BNP customer since 1996/ zero insurer</v>
      </c>
    </row>
    <row r="639" ht="15.75" customHeight="1">
      <c r="B639" s="2" t="s">
        <v>1858</v>
      </c>
      <c r="C639" s="2" t="s">
        <v>1859</v>
      </c>
      <c r="D639" s="2" t="s">
        <v>1786</v>
      </c>
      <c r="E639" s="2" t="s">
        <v>1325</v>
      </c>
      <c r="F639" s="2" t="s">
        <v>15</v>
      </c>
      <c r="G639" s="2" t="s">
        <v>1860</v>
      </c>
      <c r="H639" s="2" t="s">
        <v>572</v>
      </c>
      <c r="I639" s="2" t="str">
        <f>IFERROR(__xludf.DUMMYFUNCTION("GOOGLETRANSLATE(C639,""fr"",""en"")"),"No very disappointed, I lost my
Employment and I continue to pay the deadlines despite my loss of employment insurance that I have been paying since 2015, the advisers on the phone certify me that I will be reimbursed on my personal account but no they s"&amp;"end the money to BNP so no need to take a assurance")</f>
        <v>No very disappointed, I lost my
Employment and I continue to pay the deadlines despite my loss of employment insurance that I have been paying since 2015, the advisers on the phone certify me that I will be reimbursed on my personal account but no they send the money to BNP so no need to take a assurance</v>
      </c>
    </row>
    <row r="640" ht="15.75" customHeight="1">
      <c r="B640" s="2" t="s">
        <v>1861</v>
      </c>
      <c r="C640" s="2" t="s">
        <v>1862</v>
      </c>
      <c r="D640" s="2" t="s">
        <v>1786</v>
      </c>
      <c r="E640" s="2" t="s">
        <v>1325</v>
      </c>
      <c r="F640" s="2" t="s">
        <v>15</v>
      </c>
      <c r="G640" s="2" t="s">
        <v>1863</v>
      </c>
      <c r="H640" s="2" t="s">
        <v>572</v>
      </c>
      <c r="I640" s="2" t="str">
        <f>IFERROR(__xludf.DUMMYFUNCTION("GOOGLETRANSLATE(C640,""fr"",""en"")"),"It has been almost 5 months since I made a request to take care of my insurance still no care they ask me each time an additional paper and once the paper is always sent a new excuse")</f>
        <v>It has been almost 5 months since I made a request to take care of my insurance still no care they ask me each time an additional paper and once the paper is always sent a new excuse</v>
      </c>
    </row>
    <row r="641" ht="15.75" customHeight="1">
      <c r="B641" s="2" t="s">
        <v>1864</v>
      </c>
      <c r="C641" s="2" t="s">
        <v>1865</v>
      </c>
      <c r="D641" s="2" t="s">
        <v>1786</v>
      </c>
      <c r="E641" s="2" t="s">
        <v>1325</v>
      </c>
      <c r="F641" s="2" t="s">
        <v>15</v>
      </c>
      <c r="G641" s="2" t="s">
        <v>1866</v>
      </c>
      <c r="H641" s="2" t="s">
        <v>17</v>
      </c>
      <c r="I641" s="2" t="str">
        <f>IFERROR(__xludf.DUMMYFUNCTION("GOOGLETRANSLATE(C641,""fr"",""en"")"),"Refund when they want, never on a fixed date! It is necessary to wait a month before the first reimbursements which are added to the 90 days of deficiency (you have an interest in having solid kidneys) the telephone advisers are patient on the other hand "&amp;"they collect on fixed dates ...")</f>
        <v>Refund when they want, never on a fixed date! It is necessary to wait a month before the first reimbursements which are added to the 90 days of deficiency (you have an interest in having solid kidneys) the telephone advisers are patient on the other hand they collect on fixed dates ...</v>
      </c>
    </row>
    <row r="642" ht="15.75" customHeight="1">
      <c r="B642" s="2" t="s">
        <v>1867</v>
      </c>
      <c r="C642" s="2" t="s">
        <v>1868</v>
      </c>
      <c r="D642" s="2" t="s">
        <v>1786</v>
      </c>
      <c r="E642" s="2" t="s">
        <v>1325</v>
      </c>
      <c r="F642" s="2" t="s">
        <v>15</v>
      </c>
      <c r="G642" s="2" t="s">
        <v>1869</v>
      </c>
      <c r="H642" s="2" t="s">
        <v>17</v>
      </c>
      <c r="I642" s="2" t="str">
        <f>IFERROR(__xludf.DUMMYFUNCTION("GOOGLETRANSLATE(C642,""fr"",""en"")"),"I am in disability 2. The ""expert"" doctor of Cardif determined my rate less than 66% when he did not even examine me and he is not a specialist in my illness. Suddenly I also received the famous letter of which hundreds of insured persons in disability."&amp;" I can no longer work, my disability pension is lower than my housing credit. I think it's the end. And yet I thought I was insured against the disease ... Thank you Cardif.")</f>
        <v>I am in disability 2. The "expert" doctor of Cardif determined my rate less than 66% when he did not even examine me and he is not a specialist in my illness. Suddenly I also received the famous letter of which hundreds of insured persons in disability. I can no longer work, my disability pension is lower than my housing credit. I think it's the end. And yet I thought I was insured against the disease ... Thank you Cardif.</v>
      </c>
    </row>
    <row r="643" ht="15.75" customHeight="1">
      <c r="B643" s="2" t="s">
        <v>1870</v>
      </c>
      <c r="C643" s="2" t="s">
        <v>1871</v>
      </c>
      <c r="D643" s="2" t="s">
        <v>1786</v>
      </c>
      <c r="E643" s="2" t="s">
        <v>1325</v>
      </c>
      <c r="F643" s="2" t="s">
        <v>15</v>
      </c>
      <c r="G643" s="2" t="s">
        <v>1872</v>
      </c>
      <c r="H643" s="2" t="s">
        <v>21</v>
      </c>
      <c r="I643" s="2" t="str">
        <f>IFERROR(__xludf.DUMMYFUNCTION("GOOGLETRANSLATE(C643,""fr"",""en"")"),"Decree, it has been practically 1 year that I made the request for a job loss file with my BNP advisor. I received it only
About 5 months. Since then I pay my monthly payments from my loan with a lot of different. Why take out and pay insurance if on D -"&amp;"Day we leave you in a gallery !!?")</f>
        <v>Decree, it has been practically 1 year that I made the request for a job loss file with my BNP advisor. I received it only
About 5 months. Since then I pay my monthly payments from my loan with a lot of different. Why take out and pay insurance if on D -Day we leave you in a gallery !!?</v>
      </c>
    </row>
    <row r="644" ht="15.75" customHeight="1">
      <c r="B644" s="2" t="s">
        <v>1873</v>
      </c>
      <c r="C644" s="2" t="s">
        <v>1874</v>
      </c>
      <c r="D644" s="2" t="s">
        <v>1786</v>
      </c>
      <c r="E644" s="2" t="s">
        <v>1325</v>
      </c>
      <c r="F644" s="2" t="s">
        <v>15</v>
      </c>
      <c r="G644" s="2" t="s">
        <v>1875</v>
      </c>
      <c r="H644" s="2" t="s">
        <v>349</v>
      </c>
      <c r="I644" s="2" t="str">
        <f>IFERROR(__xludf.DUMMYFUNCTION("GOOGLETRANSLATE(C644,""fr"",""en"")"),"In work stoppage for 10 me, I have applied for insurance to take care of the insurance .... no worries, the sets are suspended while returning the file.
File returned quickly, with a confirmation of the reception of documents ... For requests for additio"&amp;"nal documents have continued to arrive, my doctor is fed up with it to fill them ... still no news ... until a threat registration Banque de France from Cetelem .. I manage to arrange with them but Cardiff it was committed to quickly processing my file fo"&amp;"llowing that .... and still nothing ... I made my request Debut August 2018 ... I come to desperate !!! What recourse? Consumer association? court ?")</f>
        <v>In work stoppage for 10 me, I have applied for insurance to take care of the insurance .... no worries, the sets are suspended while returning the file.
File returned quickly, with a confirmation of the reception of documents ... For requests for additional documents have continued to arrive, my doctor is fed up with it to fill them ... still no news ... until a threat registration Banque de France from Cetelem .. I manage to arrange with them but Cardiff it was committed to quickly processing my file following that .... and still nothing ... I made my request Debut August 2018 ... I come to desperate !!! What recourse? Consumer association? court ?</v>
      </c>
    </row>
    <row r="645" ht="15.75" customHeight="1">
      <c r="B645" s="2" t="s">
        <v>1876</v>
      </c>
      <c r="C645" s="2" t="s">
        <v>1877</v>
      </c>
      <c r="D645" s="2" t="s">
        <v>1786</v>
      </c>
      <c r="E645" s="2" t="s">
        <v>1325</v>
      </c>
      <c r="F645" s="2" t="s">
        <v>15</v>
      </c>
      <c r="G645" s="2" t="s">
        <v>1878</v>
      </c>
      <c r="H645" s="2" t="s">
        <v>27</v>
      </c>
      <c r="I645" s="2" t="str">
        <f>IFERROR(__xludf.DUMMYFUNCTION("GOOGLETRANSLATE(C645,""fr"",""en"")"),"For three years on stop due to a back operation and various health concerns, only this year has been received the documentation for a possible care of my personal loan and it is thanks to my bank advisor, except that Today I am in disability and he pays a"&amp;" game but I must continue to pay my monthly payment I do not understand too much and I am told that it is normal to reimburse faster, I pay this insurance precisely in case some thing will happen and I see that it is strictly useless, by covering the zero"&amp;" zero insurance bank")</f>
        <v>For three years on stop due to a back operation and various health concerns, only this year has been received the documentation for a possible care of my personal loan and it is thanks to my bank advisor, except that Today I am in disability and he pays a game but I must continue to pay my monthly payment I do not understand too much and I am told that it is normal to reimburse faster, I pay this insurance precisely in case some thing will happen and I see that it is strictly useless, by covering the zero zero insurance bank</v>
      </c>
    </row>
    <row r="646" ht="15.75" customHeight="1">
      <c r="B646" s="2" t="s">
        <v>1879</v>
      </c>
      <c r="C646" s="2" t="s">
        <v>1880</v>
      </c>
      <c r="D646" s="2" t="s">
        <v>1786</v>
      </c>
      <c r="E646" s="2" t="s">
        <v>1325</v>
      </c>
      <c r="F646" s="2" t="s">
        <v>15</v>
      </c>
      <c r="G646" s="2" t="s">
        <v>1881</v>
      </c>
      <c r="H646" s="2" t="s">
        <v>31</v>
      </c>
      <c r="I646" s="2" t="str">
        <f>IFERROR(__xludf.DUMMYFUNCTION("GOOGLETRANSLATE(C646,""fr"",""en"")"),"Refusal to take care of a life accident contract without knowing the causes of death. And concerning an insurance contract for a loan, they have been asking me for the same documents, already sent several times. They delay the steps.")</f>
        <v>Refusal to take care of a life accident contract without knowing the causes of death. And concerning an insurance contract for a loan, they have been asking me for the same documents, already sent several times. They delay the steps.</v>
      </c>
    </row>
    <row r="647" ht="15.75" customHeight="1">
      <c r="B647" s="2" t="s">
        <v>1882</v>
      </c>
      <c r="C647" s="2" t="s">
        <v>1883</v>
      </c>
      <c r="D647" s="2" t="s">
        <v>1786</v>
      </c>
      <c r="E647" s="2" t="s">
        <v>1325</v>
      </c>
      <c r="F647" s="2" t="s">
        <v>15</v>
      </c>
      <c r="G647" s="2" t="s">
        <v>1884</v>
      </c>
      <c r="H647" s="2" t="s">
        <v>31</v>
      </c>
      <c r="I647" s="2" t="str">
        <f>IFERROR(__xludf.DUMMYFUNCTION("GOOGLETRANSLATE(C647,""fr"",""en"")"),"Suddenly stopping ITT compensation after 42 months paid, still on work stoppage motif by phone by an employee of cardif error on their part we had to pay you that twelve months, he does not respect the contract clauses at all I will Enter mediation and pl"&amp;"ay my legal protection. incomprehensible.")</f>
        <v>Suddenly stopping ITT compensation after 42 months paid, still on work stoppage motif by phone by an employee of cardif error on their part we had to pay you that twelve months, he does not respect the contract clauses at all I will Enter mediation and play my legal protection. incomprehensible.</v>
      </c>
    </row>
    <row r="648" ht="15.75" customHeight="1">
      <c r="B648" s="2" t="s">
        <v>1885</v>
      </c>
      <c r="C648" s="2" t="s">
        <v>1886</v>
      </c>
      <c r="D648" s="2" t="s">
        <v>1786</v>
      </c>
      <c r="E648" s="2" t="s">
        <v>1325</v>
      </c>
      <c r="F648" s="2" t="s">
        <v>15</v>
      </c>
      <c r="G648" s="2" t="s">
        <v>1137</v>
      </c>
      <c r="H648" s="2" t="s">
        <v>31</v>
      </c>
      <c r="I648" s="2" t="str">
        <f>IFERROR(__xludf.DUMMYFUNCTION("GOOGLETRANSLATE(C648,""fr"",""en"")"),"Hello, I completely store myself alongside the many comments concerning the processing of compensation files on the part of Cardif following incapacity for work. Three weeks after the declaration of claim I finally receive the file to be formed in order t"&amp;"o be supported I attach them all the requested parts (I specify that I have two contracts one covering 75% of my drafts and the second the 25%) I Put the parts in the same envelope with the two file numbers. Three weeks later I receive a letter claiming m"&amp;"e the so -called missing medical certificate for one of the two files and two days later new mail claiming me the missing loan damping table for the bizarre second file that it is not The same piece that is missing in both files ??? (to report in passing "&amp;"that the second letter is dated 9 while the mail stamp is at 13, the closest post must be far away!) I bring my strengths together and I call (by the ruin of my package to listen to a classical music concerto for a quarter of an hour) when you end up answ"&amp;"ering me I explain to the person online my case and when I point him out that it is still weird that it is not the Same part that is missing in the two files and, that concerning the damping table, my mortgage being subscribed to BNP Paribas of which Card"&amp;"if is a subsidiary he would have the opportunity to get it internally Hangled in the nose! This is by a person who still has a job thanks to the customers U it is supposed to inform intollerable! Apart from saving time and making us accumulate the costs a"&amp;"nd the hassle I do not see any other explanation.")</f>
        <v>Hello, I completely store myself alongside the many comments concerning the processing of compensation files on the part of Cardif following incapacity for work. Three weeks after the declaration of claim I finally receive the file to be formed in order to be supported I attach them all the requested parts (I specify that I have two contracts one covering 75% of my drafts and the second the 25%) I Put the parts in the same envelope with the two file numbers. Three weeks later I receive a letter claiming me the so -called missing medical certificate for one of the two files and two days later new mail claiming me the missing loan damping table for the bizarre second file that it is not The same piece that is missing in both files ??? (to report in passing that the second letter is dated 9 while the mail stamp is at 13, the closest post must be far away!) I bring my strengths together and I call (by the ruin of my package to listen to a classical music concerto for a quarter of an hour) when you end up answering me I explain to the person online my case and when I point him out that it is still weird that it is not the Same part that is missing in the two files and, that concerning the damping table, my mortgage being subscribed to BNP Paribas of which Cardif is a subsidiary he would have the opportunity to get it internally Hangled in the nose! This is by a person who still has a job thanks to the customers U it is supposed to inform intollerable! Apart from saving time and making us accumulate the costs and the hassle I do not see any other explanation.</v>
      </c>
    </row>
    <row r="649" ht="15.75" customHeight="1">
      <c r="B649" s="2" t="s">
        <v>1887</v>
      </c>
      <c r="C649" s="2" t="s">
        <v>1888</v>
      </c>
      <c r="D649" s="2" t="s">
        <v>1786</v>
      </c>
      <c r="E649" s="2" t="s">
        <v>1325</v>
      </c>
      <c r="F649" s="2" t="s">
        <v>15</v>
      </c>
      <c r="G649" s="2" t="s">
        <v>1889</v>
      </c>
      <c r="H649" s="2" t="s">
        <v>46</v>
      </c>
      <c r="I649" s="2" t="str">
        <f>IFERROR(__xludf.DUMMYFUNCTION("GOOGLETRANSLATE(C649,""fr"",""en"")"),"Loan subscribed on 07/21/2017. I was put into disability category 2 on 1/06/2018 after a work stoppage of 05/14/2018 (never stopped before) to date I am always asked for documents ... and still no care . It is painful I find myself in front of an insurer "&amp;"who puts a maximum of bad will to make care")</f>
        <v>Loan subscribed on 07/21/2017. I was put into disability category 2 on 1/06/2018 after a work stoppage of 05/14/2018 (never stopped before) to date I am always asked for documents ... and still no care . It is painful I find myself in front of an insurer who puts a maximum of bad will to make care</v>
      </c>
    </row>
    <row r="650" ht="15.75" customHeight="1">
      <c r="B650" s="2" t="s">
        <v>1890</v>
      </c>
      <c r="C650" s="2" t="s">
        <v>1891</v>
      </c>
      <c r="D650" s="2" t="s">
        <v>1786</v>
      </c>
      <c r="E650" s="2" t="s">
        <v>1325</v>
      </c>
      <c r="F650" s="2" t="s">
        <v>15</v>
      </c>
      <c r="G650" s="2" t="s">
        <v>1892</v>
      </c>
      <c r="H650" s="2" t="s">
        <v>46</v>
      </c>
      <c r="I650" s="2" t="str">
        <f>IFERROR(__xludf.DUMMYFUNCTION("GOOGLETRANSLATE(C650,""fr"",""en"")"),"Hello,
In sickness stop for depression since January 17, 2018 I ask Cardif if this pathology is taken care of I am told yes I am sending me the file to be completed or I provide all the parts requested for ultimately a refusal without knowing why or the "&amp;"conditions of their contract I am disgusting this insurance")</f>
        <v>Hello,
In sickness stop for depression since January 17, 2018 I ask Cardif if this pathology is taken care of I am told yes I am sending me the file to be completed or I provide all the parts requested for ultimately a refusal without knowing why or the conditions of their contract I am disgusting this insurance</v>
      </c>
    </row>
    <row r="651" ht="15.75" customHeight="1">
      <c r="B651" s="2" t="s">
        <v>1893</v>
      </c>
      <c r="C651" s="2" t="s">
        <v>1894</v>
      </c>
      <c r="D651" s="2" t="s">
        <v>1786</v>
      </c>
      <c r="E651" s="2" t="s">
        <v>1325</v>
      </c>
      <c r="F651" s="2" t="s">
        <v>15</v>
      </c>
      <c r="G651" s="2" t="s">
        <v>771</v>
      </c>
      <c r="H651" s="2" t="s">
        <v>46</v>
      </c>
      <c r="I651" s="2" t="str">
        <f>IFERROR(__xludf.DUMMYFUNCTION("GOOGLETRANSLATE(C651,""fr"",""en"")"),".......")</f>
        <v>.......</v>
      </c>
    </row>
    <row r="652" ht="15.75" customHeight="1">
      <c r="B652" s="2" t="s">
        <v>1895</v>
      </c>
      <c r="C652" s="2" t="s">
        <v>1896</v>
      </c>
      <c r="D652" s="2" t="s">
        <v>1786</v>
      </c>
      <c r="E652" s="2" t="s">
        <v>1325</v>
      </c>
      <c r="F652" s="2" t="s">
        <v>15</v>
      </c>
      <c r="G652" s="2" t="s">
        <v>771</v>
      </c>
      <c r="H652" s="2" t="s">
        <v>46</v>
      </c>
      <c r="I652" s="2" t="str">
        <f>IFERROR(__xludf.DUMMYFUNCTION("GOOGLETRANSLATE(C652,""fr"",""en"")"),"Discontent of care of the disaster ITT by cardif via the multi impact broker. Processing deadlines 4 months to ultimately send a mail type of refusal of care invoking the general conditions: mental affections and their consequences are taken care of if th"&amp;"ese required hospitalization of more than 15 consecutive days within six months following the first day of work stoppage. I was hospitalized 2.5 months. My request for hospitalization was made to the psychiatrist a few months after my judgment but my effe"&amp;"ctive hospitalization took place 7 months after my work stoppage! Cardif has had the hospital ballots. Depression is not a disease that appreciates in time, it evolves slyly. The operating principle of cardif is very simple: refusing the management of pri"&amp;"nciple. I see on this site that I am not the only one to encounter this problem. I will not hesitate to contest the cardif's decision by sending a letter to the quality complaint service then if I do not gain their case, I would seize the insurance mediat"&amp;"or and to go to court. I am not hesitant to make them bad press .And even to terminate my contract if Cardif does nothing.")</f>
        <v>Discontent of care of the disaster ITT by cardif via the multi impact broker. Processing deadlines 4 months to ultimately send a mail type of refusal of care invoking the general conditions: mental affections and their consequences are taken care of if these required hospitalization of more than 15 consecutive days within six months following the first day of work stoppage. I was hospitalized 2.5 months. My request for hospitalization was made to the psychiatrist a few months after my judgment but my effective hospitalization took place 7 months after my work stoppage! Cardif has had the hospital ballots. Depression is not a disease that appreciates in time, it evolves slyly. The operating principle of cardif is very simple: refusing the management of principle. I see on this site that I am not the only one to encounter this problem. I will not hesitate to contest the cardif's decision by sending a letter to the quality complaint service then if I do not gain their case, I would seize the insurance mediator and to go to court. I am not hesitant to make them bad press .And even to terminate my contract if Cardif does nothing.</v>
      </c>
    </row>
    <row r="653" ht="15.75" customHeight="1">
      <c r="B653" s="2" t="s">
        <v>1897</v>
      </c>
      <c r="C653" s="2" t="s">
        <v>1898</v>
      </c>
      <c r="D653" s="2" t="s">
        <v>1786</v>
      </c>
      <c r="E653" s="2" t="s">
        <v>1325</v>
      </c>
      <c r="F653" s="2" t="s">
        <v>15</v>
      </c>
      <c r="G653" s="2" t="s">
        <v>964</v>
      </c>
      <c r="H653" s="2" t="s">
        <v>59</v>
      </c>
      <c r="I653" s="2" t="str">
        <f>IFERROR(__xludf.DUMMYFUNCTION("GOOGLETRANSLATE(C653,""fr"",""en"")"),"No way to obtain a competent person from the compensation service at Tel, a file that has been dragging for 4 months ...")</f>
        <v>No way to obtain a competent person from the compensation service at Tel, a file that has been dragging for 4 months ...</v>
      </c>
    </row>
    <row r="654" ht="15.75" customHeight="1">
      <c r="B654" s="2" t="s">
        <v>1899</v>
      </c>
      <c r="C654" s="2" t="s">
        <v>1900</v>
      </c>
      <c r="D654" s="2" t="s">
        <v>1786</v>
      </c>
      <c r="E654" s="2" t="s">
        <v>1325</v>
      </c>
      <c r="F654" s="2" t="s">
        <v>15</v>
      </c>
      <c r="G654" s="2" t="s">
        <v>1901</v>
      </c>
      <c r="H654" s="2" t="s">
        <v>59</v>
      </c>
      <c r="I654" s="2" t="str">
        <f>IFERROR(__xludf.DUMMYFUNCTION("GOOGLETRANSLATE(C654,""fr"",""en"")"),"Catastrophic !!
A real a **** ...
Stroll between cardif, cetelem and other services, not registered file, no online claims declaration, only by mail, still not taken care of 3 weeks after leaving it from the hospital .. and hours lost on the phone. .
N"&amp;"ever the same explanation, each stakeholder seen tells a different story ...
Refusal to search for my file by name: PREMNAM: Address ... you need the file number!
Practical when you are in a hospital!
Despite requests by telephone and mail in several y"&amp;"ears I have never received the duplicate of the general conditions of the contract !!")</f>
        <v>Catastrophic !!
A real a **** ...
Stroll between cardif, cetelem and other services, not registered file, no online claims declaration, only by mail, still not taken care of 3 weeks after leaving it from the hospital .. and hours lost on the phone. .
Never the same explanation, each stakeholder seen tells a different story ...
Refusal to search for my file by name: PREMNAM: Address ... you need the file number!
Practical when you are in a hospital!
Despite requests by telephone and mail in several years I have never received the duplicate of the general conditions of the contract !!</v>
      </c>
    </row>
    <row r="655" ht="15.75" customHeight="1">
      <c r="B655" s="2" t="s">
        <v>1902</v>
      </c>
      <c r="C655" s="2" t="s">
        <v>1903</v>
      </c>
      <c r="D655" s="2" t="s">
        <v>1786</v>
      </c>
      <c r="E655" s="2" t="s">
        <v>1325</v>
      </c>
      <c r="F655" s="2" t="s">
        <v>15</v>
      </c>
      <c r="G655" s="2" t="s">
        <v>1689</v>
      </c>
      <c r="H655" s="2" t="s">
        <v>66</v>
      </c>
      <c r="I655" s="2" t="str">
        <f>IFERROR(__xludf.DUMMYFUNCTION("GOOGLETRANSLATE(C655,""fr"",""en"")"),"Long -term sick leave then passing in invalidity 2 by CPAM in June 2018 ... 2 months after the submission of Cardif files unindemnis ... Difficult to do more quickly .. Thank you Cardif")</f>
        <v>Long -term sick leave then passing in invalidity 2 by CPAM in June 2018 ... 2 months after the submission of Cardif files unindemnis ... Difficult to do more quickly .. Thank you Cardif</v>
      </c>
    </row>
    <row r="656" ht="15.75" customHeight="1">
      <c r="B656" s="2" t="s">
        <v>1904</v>
      </c>
      <c r="C656" s="2" t="s">
        <v>1905</v>
      </c>
      <c r="D656" s="2" t="s">
        <v>1786</v>
      </c>
      <c r="E656" s="2" t="s">
        <v>1325</v>
      </c>
      <c r="F656" s="2" t="s">
        <v>15</v>
      </c>
      <c r="G656" s="2" t="s">
        <v>1906</v>
      </c>
      <c r="H656" s="2" t="s">
        <v>70</v>
      </c>
      <c r="I656" s="2" t="str">
        <f>IFERROR(__xludf.DUMMYFUNCTION("GOOGLETRANSLATE(C656,""fr"",""en"")"),"I tried to join Cardif as part of a change of borrower insurance.
A first quote was made by phone, he should have been sent to me by email. 10 days later, no answer, I relaunch them by phone. The same advisor as during my 1st call supports me that I have"&amp;" never made a quote at home. I have to start all over again. Again, I do not receive an email. I have to send a message myself to finally have a written quote.
When I get closer to my current insurer, he asks me that Cardif sends them the quote by RAR to"&amp;" be able to rule on the level of warranty. My interlocutor, always the same, will categorically refuse to make this effort, on the pretext that ""this is not how it works"". Either. They don't need new customers apparently.
I add that this advisor has ve"&amp;"ry difficult to master French people.")</f>
        <v>I tried to join Cardif as part of a change of borrower insurance.
A first quote was made by phone, he should have been sent to me by email. 10 days later, no answer, I relaunch them by phone. The same advisor as during my 1st call supports me that I have never made a quote at home. I have to start all over again. Again, I do not receive an email. I have to send a message myself to finally have a written quote.
When I get closer to my current insurer, he asks me that Cardif sends them the quote by RAR to be able to rule on the level of warranty. My interlocutor, always the same, will categorically refuse to make this effort, on the pretext that "this is not how it works". Either. They don't need new customers apparently.
I add that this advisor has very difficult to master French people.</v>
      </c>
    </row>
    <row r="657" ht="15.75" customHeight="1">
      <c r="B657" s="2" t="s">
        <v>1907</v>
      </c>
      <c r="C657" s="2" t="s">
        <v>1908</v>
      </c>
      <c r="D657" s="2" t="s">
        <v>1786</v>
      </c>
      <c r="E657" s="2" t="s">
        <v>1325</v>
      </c>
      <c r="F657" s="2" t="s">
        <v>15</v>
      </c>
      <c r="G657" s="2" t="s">
        <v>1909</v>
      </c>
      <c r="H657" s="2" t="s">
        <v>74</v>
      </c>
      <c r="I657" s="2" t="str">
        <f>IFERROR(__xludf.DUMMYFUNCTION("GOOGLETRANSLATE(C657,""fr"",""en"")"),"hello, 
I have been on sick leave since 18/11/16 following an uncho-discountry.
On the 7/09/17 7/7 I had cervicals operating, to date, the pain that I had before the operation with the right arm ""type electric discharges"" are always there, moreover, f"&amp;"or a little more than one months, the same pain in the left arm, which is certainly less strong, appeared as well as dizziness when I lower or lift my head.
The cardif insurance had brought my credit reimbursements to be reimbursed, until a month ago whe"&amp;"n they told me that they did not take care of them because the 12 months had expired. The problem is that this day I am still on sick leave and paid by the CPAM (not the same salary as when I worked), so since 18/11/16 my situation has not changed and fol"&amp;"lowing At dizziness I do not think to resume my job right away. Given my financial situation more than delicate, I could not honor my credits since I do not perceive a little by half of my initial salary (between 650th and 700th).
I ask a person who work"&amp;"s on cardif insurance if there is a solution to my problem?
Any problem has its solution, what recourse do I have? Then I make another request for care since I am always on sick leave and of course independently of my will, I would have preferred to cont"&amp;"inue to settle my deadlines and above all be healthy which is not at all the case .
Thank you for your help and solutions.
Fern")</f>
        <v>hello, 
I have been on sick leave since 18/11/16 following an uncho-discountry.
On the 7/09/17 7/7 I had cervicals operating, to date, the pain that I had before the operation with the right arm "type electric discharges" are always there, moreover, for a little more than one months, the same pain in the left arm, which is certainly less strong, appeared as well as dizziness when I lower or lift my head.
The cardif insurance had brought my credit reimbursements to be reimbursed, until a month ago when they told me that they did not take care of them because the 12 months had expired. The problem is that this day I am still on sick leave and paid by the CPAM (not the same salary as when I worked), so since 18/11/16 my situation has not changed and following At dizziness I do not think to resume my job right away. Given my financial situation more than delicate, I could not honor my credits since I do not perceive a little by half of my initial salary (between 650th and 700th).
I ask a person who works on cardif insurance if there is a solution to my problem?
Any problem has its solution, what recourse do I have? Then I make another request for care since I am always on sick leave and of course independently of my will, I would have preferred to continue to settle my deadlines and above all be healthy which is not at all the case .
Thank you for your help and solutions.
Fern</v>
      </c>
    </row>
    <row r="658" ht="15.75" customHeight="1">
      <c r="B658" s="2" t="s">
        <v>1910</v>
      </c>
      <c r="C658" s="2" t="s">
        <v>1911</v>
      </c>
      <c r="D658" s="2" t="s">
        <v>1786</v>
      </c>
      <c r="E658" s="2" t="s">
        <v>1325</v>
      </c>
      <c r="F658" s="2" t="s">
        <v>15</v>
      </c>
      <c r="G658" s="2" t="s">
        <v>1912</v>
      </c>
      <c r="H658" s="2" t="s">
        <v>81</v>
      </c>
      <c r="I658" s="2" t="str">
        <f>IFERROR(__xludf.DUMMYFUNCTION("GOOGLETRANSLATE(C658,""fr"",""en"")"),"Insurers very well frame their contracts. The concern is that we only read them very rarely before signature, and even if we would have read between the lines. . . It is when we need it that we look at the subject. In any case, even if it is after realiza"&amp;"tion of the risk, it must be dissected. From experience, a refusal, after argumentation on my part and text in support, Cardif returned to his decision. It takes time but it is necessary to dissect everything in the event of refusal sometimes notified in "&amp;"a hasty way.")</f>
        <v>Insurers very well frame their contracts. The concern is that we only read them very rarely before signature, and even if we would have read between the lines. . . It is when we need it that we look at the subject. In any case, even if it is after realization of the risk, it must be dissected. From experience, a refusal, after argumentation on my part and text in support, Cardif returned to his decision. It takes time but it is necessary to dissect everything in the event of refusal sometimes notified in a hasty way.</v>
      </c>
    </row>
    <row r="659" ht="15.75" customHeight="1">
      <c r="B659" s="2" t="s">
        <v>1913</v>
      </c>
      <c r="C659" s="2" t="s">
        <v>1914</v>
      </c>
      <c r="D659" s="2" t="s">
        <v>1786</v>
      </c>
      <c r="E659" s="2" t="s">
        <v>1325</v>
      </c>
      <c r="F659" s="2" t="s">
        <v>15</v>
      </c>
      <c r="G659" s="2" t="s">
        <v>1915</v>
      </c>
      <c r="H659" s="2" t="s">
        <v>81</v>
      </c>
      <c r="I659" s="2" t="str">
        <f>IFERROR(__xludf.DUMMYFUNCTION("GOOGLETRANSLATE(C659,""fr"",""en"")"),"read between lines")</f>
        <v>read between lines</v>
      </c>
    </row>
    <row r="660" ht="15.75" customHeight="1">
      <c r="B660" s="2" t="s">
        <v>1916</v>
      </c>
      <c r="C660" s="2" t="s">
        <v>33</v>
      </c>
      <c r="D660" s="2" t="s">
        <v>1786</v>
      </c>
      <c r="E660" s="2" t="s">
        <v>1325</v>
      </c>
      <c r="F660" s="2" t="s">
        <v>15</v>
      </c>
      <c r="G660" s="2" t="s">
        <v>1915</v>
      </c>
      <c r="H660" s="2" t="s">
        <v>81</v>
      </c>
      <c r="I660" s="2" t="str">
        <f>IFERROR(__xludf.DUMMYFUNCTION("GOOGLETRANSLATE(C660,""fr"",""en"")"),"Intervention deleted at the request of the Internet user.")</f>
        <v>Intervention deleted at the request of the Internet user.</v>
      </c>
    </row>
    <row r="661" ht="15.75" customHeight="1">
      <c r="B661" s="2" t="s">
        <v>1917</v>
      </c>
      <c r="C661" s="2" t="s">
        <v>1918</v>
      </c>
      <c r="D661" s="2" t="s">
        <v>1786</v>
      </c>
      <c r="E661" s="2" t="s">
        <v>1325</v>
      </c>
      <c r="F661" s="2" t="s">
        <v>15</v>
      </c>
      <c r="G661" s="2" t="s">
        <v>1919</v>
      </c>
      <c r="H661" s="2" t="s">
        <v>391</v>
      </c>
      <c r="I661" s="2" t="str">
        <f>IFERROR(__xludf.DUMMYFUNCTION("GOOGLETRANSLATE(C661,""fr"",""en"")"),"Disaster !!! 9 calls and 3 letters. Impossible to have the insurance instructions. Refusal to take care of credit following sick leave with hospitalization. Who to turn to an appeal ??? Impossible to obtain a double of our second contract contracted for 1"&amp;"0 years. Impossible to have the new beneficiaries act in the event of death. In short, it's really to flee. I discover the number of people who use the word scam towards this organization. How can we take advantage of people in this way? It is shameful no"&amp;"t to have a serious person who does his job properly. They promise to answer but in vain. Can we involve a mediator or others ??")</f>
        <v>Disaster !!! 9 calls and 3 letters. Impossible to have the insurance instructions. Refusal to take care of credit following sick leave with hospitalization. Who to turn to an appeal ??? Impossible to obtain a double of our second contract contracted for 10 years. Impossible to have the new beneficiaries act in the event of death. In short, it's really to flee. I discover the number of people who use the word scam towards this organization. How can we take advantage of people in this way? It is shameful not to have a serious person who does his job properly. They promise to answer but in vain. Can we involve a mediator or others ??</v>
      </c>
    </row>
    <row r="662" ht="15.75" customHeight="1">
      <c r="B662" s="2" t="s">
        <v>1920</v>
      </c>
      <c r="C662" s="2" t="s">
        <v>1921</v>
      </c>
      <c r="D662" s="2" t="s">
        <v>1786</v>
      </c>
      <c r="E662" s="2" t="s">
        <v>1325</v>
      </c>
      <c r="F662" s="2" t="s">
        <v>15</v>
      </c>
      <c r="G662" s="2" t="s">
        <v>1922</v>
      </c>
      <c r="H662" s="2" t="s">
        <v>395</v>
      </c>
      <c r="I662" s="2" t="str">
        <f>IFERROR(__xludf.DUMMYFUNCTION("GOOGLETRANSLATE(C662,""fr"",""en"")"),"Inadmissible to have to come to this forum to hope to settle its situation")</f>
        <v>Inadmissible to have to come to this forum to hope to settle its situation</v>
      </c>
    </row>
    <row r="663" ht="15.75" customHeight="1">
      <c r="B663" s="2" t="s">
        <v>1923</v>
      </c>
      <c r="C663" s="2" t="s">
        <v>1924</v>
      </c>
      <c r="D663" s="2" t="s">
        <v>1786</v>
      </c>
      <c r="E663" s="2" t="s">
        <v>1325</v>
      </c>
      <c r="F663" s="2" t="s">
        <v>15</v>
      </c>
      <c r="G663" s="2" t="s">
        <v>1161</v>
      </c>
      <c r="H663" s="2" t="s">
        <v>402</v>
      </c>
      <c r="I663" s="2" t="str">
        <f>IFERROR(__xludf.DUMMYFUNCTION("GOOGLETRANSLATE(C663,""fr"",""en"")"),"Died father on 12/12/2017; loan dating from 2008 then aged 70 years. In substantive medical treatment since 1992. No request for a medical questionnaire when subscribing to the contract despite his age. On the other hand asking for this questionnaire duri"&amp;"ng the death. Deaths proven natural causes, certified by the doctor who noted the deceased. Refusal of care under the reason that he has been following treatment since 1992. They find all the pretexts not to pay. I will use all legal means in my possessio"&amp;"n to have my rights recognized. Lawyer contacted is not at all surprised by these BNP customer actions since 1980 I will change banks. To flee at all costs !!!!!!!!!")</f>
        <v>Died father on 12/12/2017; loan dating from 2008 then aged 70 years. In substantive medical treatment since 1992. No request for a medical questionnaire when subscribing to the contract despite his age. On the other hand asking for this questionnaire during the death. Deaths proven natural causes, certified by the doctor who noted the deceased. Refusal of care under the reason that he has been following treatment since 1992. They find all the pretexts not to pay. I will use all legal means in my possession to have my rights recognized. Lawyer contacted is not at all surprised by these BNP customer actions since 1980 I will change banks. To flee at all costs !!!!!!!!!</v>
      </c>
    </row>
    <row r="664" ht="15.75" customHeight="1">
      <c r="B664" s="2" t="s">
        <v>1925</v>
      </c>
      <c r="C664" s="2" t="s">
        <v>1926</v>
      </c>
      <c r="D664" s="2" t="s">
        <v>1786</v>
      </c>
      <c r="E664" s="2" t="s">
        <v>1325</v>
      </c>
      <c r="F664" s="2" t="s">
        <v>15</v>
      </c>
      <c r="G664" s="2" t="s">
        <v>993</v>
      </c>
      <c r="H664" s="2" t="s">
        <v>402</v>
      </c>
      <c r="I664" s="2" t="str">
        <f>IFERROR(__xludf.DUMMYFUNCTION("GOOGLETRANSLATE(C664,""fr"",""en"")"),"Hello,
Our loan insurance ended on 12/18/2017, the month of November and December were debited to us. The reimbursement of the pro rata of November has just been made to us but not that of December, it is 3 times that I call me to make emails following t"&amp;"heir request and no one is able to tell me when the reimbursement will be made !!! . Magnolia customer service on the phone is useless.")</f>
        <v>Hello,
Our loan insurance ended on 12/18/2017, the month of November and December were debited to us. The reimbursement of the pro rata of November has just been made to us but not that of December, it is 3 times that I call me to make emails following their request and no one is able to tell me when the reimbursement will be made !!! . Magnolia customer service on the phone is useless.</v>
      </c>
    </row>
    <row r="665" ht="15.75" customHeight="1">
      <c r="B665" s="2" t="s">
        <v>1927</v>
      </c>
      <c r="C665" s="2" t="s">
        <v>1928</v>
      </c>
      <c r="D665" s="2" t="s">
        <v>1786</v>
      </c>
      <c r="E665" s="2" t="s">
        <v>1325</v>
      </c>
      <c r="F665" s="2" t="s">
        <v>15</v>
      </c>
      <c r="G665" s="2" t="s">
        <v>1929</v>
      </c>
      <c r="H665" s="2" t="s">
        <v>96</v>
      </c>
      <c r="I665" s="2" t="str">
        <f>IFERROR(__xludf.DUMMYFUNCTION("GOOGLETRANSLATE(C665,""fr"",""en"")"),"In invalidity 2 following an ALD with complication, I have been arrested since October 2014. Cardif has not waste time to send me to an expert doctor. Finally he gives me an appointment, he has had my file for a month and a half .... knowing that he is su"&amp;"pposed to know that compensation is at stake ... it is I who is called to verify that he, She had received my file. She summoned me at noon !!! She does not take the vital card ..... It still exists ??? And she specializes in gerontology, I am only 48 yea"&amp;"rs old ... Ah yes she exercises in her apartment !!!!! How does he recruit their expert? In any event, I would be in surgery on November 9 and its appointment and November 7, to follow ...
")</f>
        <v>In invalidity 2 following an ALD with complication, I have been arrested since October 2014. Cardif has not waste time to send me to an expert doctor. Finally he gives me an appointment, he has had my file for a month and a half .... knowing that he is supposed to know that compensation is at stake ... it is I who is called to verify that he, She had received my file. She summoned me at noon !!! She does not take the vital card ..... It still exists ??? And she specializes in gerontology, I am only 48 years old ... Ah yes she exercises in her apartment !!!!! How does he recruit their expert? In any event, I would be in surgery on November 9 and its appointment and November 7, to follow ...
</v>
      </c>
    </row>
    <row r="666" ht="15.75" customHeight="1">
      <c r="B666" s="2" t="s">
        <v>1930</v>
      </c>
      <c r="C666" s="2" t="s">
        <v>1931</v>
      </c>
      <c r="D666" s="2" t="s">
        <v>1786</v>
      </c>
      <c r="E666" s="2" t="s">
        <v>1325</v>
      </c>
      <c r="F666" s="2" t="s">
        <v>15</v>
      </c>
      <c r="G666" s="2" t="s">
        <v>1932</v>
      </c>
      <c r="H666" s="2" t="s">
        <v>106</v>
      </c>
      <c r="I666" s="2" t="str">
        <f>IFERROR(__xludf.DUMMYFUNCTION("GOOGLETRANSLATE(C666,""fr"",""en"")"),"Not bad, very very bad, Credit Insurance Plus a Cetelem Cardif Insurance Guarantee accident The 2 insurances must be triggered on a Category 2 disability or disability, which was reconfirmed at Cetelem which can do nothing, the decition of refusal Cardive"&amp;" care, refusal without explanation, only thing to say send a letter of protest, pure and hard in all its splendor, 0 star, to flee")</f>
        <v>Not bad, very very bad, Credit Insurance Plus a Cetelem Cardif Insurance Guarantee accident The 2 insurances must be triggered on a Category 2 disability or disability, which was reconfirmed at Cetelem which can do nothing, the decition of refusal Cardive care, refusal without explanation, only thing to say send a letter of protest, pure and hard in all its splendor, 0 star, to flee</v>
      </c>
    </row>
    <row r="667" ht="15.75" customHeight="1">
      <c r="B667" s="2" t="s">
        <v>1933</v>
      </c>
      <c r="C667" s="2" t="s">
        <v>1934</v>
      </c>
      <c r="D667" s="2" t="s">
        <v>1786</v>
      </c>
      <c r="E667" s="2" t="s">
        <v>1325</v>
      </c>
      <c r="F667" s="2" t="s">
        <v>15</v>
      </c>
      <c r="G667" s="2" t="s">
        <v>109</v>
      </c>
      <c r="H667" s="2" t="s">
        <v>110</v>
      </c>
      <c r="I667" s="2" t="str">
        <f>IFERROR(__xludf.DUMMYFUNCTION("GOOGLETRANSLATE(C667,""fr"",""en"")"),"Hello, I have a mortgage at Cardif and I was in sickness from 08/09/17 to 12/31/16 then I went into a 2nd category disability by the decision of my doctors and the security since 01 /11/16 Cardif tells me that my rights end on 08/09/17 and that I have to "&amp;"pass an expert. Despite the letters from my doctor of a teacher and my psychiatrist indicating that I had suffered 3 operations in one year including a part of the intestine that I was not able to resume work my shrink said that I had severe depression an"&amp;"d that I had to return to the psychiatric hospital in September 2017 Day hospital for a minimum duration of three months renewable cardif decided to stop compensation because they decided that my incapacity rate was By 66 °/° how when in security I am at "&amp;"66 percent and that the MDPH gives me up to 75 percent it is too easy my mortgage goes until December 2022 I still have 5 years to pay How will I do I will lose everything at 5 years at the end I am sick of the specialists specifies it all this is added t"&amp;"o my state of health I can no longer how can they make such a decision when doctors their their specify by mail.")</f>
        <v>Hello, I have a mortgage at Cardif and I was in sickness from 08/09/17 to 12/31/16 then I went into a 2nd category disability by the decision of my doctors and the security since 01 /11/16 Cardif tells me that my rights end on 08/09/17 and that I have to pass an expert. Despite the letters from my doctor of a teacher and my psychiatrist indicating that I had suffered 3 operations in one year including a part of the intestine that I was not able to resume work my shrink said that I had severe depression and that I had to return to the psychiatric hospital in September 2017 Day hospital for a minimum duration of three months renewable cardif decided to stop compensation because they decided that my incapacity rate was By 66 °/° how when in security I am at 66 percent and that the MDPH gives me up to 75 percent it is too easy my mortgage goes until December 2022 I still have 5 years to pay How will I do I will lose everything at 5 years at the end I am sick of the specialists specifies it all this is added to my state of health I can no longer how can they make such a decision when doctors their their specify by mail.</v>
      </c>
    </row>
    <row r="668" ht="15.75" customHeight="1">
      <c r="B668" s="2" t="s">
        <v>1935</v>
      </c>
      <c r="C668" s="2" t="s">
        <v>1936</v>
      </c>
      <c r="D668" s="2" t="s">
        <v>1786</v>
      </c>
      <c r="E668" s="2" t="s">
        <v>1325</v>
      </c>
      <c r="F668" s="2" t="s">
        <v>15</v>
      </c>
      <c r="G668" s="2" t="s">
        <v>826</v>
      </c>
      <c r="H668" s="2" t="s">
        <v>110</v>
      </c>
      <c r="I668" s="2" t="str">
        <f>IFERROR(__xludf.DUMMYFUNCTION("GOOGLETRANSLATE(C668,""fr"",""en"")"),"Deplorable customer service, of total nullity. Months to terminate your insurance after reimbursement of the loan. Samples without reason. No follow -up of the file. Great difficulties in being reimbursed. I would not recommend to my worst enemy ...")</f>
        <v>Deplorable customer service, of total nullity. Months to terminate your insurance after reimbursement of the loan. Samples without reason. No follow -up of the file. Great difficulties in being reimbursed. I would not recommend to my worst enemy ...</v>
      </c>
    </row>
    <row r="669" ht="15.75" customHeight="1">
      <c r="B669" s="2" t="s">
        <v>1937</v>
      </c>
      <c r="C669" s="2" t="s">
        <v>1938</v>
      </c>
      <c r="D669" s="2" t="s">
        <v>1786</v>
      </c>
      <c r="E669" s="2" t="s">
        <v>1325</v>
      </c>
      <c r="F669" s="2" t="s">
        <v>15</v>
      </c>
      <c r="G669" s="2" t="s">
        <v>447</v>
      </c>
      <c r="H669" s="2" t="s">
        <v>110</v>
      </c>
      <c r="I669" s="2" t="str">
        <f>IFERROR(__xludf.DUMMYFUNCTION("GOOGLETRANSLATE(C669,""fr"",""en"")"),"Hello my parents subscribed to the borrower warranty with Cardif in March 2016, at the time no illness neither for my father or for my mother (no health questionnaires either was asked), unfortunately my dad died Last May of a nasty bacteria. We sent the "&amp;"documents to Cadif whose certificate from the hospital saying that my dad was hospitalized for this disease in April 2017. The expert's response was categorical, he did not will not take care of the loan. What is the use of this assurance in the event of "&amp;"death at all at all, as much to take nothing at all .Theable and disgusting.")</f>
        <v>Hello my parents subscribed to the borrower warranty with Cardif in March 2016, at the time no illness neither for my father or for my mother (no health questionnaires either was asked), unfortunately my dad died Last May of a nasty bacteria. We sent the documents to Cadif whose certificate from the hospital saying that my dad was hospitalized for this disease in April 2017. The expert's response was categorical, he did not will not take care of the loan. What is the use of this assurance in the event of death at all at all, as much to take nothing at all .Theable and disgusting.</v>
      </c>
    </row>
    <row r="670" ht="15.75" customHeight="1">
      <c r="B670" s="2" t="s">
        <v>1939</v>
      </c>
      <c r="C670" s="2" t="s">
        <v>1940</v>
      </c>
      <c r="D670" s="2" t="s">
        <v>1786</v>
      </c>
      <c r="E670" s="2" t="s">
        <v>1325</v>
      </c>
      <c r="F670" s="2" t="s">
        <v>15</v>
      </c>
      <c r="G670" s="2" t="s">
        <v>1022</v>
      </c>
      <c r="H670" s="2" t="s">
        <v>120</v>
      </c>
      <c r="I670" s="2" t="str">
        <f>IFERROR(__xludf.DUMMYFUNCTION("GOOGLETRANSLATE(C670,""fr"",""en"")"),"If I had not been able to put any stars I would have done it but we are minimum a star everywhere")</f>
        <v>If I had not been able to put any stars I would have done it but we are minimum a star everywhere</v>
      </c>
    </row>
    <row r="671" ht="15.75" customHeight="1">
      <c r="B671" s="2" t="s">
        <v>1941</v>
      </c>
      <c r="C671" s="2" t="s">
        <v>1942</v>
      </c>
      <c r="D671" s="2" t="s">
        <v>1786</v>
      </c>
      <c r="E671" s="2" t="s">
        <v>1325</v>
      </c>
      <c r="F671" s="2" t="s">
        <v>15</v>
      </c>
      <c r="G671" s="2" t="s">
        <v>1943</v>
      </c>
      <c r="H671" s="2" t="s">
        <v>127</v>
      </c>
      <c r="I671" s="2" t="str">
        <f>IFERROR(__xludf.DUMMYFUNCTION("GOOGLETRANSLATE(C671,""fr"",""en"")"),"In disability category 2 and after six months of cardif approaches refuses to take care of my file because I am not in permanent and total disability within the meaning of the contract. But for six months they made me do medical certificates three times b"&amp;"y my doctor treating then send me see a doctor pay by them to confirm their refusal")</f>
        <v>In disability category 2 and after six months of cardif approaches refuses to take care of my file because I am not in permanent and total disability within the meaning of the contract. But for six months they made me do medical certificates three times by my doctor treating then send me see a doctor pay by them to confirm their refusal</v>
      </c>
    </row>
    <row r="672" ht="15.75" customHeight="1">
      <c r="B672" s="2" t="s">
        <v>1944</v>
      </c>
      <c r="C672" s="2" t="s">
        <v>1945</v>
      </c>
      <c r="D672" s="2" t="s">
        <v>1786</v>
      </c>
      <c r="E672" s="2" t="s">
        <v>1325</v>
      </c>
      <c r="F672" s="2" t="s">
        <v>15</v>
      </c>
      <c r="G672" s="2" t="s">
        <v>1946</v>
      </c>
      <c r="H672" s="2" t="s">
        <v>127</v>
      </c>
      <c r="I672" s="2" t="str">
        <f>IFERROR(__xludf.DUMMYFUNCTION("GOOGLETRANSLATE(C672,""fr"",""en"")"),"In an occupational disease since 2008, several surgical interventions taken care of under the total temporary incapacity for work in work of the activity practiced on the day of the claim since February 2009, the payments of my loan deadlines have been su"&amp;"spended since February 01, 2017 . I have the Cardive Customer Manager Service in late March He informs me, always on the phone, that I have to make an appointment with their advice doctor. RDV taken forbade for April 13, 2017, chrono consultation 15 min ."&amp;".. Question of profitability no doubt ... You can work and drive with one arm even if you are under morphine ... Still astounding firefighter, I do how without endanger the life of others.
So the questions I ask myself why the possibility of being assist"&amp;"ed by a doctor advice has not been offered to me? Why did I not receive mail on this subject? Second why their expert doctor interferes in medical treatment when his ethics prohibits him, legally that seems to me litigious? Why to date Cardif has still no"&amp;"t made its formal decision in writing which legally engages it on contractual guarantees? Apart from saving time and ... money on the suffering of patients and disabled, I do not see other things.
The dispute is transmitted to my lawyer so that the cardi"&amp;"f insurance respects these contractual commitments and the rules of procedures.")</f>
        <v>In an occupational disease since 2008, several surgical interventions taken care of under the total temporary incapacity for work in work of the activity practiced on the day of the claim since February 2009, the payments of my loan deadlines have been suspended since February 01, 2017 . I have the Cardive Customer Manager Service in late March He informs me, always on the phone, that I have to make an appointment with their advice doctor. RDV taken forbade for April 13, 2017, chrono consultation 15 min ... Question of profitability no doubt ... You can work and drive with one arm even if you are under morphine ... Still astounding firefighter, I do how without endanger the life of others.
So the questions I ask myself why the possibility of being assisted by a doctor advice has not been offered to me? Why did I not receive mail on this subject? Second why their expert doctor interferes in medical treatment when his ethics prohibits him, legally that seems to me litigious? Why to date Cardif has still not made its formal decision in writing which legally engages it on contractual guarantees? Apart from saving time and ... money on the suffering of patients and disabled, I do not see other things.
The dispute is transmitted to my lawyer so that the cardif insurance respects these contractual commitments and the rules of procedures.</v>
      </c>
    </row>
    <row r="673" ht="15.75" customHeight="1">
      <c r="B673" s="2" t="s">
        <v>1947</v>
      </c>
      <c r="C673" s="2" t="s">
        <v>1948</v>
      </c>
      <c r="D673" s="2" t="s">
        <v>1786</v>
      </c>
      <c r="E673" s="2" t="s">
        <v>1325</v>
      </c>
      <c r="F673" s="2" t="s">
        <v>15</v>
      </c>
      <c r="G673" s="2" t="s">
        <v>1949</v>
      </c>
      <c r="H673" s="2" t="s">
        <v>460</v>
      </c>
      <c r="I673" s="2" t="str">
        <f>IFERROR(__xludf.DUMMYFUNCTION("GOOGLETRANSLATE(C673,""fr"",""en"")"),"Help ! run away. I have been paying credit insurance for 3 years. On November 15, 2016 I lost my job and despite my contract which indicates black on white that compensation begins 90 days after the first day of the job loss, they decided that it was the "&amp;"1st day of payment of My Pôle Emploi compensation is: 180 days. Customer service is zero: 3 times that I send the complete file. Each time this is the standard response: after in -depth study of your file ..... and each letter, the date of taking into acc"&amp;"ount is postponed this story has been going on since November. The reimbursements should have started in February and I am now asked to wait until May 25 to ..... Make my request for reimbursement. Properly scandalous")</f>
        <v>Help ! run away. I have been paying credit insurance for 3 years. On November 15, 2016 I lost my job and despite my contract which indicates black on white that compensation begins 90 days after the first day of the job loss, they decided that it was the 1st day of payment of My Pôle Emploi compensation is: 180 days. Customer service is zero: 3 times that I send the complete file. Each time this is the standard response: after in -depth study of your file ..... and each letter, the date of taking into account is postponed this story has been going on since November. The reimbursements should have started in February and I am now asked to wait until May 25 to ..... Make my request for reimbursement. Properly scandalous</v>
      </c>
    </row>
    <row r="674" ht="15.75" customHeight="1">
      <c r="B674" s="2" t="s">
        <v>1950</v>
      </c>
      <c r="C674" s="2" t="s">
        <v>1951</v>
      </c>
      <c r="D674" s="2" t="s">
        <v>1786</v>
      </c>
      <c r="E674" s="2" t="s">
        <v>1325</v>
      </c>
      <c r="F674" s="2" t="s">
        <v>15</v>
      </c>
      <c r="G674" s="2" t="s">
        <v>1952</v>
      </c>
      <c r="H674" s="2" t="s">
        <v>131</v>
      </c>
      <c r="I674" s="2" t="str">
        <f>IFERROR(__xludf.DUMMYFUNCTION("GOOGLETRANSLATE(C674,""fr"",""en"")"),"Extremely disappointed with this insurance !! Currently in disability 2nd cathegie following a long illness and always under extremely heavy and very disabling treatment, Cardif has just meant me (after I met an expert doctor who did not even bother to os"&amp;"cillate) that My loan deadlines were no longer supported. I am outraged !! Also, I do not intend to stop there !!")</f>
        <v>Extremely disappointed with this insurance !! Currently in disability 2nd cathegie following a long illness and always under extremely heavy and very disabling treatment, Cardif has just meant me (after I met an expert doctor who did not even bother to oscillate) that My loan deadlines were no longer supported. I am outraged !! Also, I do not intend to stop there !!</v>
      </c>
    </row>
    <row r="675" ht="15.75" customHeight="1">
      <c r="B675" s="2" t="s">
        <v>1953</v>
      </c>
      <c r="C675" s="2" t="s">
        <v>1954</v>
      </c>
      <c r="D675" s="2" t="s">
        <v>1786</v>
      </c>
      <c r="E675" s="2" t="s">
        <v>1325</v>
      </c>
      <c r="F675" s="2" t="s">
        <v>15</v>
      </c>
      <c r="G675" s="2" t="s">
        <v>1955</v>
      </c>
      <c r="H675" s="2" t="s">
        <v>131</v>
      </c>
      <c r="I675" s="2" t="str">
        <f>IFERROR(__xludf.DUMMYFUNCTION("GOOGLETRANSLATE(C675,""fr"",""en"")"),"My loan has been granted since 02/17/2017
No cardif response for insurance
Withdrawal period for refusal of loan exceeded
No response from the customer service, when you are not rotting on the phone trying to know what's going on .......
Disaster
Ang"&amp;"uish
Cardif - How to contact you ??????
              - How to unlock the situation ???")</f>
        <v>My loan has been granted since 02/17/2017
No cardif response for insurance
Withdrawal period for refusal of loan exceeded
No response from the customer service, when you are not rotting on the phone trying to know what's going on .......
Disaster
Anguish
Cardif - How to contact you ??????
              - How to unlock the situation ???</v>
      </c>
    </row>
    <row r="676" ht="15.75" customHeight="1">
      <c r="B676" s="2" t="s">
        <v>1956</v>
      </c>
      <c r="C676" s="2" t="s">
        <v>1957</v>
      </c>
      <c r="D676" s="2" t="s">
        <v>1786</v>
      </c>
      <c r="E676" s="2" t="s">
        <v>1325</v>
      </c>
      <c r="F676" s="2" t="s">
        <v>15</v>
      </c>
      <c r="G676" s="2" t="s">
        <v>1958</v>
      </c>
      <c r="H676" s="2" t="s">
        <v>836</v>
      </c>
      <c r="I676" s="2" t="str">
        <f>IFERROR(__xludf.DUMMYFUNCTION("GOOGLETRANSLATE(C676,""fr"",""en"")"),"Good morning ! A real hassle to be compensated; A lamentable customer service that tells anything; I am ensured that we have received my documents well that the file is complete that we send the payment to Cetelem and shortly after Ahhhhhh Nonnnnnn is ref"&amp;"used; I spend my days recalling I insist because in the meantime the recovery service harasses you; I am answered madam is a refusal notification error within 10 days we send the check; Again, there is a missing 1 document to pay; No, but it's great anyth"&amp;"ing !; No seriousness; No advisers having the same version; Each service returns the ball; No one can reach anyone; it's intolerable ; pitiful in the seriousness of managing files which nevertheless deserve perfect rigorous management; When I am told Mada"&amp;"me reassure you the file is complete we send payment we do not have to recall to start from scratch; It's scandalous ; But even if this is exhausting and I see that other people are victims of this so bad service should be let go;")</f>
        <v>Good morning ! A real hassle to be compensated; A lamentable customer service that tells anything; I am ensured that we have received my documents well that the file is complete that we send the payment to Cetelem and shortly after Ahhhhhh Nonnnnnn is refused; I spend my days recalling I insist because in the meantime the recovery service harasses you; I am answered madam is a refusal notification error within 10 days we send the check; Again, there is a missing 1 document to pay; No, but it's great anything !; No seriousness; No advisers having the same version; Each service returns the ball; No one can reach anyone; it's intolerable ; pitiful in the seriousness of managing files which nevertheless deserve perfect rigorous management; When I am told Madame reassure you the file is complete we send payment we do not have to recall to start from scratch; It's scandalous ; But even if this is exhausting and I see that other people are victims of this so bad service should be let go;</v>
      </c>
    </row>
    <row r="677" ht="15.75" customHeight="1">
      <c r="B677" s="2" t="s">
        <v>1959</v>
      </c>
      <c r="C677" s="2" t="s">
        <v>1960</v>
      </c>
      <c r="D677" s="2" t="s">
        <v>1786</v>
      </c>
      <c r="E677" s="2" t="s">
        <v>1325</v>
      </c>
      <c r="F677" s="2" t="s">
        <v>15</v>
      </c>
      <c r="G677" s="2" t="s">
        <v>1961</v>
      </c>
      <c r="H677" s="2" t="s">
        <v>836</v>
      </c>
      <c r="I677" s="2" t="str">
        <f>IFERROR(__xludf.DUMMYFUNCTION("GOOGLETRANSLATE(C677,""fr"",""en"")"),"Flee .... especially do not waste your time with cardif especially if health problems. Impossibility of having an answer after more than a month and a half of file processing. Different oral repository with each phone call. Lost compromise loan refused be"&amp;"cause no response")</f>
        <v>Flee .... especially do not waste your time with cardif especially if health problems. Impossibility of having an answer after more than a month and a half of file processing. Different oral repository with each phone call. Lost compromise loan refused because no response</v>
      </c>
    </row>
    <row r="678" ht="15.75" customHeight="1">
      <c r="B678" s="2" t="s">
        <v>1962</v>
      </c>
      <c r="C678" s="2" t="s">
        <v>1963</v>
      </c>
      <c r="D678" s="2" t="s">
        <v>1786</v>
      </c>
      <c r="E678" s="2" t="s">
        <v>1325</v>
      </c>
      <c r="F678" s="2" t="s">
        <v>15</v>
      </c>
      <c r="G678" s="2" t="s">
        <v>1964</v>
      </c>
      <c r="H678" s="2" t="s">
        <v>836</v>
      </c>
      <c r="I678" s="2" t="str">
        <f>IFERROR(__xludf.DUMMYFUNCTION("GOOGLETRANSLATE(C678,""fr"",""en"")"),"Hello, my husband being in sickness in August, after several interventions, we send TS the non -stop requests in time, as a result this stopped the outbursts of the stop, to date Insurance still not taken into account the sets, while ts our other creancke"&amp;"rs, who have exactly demanded the; same papers as cardif, a100%house loan, ready work. These are the only ones to date hanging over again and again, asking us for a paper, 1 month, another paper the other month already sent, it is endless, Cetelem harass "&amp;"us, threatening us to take our cars ect, and are Covering, we do not understand. So that the Papers requests they have them! It's been 7 months that it drags !!! when the house creance should have been the most painful at the papers level and not !!! what"&amp;" should we do Engage a procedure. We have the impression of being bad people, when you work with your life, sleeping in the night, to be harassed by this threatening us, because they do not have taken up the sets and now we are summoning to reimburse , fo"&amp;"r us not having news from the Creancer we thought that it was good, like our other Creanckers who were taken care of, Cardif is the only one !! We have received no preatable paper, nothing of Cetelem in 7 months, and ask us to pay! We do what we sell our "&amp;"house, because Cardif drags again and again!")</f>
        <v>Hello, my husband being in sickness in August, after several interventions, we send TS the non -stop requests in time, as a result this stopped the outbursts of the stop, to date Insurance still not taken into account the sets, while ts our other creanckers, who have exactly demanded the; same papers as cardif, a100%house loan, ready work. These are the only ones to date hanging over again and again, asking us for a paper, 1 month, another paper the other month already sent, it is endless, Cetelem harass us, threatening us to take our cars ect, and are Covering, we do not understand. So that the Papers requests they have them! It's been 7 months that it drags !!! when the house creance should have been the most painful at the papers level and not !!! what should we do Engage a procedure. We have the impression of being bad people, when you work with your life, sleeping in the night, to be harassed by this threatening us, because they do not have taken up the sets and now we are summoning to reimburse , for us not having news from the Creancer we thought that it was good, like our other Creanckers who were taken care of, Cardif is the only one !! We have received no preatable paper, nothing of Cetelem in 7 months, and ask us to pay! We do what we sell our house, because Cardif drags again and again!</v>
      </c>
    </row>
    <row r="679" ht="15.75" customHeight="1">
      <c r="B679" s="2" t="s">
        <v>1965</v>
      </c>
      <c r="C679" s="2" t="s">
        <v>1966</v>
      </c>
      <c r="D679" s="2" t="s">
        <v>1786</v>
      </c>
      <c r="E679" s="2" t="s">
        <v>1325</v>
      </c>
      <c r="F679" s="2" t="s">
        <v>15</v>
      </c>
      <c r="G679" s="2" t="s">
        <v>1037</v>
      </c>
      <c r="H679" s="2" t="s">
        <v>138</v>
      </c>
      <c r="I679" s="2" t="str">
        <f>IFERROR(__xludf.DUMMYFUNCTION("GOOGLETRANSLATE(C679,""fr"",""en"")"),"I completed a file after checking that I could do it because my sick case was well on the proposed guarantees.
To my surprise, they refused the file invoking one of the clauses of exclusion from the contract without going further despite my reclamations."&amp;" They never deigned to answer.")</f>
        <v>I completed a file after checking that I could do it because my sick case was well on the proposed guarantees.
To my surprise, they refused the file invoking one of the clauses of exclusion from the contract without going further despite my reclamations. They never deigned to answer.</v>
      </c>
    </row>
    <row r="680" ht="15.75" customHeight="1">
      <c r="B680" s="2" t="s">
        <v>1967</v>
      </c>
      <c r="C680" s="2" t="s">
        <v>1968</v>
      </c>
      <c r="D680" s="2" t="s">
        <v>1786</v>
      </c>
      <c r="E680" s="2" t="s">
        <v>1325</v>
      </c>
      <c r="F680" s="2" t="s">
        <v>15</v>
      </c>
      <c r="G680" s="2" t="s">
        <v>1040</v>
      </c>
      <c r="H680" s="2" t="s">
        <v>138</v>
      </c>
      <c r="I680" s="2" t="str">
        <f>IFERROR(__xludf.DUMMYFUNCTION("GOOGLETRANSLATE(C680,""fr"",""en"")"),"The processing of my file was a bit long after I am not alone but very good interlocutor to customer service especially the complaint service where they really were listening to my recalled as I asked them to know the progress of My file so I decided to p"&amp;"ut my opinion because there is not only negative at Cardif I always was very well received by phone")</f>
        <v>The processing of my file was a bit long after I am not alone but very good interlocutor to customer service especially the complaint service where they really were listening to my recalled as I asked them to know the progress of My file so I decided to put my opinion because there is not only negative at Cardif I always was very well received by phone</v>
      </c>
    </row>
    <row r="681" ht="15.75" customHeight="1">
      <c r="B681" s="2" t="s">
        <v>1969</v>
      </c>
      <c r="C681" s="2" t="s">
        <v>1970</v>
      </c>
      <c r="D681" s="2" t="s">
        <v>1786</v>
      </c>
      <c r="E681" s="2" t="s">
        <v>1325</v>
      </c>
      <c r="F681" s="2" t="s">
        <v>15</v>
      </c>
      <c r="G681" s="2" t="s">
        <v>1971</v>
      </c>
      <c r="H681" s="2" t="s">
        <v>469</v>
      </c>
      <c r="I681" s="2" t="str">
        <f>IFERROR(__xludf.DUMMYFUNCTION("GOOGLETRANSLATE(C681,""fr"",""en"")"),"Hello, Following breast cancer I was put into disability category and unfit for the resumption of work after 3 years of care by cardif and consultation with an expert doctor they decided to no longer take care of me . So I challenged (AR letter) and reque"&amp;"sted the medical report. I received a letter from Cardif yesterday or they ask me to take an expert doctor at my expense in order to fill out a questionnaire (a real cloth, photocopies with error on date of work stopper, it is not serious). How could the "&amp;"doctor be able to judge my 3 years of illness in 10 minutes and more without having had the report of my oncologist ??? As for the BNP what is the point of having an advisor !!!! I'm angry, always fighting, justifying myself, I don't know what to do cordi"&amp;"ally")</f>
        <v>Hello, Following breast cancer I was put into disability category and unfit for the resumption of work after 3 years of care by cardif and consultation with an expert doctor they decided to no longer take care of me . So I challenged (AR letter) and requested the medical report. I received a letter from Cardif yesterday or they ask me to take an expert doctor at my expense in order to fill out a questionnaire (a real cloth, photocopies with error on date of work stopper, it is not serious). How could the doctor be able to judge my 3 years of illness in 10 minutes and more without having had the report of my oncologist ??? As for the BNP what is the point of having an advisor !!!! I'm angry, always fighting, justifying myself, I don't know what to do cordially</v>
      </c>
    </row>
    <row r="682" ht="15.75" customHeight="1">
      <c r="B682" s="2" t="s">
        <v>1972</v>
      </c>
      <c r="C682" s="2" t="s">
        <v>1973</v>
      </c>
      <c r="D682" s="2" t="s">
        <v>1786</v>
      </c>
      <c r="E682" s="2" t="s">
        <v>1325</v>
      </c>
      <c r="F682" s="2" t="s">
        <v>15</v>
      </c>
      <c r="G682" s="2" t="s">
        <v>1974</v>
      </c>
      <c r="H682" s="2" t="s">
        <v>145</v>
      </c>
      <c r="I682" s="2" t="str">
        <f>IFERROR(__xludf.DUMMYFUNCTION("GOOGLETRANSLATE(C682,""fr"",""en"")"),"Incompetent customer service. 15 working days to process a document.
 When they haven't lost it. I am at 30 working days and still not reimbursed in December after 5 calls. Only answer ""We make a recovery from the management service. No response in writ"&amp;"ing. LAMENTABLE !!!!!!")</f>
        <v>Incompetent customer service. 15 working days to process a document.
 When they haven't lost it. I am at 30 working days and still not reimbursed in December after 5 calls. Only answer "We make a recovery from the management service. No response in writing. LAMENTABLE !!!!!!</v>
      </c>
    </row>
    <row r="683" ht="15.75" customHeight="1">
      <c r="B683" s="2" t="s">
        <v>1975</v>
      </c>
      <c r="C683" s="2" t="s">
        <v>1976</v>
      </c>
      <c r="D683" s="2" t="s">
        <v>1977</v>
      </c>
      <c r="E683" s="2" t="s">
        <v>1325</v>
      </c>
      <c r="F683" s="2" t="s">
        <v>15</v>
      </c>
      <c r="G683" s="2" t="s">
        <v>1978</v>
      </c>
      <c r="H683" s="2" t="s">
        <v>153</v>
      </c>
      <c r="I683" s="2" t="str">
        <f>IFERROR(__xludf.DUMMYFUNCTION("GOOGLETRANSLATE(C683,""fr"",""en"")"),"I have reimbursed my loan in July 2021. To date, the insurer Caci continues the samples from my LCL account despite my request from Crédit Lyonnais to stop these samples.")</f>
        <v>I have reimbursed my loan in July 2021. To date, the insurer Caci continues the samples from my LCL account despite my request from Crédit Lyonnais to stop these samples.</v>
      </c>
    </row>
    <row r="684" ht="15.75" customHeight="1">
      <c r="B684" s="2" t="s">
        <v>1979</v>
      </c>
      <c r="C684" s="2" t="s">
        <v>1980</v>
      </c>
      <c r="D684" s="2" t="s">
        <v>1977</v>
      </c>
      <c r="E684" s="2" t="s">
        <v>1325</v>
      </c>
      <c r="F684" s="2" t="s">
        <v>15</v>
      </c>
      <c r="G684" s="2" t="s">
        <v>1339</v>
      </c>
      <c r="H684" s="2" t="s">
        <v>160</v>
      </c>
      <c r="I684" s="2" t="str">
        <f>IFERROR(__xludf.DUMMYFUNCTION("GOOGLETRANSLATE(C684,""fr"",""en"")"),"After an accident at work, no reimbursement of monthly payments with Caci LCL Loan Load mortgage because as if by chance my injuries are not taken into account !!!! Stop validated by the CPAM and CHU doctor !!! Such a shame!!")</f>
        <v>After an accident at work, no reimbursement of monthly payments with Caci LCL Loan Load mortgage because as if by chance my injuries are not taken into account !!!! Stop validated by the CPAM and CHU doctor !!! Such a shame!!</v>
      </c>
    </row>
    <row r="685" ht="15.75" customHeight="1">
      <c r="B685" s="2" t="s">
        <v>1981</v>
      </c>
      <c r="C685" s="2" t="s">
        <v>1982</v>
      </c>
      <c r="D685" s="2" t="s">
        <v>1977</v>
      </c>
      <c r="E685" s="2" t="s">
        <v>1325</v>
      </c>
      <c r="F685" s="2" t="s">
        <v>15</v>
      </c>
      <c r="G685" s="2" t="s">
        <v>866</v>
      </c>
      <c r="H685" s="2" t="s">
        <v>172</v>
      </c>
      <c r="I685" s="2" t="str">
        <f>IFERROR(__xludf.DUMMYFUNCTION("GOOGLETRANSLATE(C685,""fr"",""en"")"),"Hello Stop since December because back problem. After exams Infiltration Hospitalization 5 days. They say who do not take into account because I have no tumor or a level fracture of the column. After all that is the exams o reveal 2 discs of completely us"&amp;"e and ki touches the spinal cord. Namely that I have acute rheumatism and I pass it. Already in 2018 following a cancer it was already complicated to be worth your rights. My doctor gave me a certificate to tell them in the Incapicitee to work. I see a ne"&amp;"urosurgeon next month. A doctor's advice of the CPAM ranks me in disability 2.dc la I think who will have more apologies. It is tiring administrative papers especially when physically it's not great. Always looking for the little beast so that the insured"&amp;"s dropped.")</f>
        <v>Hello Stop since December because back problem. After exams Infiltration Hospitalization 5 days. They say who do not take into account because I have no tumor or a level fracture of the column. After all that is the exams o reveal 2 discs of completely use and ki touches the spinal cord. Namely that I have acute rheumatism and I pass it. Already in 2018 following a cancer it was already complicated to be worth your rights. My doctor gave me a certificate to tell them in the Incapicitee to work. I see a neurosurgeon next month. A doctor's advice of the CPAM ranks me in disability 2.dc la I think who will have more apologies. It is tiring administrative papers especially when physically it's not great. Always looking for the little beast so that the insureds dropped.</v>
      </c>
    </row>
    <row r="686" ht="15.75" customHeight="1">
      <c r="B686" s="2" t="s">
        <v>1983</v>
      </c>
      <c r="C686" s="2" t="s">
        <v>1984</v>
      </c>
      <c r="D686" s="2" t="s">
        <v>1977</v>
      </c>
      <c r="E686" s="2" t="s">
        <v>1325</v>
      </c>
      <c r="F686" s="2" t="s">
        <v>15</v>
      </c>
      <c r="G686" s="2" t="s">
        <v>1434</v>
      </c>
      <c r="H686" s="2" t="s">
        <v>172</v>
      </c>
      <c r="I686" s="2" t="str">
        <f>IFERROR(__xludf.DUMMYFUNCTION("GOOGLETRANSLATE(C686,""fr"",""en"")"),"It's been 6 months since I asked to change insurance because I pay extremely expensive and always lacked a paper so that the new insurance is suitable. In addition I have just learned that he does not reimburse the past 6 months or I had asked for my chan"&amp;"ge of insurance which was accepted late, especially to take the maximum before my change with the new insurance. A shame ... to flee")</f>
        <v>It's been 6 months since I asked to change insurance because I pay extremely expensive and always lacked a paper so that the new insurance is suitable. In addition I have just learned that he does not reimburse the past 6 months or I had asked for my change of insurance which was accepted late, especially to take the maximum before my change with the new insurance. A shame ... to flee</v>
      </c>
    </row>
    <row r="687" ht="15.75" customHeight="1">
      <c r="B687" s="2" t="s">
        <v>1985</v>
      </c>
      <c r="C687" s="2" t="s">
        <v>1986</v>
      </c>
      <c r="D687" s="2" t="s">
        <v>1977</v>
      </c>
      <c r="E687" s="2" t="s">
        <v>1325</v>
      </c>
      <c r="F687" s="2" t="s">
        <v>15</v>
      </c>
      <c r="G687" s="2" t="s">
        <v>1469</v>
      </c>
      <c r="H687" s="2" t="s">
        <v>496</v>
      </c>
      <c r="I687" s="2" t="str">
        <f>IFERROR(__xludf.DUMMYFUNCTION("GOOGLETRANSLATE(C687,""fr"",""en"")"),"Here we come back to the time of passenger pigeons! Sending documents only by post. So naturally letters get lost (too easy). He requests additional parts every 15 days. For a broken ankle: start of the file in January and still lacks parts. The televisio"&amp;"nal cars are not all on the same wavelength: once they give me the missing pieces (I am also the wife assured at home for the same file) another time because I am not concerned. In short to flee")</f>
        <v>Here we come back to the time of passenger pigeons! Sending documents only by post. So naturally letters get lost (too easy). He requests additional parts every 15 days. For a broken ankle: start of the file in January and still lacks parts. The televisional cars are not all on the same wavelength: once they give me the missing pieces (I am also the wife assured at home for the same file) another time because I am not concerned. In short to flee</v>
      </c>
    </row>
    <row r="688" ht="15.75" customHeight="1">
      <c r="B688" s="2" t="s">
        <v>1987</v>
      </c>
      <c r="C688" s="2" t="s">
        <v>1988</v>
      </c>
      <c r="D688" s="2" t="s">
        <v>1977</v>
      </c>
      <c r="E688" s="2" t="s">
        <v>1325</v>
      </c>
      <c r="F688" s="2" t="s">
        <v>15</v>
      </c>
      <c r="G688" s="2" t="s">
        <v>1989</v>
      </c>
      <c r="H688" s="2" t="s">
        <v>204</v>
      </c>
      <c r="I688" s="2" t="str">
        <f>IFERROR(__xludf.DUMMYFUNCTION("GOOGLETRANSLATE(C688,""fr"",""en"")"),"To flee without hesitation no respect for customer files
Refuses to take charge of our file due to a work accident of more than 1 year")</f>
        <v>To flee without hesitation no respect for customer files
Refuses to take charge of our file due to a work accident of more than 1 year</v>
      </c>
    </row>
    <row r="689" ht="15.75" customHeight="1">
      <c r="B689" s="2" t="s">
        <v>1990</v>
      </c>
      <c r="C689" s="2" t="s">
        <v>1991</v>
      </c>
      <c r="D689" s="2" t="s">
        <v>1977</v>
      </c>
      <c r="E689" s="2" t="s">
        <v>1325</v>
      </c>
      <c r="F689" s="2" t="s">
        <v>15</v>
      </c>
      <c r="G689" s="2" t="s">
        <v>276</v>
      </c>
      <c r="H689" s="2" t="s">
        <v>277</v>
      </c>
      <c r="I689" s="2" t="str">
        <f>IFERROR(__xludf.DUMMYFUNCTION("GOOGLETRANSLATE(C689,""fr"",""en"")"),"I was forced to take CACI insurance borrower at LCL
We have been trying for 6 months to change this insurance. The LCL has accepted substitution and we continue to be taken Caci Imagine 2 insurances each month is simply shameful")</f>
        <v>I was forced to take CACI insurance borrower at LCL
We have been trying for 6 months to change this insurance. The LCL has accepted substitution and we continue to be taken Caci Imagine 2 insurances each month is simply shameful</v>
      </c>
    </row>
    <row r="690" ht="15.75" customHeight="1">
      <c r="B690" s="2" t="s">
        <v>1992</v>
      </c>
      <c r="C690" s="2" t="s">
        <v>1993</v>
      </c>
      <c r="D690" s="2" t="s">
        <v>1977</v>
      </c>
      <c r="E690" s="2" t="s">
        <v>1325</v>
      </c>
      <c r="F690" s="2" t="s">
        <v>15</v>
      </c>
      <c r="G690" s="2" t="s">
        <v>328</v>
      </c>
      <c r="H690" s="2" t="s">
        <v>328</v>
      </c>
      <c r="I690" s="2" t="str">
        <f>IFERROR(__xludf.DUMMYFUNCTION("GOOGLETRANSLATE(C690,""fr"",""en"")"),"Fortunately, I did not subscribe to this insurance but I noticed that it was very aggressive in their communication: 2 letters per week sent from the first contacts and file filled with the LCL advisor. For a type 2 diabetes, stabilized, they have doubled"&amp;" the insurance premium as if I was going to die in less than ten years. This is new to me when I am a business manager so my job is not very painful which could have been an aggravating factor. To flee.")</f>
        <v>Fortunately, I did not subscribe to this insurance but I noticed that it was very aggressive in their communication: 2 letters per week sent from the first contacts and file filled with the LCL advisor. For a type 2 diabetes, stabilized, they have doubled the insurance premium as if I was going to die in less than ten years. This is new to me when I am a business manager so my job is not very painful which could have been an aggravating factor. To flee.</v>
      </c>
    </row>
    <row r="691" ht="15.75" customHeight="1">
      <c r="B691" s="2" t="s">
        <v>1994</v>
      </c>
      <c r="C691" s="2" t="s">
        <v>1995</v>
      </c>
      <c r="D691" s="2" t="s">
        <v>1977</v>
      </c>
      <c r="E691" s="2" t="s">
        <v>1325</v>
      </c>
      <c r="F691" s="2" t="s">
        <v>15</v>
      </c>
      <c r="G691" s="2" t="s">
        <v>1996</v>
      </c>
      <c r="H691" s="2" t="s">
        <v>21</v>
      </c>
      <c r="I691" s="2" t="str">
        <f>IFERROR(__xludf.DUMMYFUNCTION("GOOGLETRANSLATE(C691,""fr"",""en"")"),"Very unhappy because does not want to take care of me while I am on work stoppages following surgery I provided all the documents requested")</f>
        <v>Very unhappy because does not want to take care of me while I am on work stoppages following surgery I provided all the documents requested</v>
      </c>
    </row>
    <row r="692" ht="15.75" customHeight="1">
      <c r="B692" s="2" t="s">
        <v>1997</v>
      </c>
      <c r="C692" s="2" t="s">
        <v>1998</v>
      </c>
      <c r="D692" s="2" t="s">
        <v>1999</v>
      </c>
      <c r="E692" s="2" t="s">
        <v>1325</v>
      </c>
      <c r="F692" s="2" t="s">
        <v>15</v>
      </c>
      <c r="G692" s="2" t="s">
        <v>2000</v>
      </c>
      <c r="H692" s="2" t="s">
        <v>277</v>
      </c>
      <c r="I692" s="2" t="str">
        <f>IFERROR(__xludf.DUMMYFUNCTION("GOOGLETRANSLATE(C692,""fr"",""en"")"),"This insurer refuses to continue to compensate me despite the guarantees taken for sick leave; Currently I am in legal proceedings against him; Not only are you exhausted, in ALD, but you still have to fight to assert your rights, it is inadmissible! This"&amp;" insurer must be forbidden to exercise! All the people I know have known the same refusal of compensation!")</f>
        <v>This insurer refuses to continue to compensate me despite the guarantees taken for sick leave; Currently I am in legal proceedings against him; Not only are you exhausted, in ALD, but you still have to fight to assert your rights, it is inadmissible! This insurer must be forbidden to exercise! All the people I know have known the same refusal of compensation!</v>
      </c>
    </row>
    <row r="693" ht="15.75" customHeight="1">
      <c r="B693" s="2" t="s">
        <v>2001</v>
      </c>
      <c r="C693" s="2" t="s">
        <v>2002</v>
      </c>
      <c r="D693" s="2" t="s">
        <v>1999</v>
      </c>
      <c r="E693" s="2" t="s">
        <v>1325</v>
      </c>
      <c r="F693" s="2" t="s">
        <v>15</v>
      </c>
      <c r="G693" s="2" t="s">
        <v>2003</v>
      </c>
      <c r="H693" s="2" t="s">
        <v>836</v>
      </c>
      <c r="I693" s="2" t="str">
        <f>IFERROR(__xludf.DUMMYFUNCTION("GOOGLETRANSLATE(C693,""fr"",""en"")"),"Customer for 40 years at Crédit Mutuel I made all my credits (in the month about fifteen) with them still by being convinced that I am well covered in the event of a glitch! Error, my wife is in recognized invalidity following a cerebral hemorrhage and th"&amp;"ey refuse to pay !!!! The peak of not being able to work and earning money is not enough, they are a cross painting between functional and professional incapacity in which you have to be almost to affect allowances!
Find out about this table if not one d"&amp;"ay you will have a unpleasant surprise if necessary !!!
You think you are covered in the event of loss of your abilities, so loss of your income, bin no! When it happens, you are alone in the world, today we are almost condemned to sell our accommodation"&amp;" because these people do not play their role.
Today, I am ready to set up a file and make it appear on all social networks so that future customers realize that they are not protected with ACMs !!")</f>
        <v>Customer for 40 years at Crédit Mutuel I made all my credits (in the month about fifteen) with them still by being convinced that I am well covered in the event of a glitch! Error, my wife is in recognized invalidity following a cerebral hemorrhage and they refuse to pay !!!! The peak of not being able to work and earning money is not enough, they are a cross painting between functional and professional incapacity in which you have to be almost to affect allowances!
Find out about this table if not one day you will have a unpleasant surprise if necessary !!!
You think you are covered in the event of loss of your abilities, so loss of your income, bin no! When it happens, you are alone in the world, today we are almost condemned to sell our accommodation because these people do not play their role.
Today, I am ready to set up a file and make it appear on all social networks so that future customers realize that they are not protected with ACMs !!</v>
      </c>
    </row>
    <row r="694" ht="15.75" customHeight="1">
      <c r="B694" s="2" t="s">
        <v>2004</v>
      </c>
      <c r="C694" s="2" t="s">
        <v>2005</v>
      </c>
      <c r="D694" s="2" t="s">
        <v>2006</v>
      </c>
      <c r="E694" s="2" t="s">
        <v>2007</v>
      </c>
      <c r="F694" s="2" t="s">
        <v>15</v>
      </c>
      <c r="G694" s="2" t="s">
        <v>2008</v>
      </c>
      <c r="H694" s="2" t="s">
        <v>2009</v>
      </c>
      <c r="I694" s="2" t="str">
        <f>IFERROR(__xludf.DUMMYFUNCTION("GOOGLETRANSLATE(C694,""fr"",""en"")"),"Advisers who do not respond to emails or very slowly, and who do not process requests quickly
They have been asked for a partial withdrawal for several months. Each time we have to send papers each time because we were abroad and came back to France, and"&amp;" we must postpone who we are, where we live, etc.
When they have all the papers, they no longer answer. No follow -up
1st request made for partial buyout 5 months ago and still no payment today despite the reminders
In short, if necessary, plan to ma"&amp;"ke the request 1 year in advance with AFER!
")</f>
        <v>Advisers who do not respond to emails or very slowly, and who do not process requests quickly
They have been asked for a partial withdrawal for several months. Each time we have to send papers each time because we were abroad and came back to France, and we must postpone who we are, where we live, etc.
When they have all the papers, they no longer answer. No follow -up
1st request made for partial buyout 5 months ago and still no payment today despite the reminders
In short, if necessary, plan to make the request 1 year in advance with AFER!
</v>
      </c>
    </row>
    <row r="695" ht="15.75" customHeight="1">
      <c r="B695" s="2" t="s">
        <v>2010</v>
      </c>
      <c r="C695" s="2" t="s">
        <v>2011</v>
      </c>
      <c r="D695" s="2" t="s">
        <v>2006</v>
      </c>
      <c r="E695" s="2" t="s">
        <v>2007</v>
      </c>
      <c r="F695" s="2" t="s">
        <v>15</v>
      </c>
      <c r="G695" s="2" t="s">
        <v>2012</v>
      </c>
      <c r="H695" s="2" t="s">
        <v>164</v>
      </c>
      <c r="I695" s="2" t="str">
        <f>IFERROR(__xludf.DUMMYFUNCTION("GOOGLETRANSLATE(C695,""fr"",""en"")"),"Following the death of my father in early July 2021, this company does not respond to the three emails after 3 weeks of waiting, and 10 minutes of waiting on the phone; No answer by phone")</f>
        <v>Following the death of my father in early July 2021, this company does not respond to the three emails after 3 weeks of waiting, and 10 minutes of waiting on the phone; No answer by phone</v>
      </c>
    </row>
    <row r="696" ht="15.75" customHeight="1">
      <c r="B696" s="2" t="s">
        <v>2013</v>
      </c>
      <c r="C696" s="2" t="s">
        <v>2014</v>
      </c>
      <c r="D696" s="2" t="s">
        <v>2006</v>
      </c>
      <c r="E696" s="2" t="s">
        <v>2007</v>
      </c>
      <c r="F696" s="2" t="s">
        <v>15</v>
      </c>
      <c r="G696" s="2" t="s">
        <v>2015</v>
      </c>
      <c r="H696" s="2" t="s">
        <v>194</v>
      </c>
      <c r="I696" s="2" t="str">
        <f>IFERROR(__xludf.DUMMYFUNCTION("GOOGLETRANSLATE(C696,""fr"",""en"")"),"After reading the opinions on the GIE AFER site, I am worried about the fate of a contract signed in 1994, contract compensation contract article 39.
At the beginning of February of this year, I send a letter asking for the repurchase of this contract to"&amp;" the AFER correspondent of Amiens who send me the annual statements of membership in the collective life insurance contract MONOSUPPORT AFER.I specifies that this contract has been subscribed at the time to an AFER regional delegate from the Marne.
My ma"&amp;"il remains unanswered, during September, which imperatively need these funds to pay land taxes, I contact the office of Amiens by phone who replies not having my contract in management, very little developed contract according to my correspondent, Asks me"&amp;" for supporting documents that I send by emails by promising to recall quickly, without a quick response I contact the office of Amiens who tells me having sent the file with the parts claimed and to address myself directly to the GIE AFER Rue de Châteaud"&amp;"un in Paris.
My email sent immediately to Paris, indicating the emergency character of my repurchase request has been received but to date, I still have no response.
I specify that the waiting times on the phone are very long, that by typing the number "&amp;"of the requested contract, it is not recognized and that sometimes the expectation is inappropriate.
Finally, the local correspondent, managing our personal contracts cannot intervene on this contract.
I find management quite disastrous to no longer hav"&amp;"e confidence in AFER savings.
")</f>
        <v>After reading the opinions on the GIE AFER site, I am worried about the fate of a contract signed in 1994, contract compensation contract article 39.
At the beginning of February of this year, I send a letter asking for the repurchase of this contract to the AFER correspondent of Amiens who send me the annual statements of membership in the collective life insurance contract MONOSUPPORT AFER.I specifies that this contract has been subscribed at the time to an AFER regional delegate from the Marne.
My mail remains unanswered, during September, which imperatively need these funds to pay land taxes, I contact the office of Amiens by phone who replies not having my contract in management, very little developed contract according to my correspondent, Asks me for supporting documents that I send by emails by promising to recall quickly, without a quick response I contact the office of Amiens who tells me having sent the file with the parts claimed and to address myself directly to the GIE AFER Rue de Châteaudun in Paris.
My email sent immediately to Paris, indicating the emergency character of my repurchase request has been received but to date, I still have no response.
I specify that the waiting times on the phone are very long, that by typing the number of the requested contract, it is not recognized and that sometimes the expectation is inappropriate.
Finally, the local correspondent, managing our personal contracts cannot intervene on this contract.
I find management quite disastrous to no longer have confidence in AFER savings.
</v>
      </c>
    </row>
    <row r="697" ht="15.75" customHeight="1">
      <c r="B697" s="2" t="s">
        <v>2016</v>
      </c>
      <c r="C697" s="2" t="s">
        <v>2017</v>
      </c>
      <c r="D697" s="2" t="s">
        <v>2006</v>
      </c>
      <c r="E697" s="2" t="s">
        <v>2007</v>
      </c>
      <c r="F697" s="2" t="s">
        <v>15</v>
      </c>
      <c r="G697" s="2" t="s">
        <v>613</v>
      </c>
      <c r="H697" s="2" t="s">
        <v>153</v>
      </c>
      <c r="I697" s="2" t="str">
        <f>IFERROR(__xludf.DUMMYFUNCTION("GOOGLETRANSLATE(C697,""fr"",""en"")"),"Hello, if you have a problem do not hesitate to share it in this forum because insurers follow the level of satisfaction of their customers or members, and they do not like that we say evil of their organization or deficiencies , and as if by chance we ma"&amp;"nage to adjust what was insurmountable, and they find in front of an interlocutor who defends himself, that forces them to advance for a positive result.
Thank you to those who created this forum is a great idea
Sang")</f>
        <v>Hello, if you have a problem do not hesitate to share it in this forum because insurers follow the level of satisfaction of their customers or members, and they do not like that we say evil of their organization or deficiencies , and as if by chance we manage to adjust what was insurmountable, and they find in front of an interlocutor who defends himself, that forces them to advance for a positive result.
Thank you to those who created this forum is a great idea
Sang</v>
      </c>
    </row>
    <row r="698" ht="15.75" customHeight="1">
      <c r="B698" s="2" t="s">
        <v>2018</v>
      </c>
      <c r="C698" s="2" t="s">
        <v>2019</v>
      </c>
      <c r="D698" s="2" t="s">
        <v>2006</v>
      </c>
      <c r="E698" s="2" t="s">
        <v>2007</v>
      </c>
      <c r="F698" s="2" t="s">
        <v>15</v>
      </c>
      <c r="G698" s="2" t="s">
        <v>1349</v>
      </c>
      <c r="H698" s="2" t="s">
        <v>160</v>
      </c>
      <c r="I698" s="2" t="str">
        <f>IFERROR(__xludf.DUMMYFUNCTION("GOOGLETRANSLATE(C698,""fr"",""en"")"),"Best life insurance on the market.
Low costs, attractive yields.
My advisor, Aviva agent and AFER correspondent is very responsive and allowed to have the funds within correct deadlines during redemptions made.
Thank you")</f>
        <v>Best life insurance on the market.
Low costs, attractive yields.
My advisor, Aviva agent and AFER correspondent is very responsive and allowed to have the funds within correct deadlines during redemptions made.
Thank you</v>
      </c>
    </row>
    <row r="699" ht="15.75" customHeight="1">
      <c r="B699" s="2" t="s">
        <v>2020</v>
      </c>
      <c r="C699" s="2" t="s">
        <v>2021</v>
      </c>
      <c r="D699" s="2" t="s">
        <v>2006</v>
      </c>
      <c r="E699" s="2" t="s">
        <v>2007</v>
      </c>
      <c r="F699" s="2" t="s">
        <v>15</v>
      </c>
      <c r="G699" s="2" t="s">
        <v>1413</v>
      </c>
      <c r="H699" s="2" t="s">
        <v>168</v>
      </c>
      <c r="I699" s="2" t="str">
        <f>IFERROR(__xludf.DUMMYFUNCTION("GOOGLETRANSLATE(C699,""fr"",""en"")"),"I wish to inform you of my full satisfaction concerning the management of life insurance treatment at AFER as part of a succession.
I can only note the very good follow -up of the file (regular letters and useful advice) as well as the rapid period of th"&amp;"e payment of funds.
I have always had attentive and very friendly interlocutors.
")</f>
        <v>I wish to inform you of my full satisfaction concerning the management of life insurance treatment at AFER as part of a succession.
I can only note the very good follow -up of the file (regular letters and useful advice) as well as the rapid period of the payment of funds.
I have always had attentive and very friendly interlocutors.
</v>
      </c>
    </row>
    <row r="700" ht="15.75" customHeight="1">
      <c r="B700" s="2" t="s">
        <v>2022</v>
      </c>
      <c r="C700" s="2" t="s">
        <v>2023</v>
      </c>
      <c r="D700" s="2" t="s">
        <v>2006</v>
      </c>
      <c r="E700" s="2" t="s">
        <v>2007</v>
      </c>
      <c r="F700" s="2" t="s">
        <v>15</v>
      </c>
      <c r="G700" s="2" t="s">
        <v>1202</v>
      </c>
      <c r="H700" s="2" t="s">
        <v>172</v>
      </c>
      <c r="I700" s="2" t="str">
        <f>IFERROR(__xludf.DUMMYFUNCTION("GOOGLETRANSLATE(C700,""fr"",""en"")"),"CAUTION :
The money put at home is lost if you do not take a lawyer. They constantly ask for documents that have already been sent to them. To complaints, if they respond to it, they only respond to the model letter to request documents they have had for"&amp;" months.")</f>
        <v>CAUTION :
The money put at home is lost if you do not take a lawyer. They constantly ask for documents that have already been sent to them. To complaints, if they respond to it, they only respond to the model letter to request documents they have had for months.</v>
      </c>
    </row>
    <row r="701" ht="15.75" customHeight="1">
      <c r="B701" s="2" t="s">
        <v>2024</v>
      </c>
      <c r="C701" s="2" t="s">
        <v>2025</v>
      </c>
      <c r="D701" s="2" t="s">
        <v>2006</v>
      </c>
      <c r="E701" s="2" t="s">
        <v>2007</v>
      </c>
      <c r="F701" s="2" t="s">
        <v>15</v>
      </c>
      <c r="G701" s="2" t="s">
        <v>1504</v>
      </c>
      <c r="H701" s="2" t="s">
        <v>179</v>
      </c>
      <c r="I701" s="2" t="str">
        <f>IFERROR(__xludf.DUMMYFUNCTION("GOOGLETRANSLATE(C701,""fr"",""en"")"),"No notice for the price level. On the other hand, very unhappy with their attitude because they do not meet legal deadlines to pay life insurance to beneficiaries.
They do their maximum to drag the file (by asking the necessary documents in several times"&amp;") in order to back down as much as possible the transfer to the beneficiaries.
If you do not want your beneficiaries ""rampically"" for months to reach their due I invite you to take out your life insurance elsewhere !!")</f>
        <v>No notice for the price level. On the other hand, very unhappy with their attitude because they do not meet legal deadlines to pay life insurance to beneficiaries.
They do their maximum to drag the file (by asking the necessary documents in several times) in order to back down as much as possible the transfer to the beneficiaries.
If you do not want your beneficiaries "rampically" for months to reach their due I invite you to take out your life insurance elsewhere !!</v>
      </c>
    </row>
    <row r="702" ht="15.75" customHeight="1">
      <c r="B702" s="2" t="s">
        <v>2026</v>
      </c>
      <c r="C702" s="2" t="s">
        <v>2027</v>
      </c>
      <c r="D702" s="2" t="s">
        <v>2006</v>
      </c>
      <c r="E702" s="2" t="s">
        <v>2007</v>
      </c>
      <c r="F702" s="2" t="s">
        <v>15</v>
      </c>
      <c r="G702" s="2" t="s">
        <v>877</v>
      </c>
      <c r="H702" s="2" t="s">
        <v>179</v>
      </c>
      <c r="I702" s="2" t="str">
        <f>IFERROR(__xludf.DUMMYFUNCTION("GOOGLETRANSLATE(C702,""fr"",""en"")"),"I made a total buyout on February 01, 2021 and to date I still have not my funds
Especially since I am told that you have to wait 3 weeks when with some it is much faster
At the reception she must remind me I always wait ...
I especially do not recomme"&amp;"nd this company")</f>
        <v>I made a total buyout on February 01, 2021 and to date I still have not my funds
Especially since I am told that you have to wait 3 weeks when with some it is much faster
At the reception she must remind me I always wait ...
I especially do not recommend this company</v>
      </c>
    </row>
    <row r="703" ht="15.75" customHeight="1">
      <c r="B703" s="2" t="s">
        <v>2028</v>
      </c>
      <c r="C703" s="2" t="s">
        <v>2029</v>
      </c>
      <c r="D703" s="2" t="s">
        <v>2006</v>
      </c>
      <c r="E703" s="2" t="s">
        <v>2007</v>
      </c>
      <c r="F703" s="2" t="s">
        <v>15</v>
      </c>
      <c r="G703" s="2" t="s">
        <v>2030</v>
      </c>
      <c r="H703" s="2" t="s">
        <v>204</v>
      </c>
      <c r="I703" s="2" t="str">
        <f>IFERROR(__xludf.DUMMYFUNCTION("GOOGLETRANSLATE(C703,""fr"",""en"")"),"Hello, null from null! A star because 0 impossible.
Premiums paid and despite complaints, more than a year later, still not the bonuses credited with the contracts of my husband and myself. AFER therefore robbed us of € 2,7,400 in all, without counting t"&amp;"he 2019 and 2020 interests.
We therefore reiterate our complaints from the advisor and online.
I need a takeover on these nonexistent sums on my account but well conceded by AFER. Beneficiary clauses corrected in 2019 and no news of taking into account."&amp;"
The most incompetent of my life insurers! I will have to file an appeal. Cdlt")</f>
        <v>Hello, null from null! A star because 0 impossible.
Premiums paid and despite complaints, more than a year later, still not the bonuses credited with the contracts of my husband and myself. AFER therefore robbed us of € 2,7,400 in all, without counting the 2019 and 2020 interests.
We therefore reiterate our complaints from the advisor and online.
I need a takeover on these nonexistent sums on my account but well conceded by AFER. Beneficiary clauses corrected in 2019 and no news of taking into account.
The most incompetent of my life insurers! I will have to file an appeal. Cdlt</v>
      </c>
    </row>
    <row r="704" ht="15.75" customHeight="1">
      <c r="B704" s="2" t="s">
        <v>2031</v>
      </c>
      <c r="C704" s="2" t="s">
        <v>2032</v>
      </c>
      <c r="D704" s="2" t="s">
        <v>2006</v>
      </c>
      <c r="E704" s="2" t="s">
        <v>2007</v>
      </c>
      <c r="F704" s="2" t="s">
        <v>15</v>
      </c>
      <c r="G704" s="2" t="s">
        <v>2033</v>
      </c>
      <c r="H704" s="2" t="s">
        <v>204</v>
      </c>
      <c r="I704" s="2" t="str">
        <f>IFERROR(__xludf.DUMMYFUNCTION("GOOGLETRANSLATE(C704,""fr"",""en"")"),"Earth pot against iron pot. Ha if we could give up a contract 3 see 4 days before signing it. That's why
I had an appointment at the AFER agency in my city to establish 2 life insurance contract with a different beneficiary for each contract.
By mistake"&amp;" involuntarily I signed these 2 contracts. Indeed twice I have received an SMS with a code that stipulated ""your Docusign identity confirmation code is ...."" In reality by giving these 2 codes to the advisor I signed the 2 contracts. I understood my err"&amp;"or I wrote a letter of renunciation under the dictation of the advisor, renunciation that I gave him in hand.
I searched on the net if there was another AFER agency not far, but no. So I subscribed 2 contracts elsewhere, and I welcome it.
Indeed AFER ac"&amp;"knowledged receipt of my subscriptions, then debited my account, and once my account has been awarded receipt of my two renunciations. I therefore remained a member of less than two hours and AFER took 56 days to recrete me.
We cannot put Zero Star too b"&amp;"ad. For a try it's not a master stroke, but next time I know where I should not go")</f>
        <v>Earth pot against iron pot. Ha if we could give up a contract 3 see 4 days before signing it. That's why
I had an appointment at the AFER agency in my city to establish 2 life insurance contract with a different beneficiary for each contract.
By mistake involuntarily I signed these 2 contracts. Indeed twice I have received an SMS with a code that stipulated "your Docusign identity confirmation code is ...." In reality by giving these 2 codes to the advisor I signed the 2 contracts. I understood my error I wrote a letter of renunciation under the dictation of the advisor, renunciation that I gave him in hand.
I searched on the net if there was another AFER agency not far, but no. So I subscribed 2 contracts elsewhere, and I welcome it.
Indeed AFER acknowledged receipt of my subscriptions, then debited my account, and once my account has been awarded receipt of my two renunciations. I therefore remained a member of less than two hours and AFER took 56 days to recrete me.
We cannot put Zero Star too bad. For a try it's not a master stroke, but next time I know where I should not go</v>
      </c>
    </row>
    <row r="705" ht="15.75" customHeight="1">
      <c r="B705" s="2" t="s">
        <v>2034</v>
      </c>
      <c r="C705" s="2" t="s">
        <v>2035</v>
      </c>
      <c r="D705" s="2" t="s">
        <v>2006</v>
      </c>
      <c r="E705" s="2" t="s">
        <v>2007</v>
      </c>
      <c r="F705" s="2" t="s">
        <v>15</v>
      </c>
      <c r="G705" s="2" t="s">
        <v>1212</v>
      </c>
      <c r="H705" s="2" t="s">
        <v>204</v>
      </c>
      <c r="I705" s="2" t="str">
        <f>IFERROR(__xludf.DUMMYFUNCTION("GOOGLETRANSLATE(C705,""fr"",""en"")"),"I have been a member of AFER for over 20 years
I had asked for a significant advance (€ 69,000) that I reimbursed in 2 times
During the first reimbursement, as it was a partial refund, I could only make this refund by check because it was the only possi"&amp;"bility imposed by AFER.
So I made a check for € 54,000, taking care to supply this amount on my current account- which does not bring me anything of course- so as not to be exposed. AFER took almost a month before collecting the check and placing it on m"&amp;"y account. So I lost the interests on this amount for a month.
When several weeks later, I was able to reimburse the relocation of my advance (€ 24,500) AFER informed me that this time I could make the reimbursement by withdrawal (it is AFER which takes "&amp;"the sum). They then took me € 500 too much. When I noticed it, I saw that they had decided to place these € 500 on an account unit (America actions, I think) without saying anything !!
I demanded reimbursement this sum what was done. No excuse or regret "&amp;"expressed by AFER
In fact, all the transactions described above were carried out by the St Etienne agency, which I find particularly incompetent.
If you do the operations directly online on the AFER site (in particular payments) know that FAF will manag"&amp;"e to collect the amount paid, which will only be taken into account in your account 10 days later ... the interdets n 'Being not lost for everyone ...
")</f>
        <v>I have been a member of AFER for over 20 years
I had asked for a significant advance (€ 69,000) that I reimbursed in 2 times
During the first reimbursement, as it was a partial refund, I could only make this refund by check because it was the only possibility imposed by AFER.
So I made a check for € 54,000, taking care to supply this amount on my current account- which does not bring me anything of course- so as not to be exposed. AFER took almost a month before collecting the check and placing it on my account. So I lost the interests on this amount for a month.
When several weeks later, I was able to reimburse the relocation of my advance (€ 24,500) AFER informed me that this time I could make the reimbursement by withdrawal (it is AFER which takes the sum). They then took me € 500 too much. When I noticed it, I saw that they had decided to place these € 500 on an account unit (America actions, I think) without saying anything !!
I demanded reimbursement this sum what was done. No excuse or regret expressed by AFER
In fact, all the transactions described above were carried out by the St Etienne agency, which I find particularly incompetent.
If you do the operations directly online on the AFER site (in particular payments) know that FAF will manage to collect the amount paid, which will only be taken into account in your account 10 days later ... the interdets n 'Being not lost for everyone ...
</v>
      </c>
    </row>
    <row r="706" ht="15.75" customHeight="1">
      <c r="B706" s="2" t="s">
        <v>2036</v>
      </c>
      <c r="C706" s="2" t="s">
        <v>2037</v>
      </c>
      <c r="D706" s="2" t="s">
        <v>2006</v>
      </c>
      <c r="E706" s="2" t="s">
        <v>2007</v>
      </c>
      <c r="F706" s="2" t="s">
        <v>15</v>
      </c>
      <c r="G706" s="2" t="s">
        <v>2038</v>
      </c>
      <c r="H706" s="2" t="s">
        <v>214</v>
      </c>
      <c r="I706" s="2" t="str">
        <f>IFERROR(__xludf.DUMMYFUNCTION("GOOGLETRANSLATE(C706,""fr"",""en"")"),"It's very simple, everything is fine until you want to recover your savings. I have been waiting for almost 4 months and nothing, my savings, excuses, no payment date. Even at the ""AFER consumer satisfaction service"" well named, moreover, total silence "&amp;"for 15 days. So a star is already too much")</f>
        <v>It's very simple, everything is fine until you want to recover your savings. I have been waiting for almost 4 months and nothing, my savings, excuses, no payment date. Even at the "AFER consumer satisfaction service" well named, moreover, total silence for 15 days. So a star is already too much</v>
      </c>
    </row>
    <row r="707" ht="15.75" customHeight="1">
      <c r="B707" s="2" t="s">
        <v>2039</v>
      </c>
      <c r="C707" s="2" t="s">
        <v>2040</v>
      </c>
      <c r="D707" s="2" t="s">
        <v>2006</v>
      </c>
      <c r="E707" s="2" t="s">
        <v>2007</v>
      </c>
      <c r="F707" s="2" t="s">
        <v>15</v>
      </c>
      <c r="G707" s="2" t="s">
        <v>2041</v>
      </c>
      <c r="H707" s="2" t="s">
        <v>230</v>
      </c>
      <c r="I707" s="2" t="str">
        <f>IFERROR(__xludf.DUMMYFUNCTION("GOOGLETRANSLATE(C707,""fr"",""en"")"),"The euro funds have been down for several years but no pick has been done in the side kitty which allowed the base to compensate for these decreases. Who will take advantage of monstrous sums which should have returned to savers. of AFER.")</f>
        <v>The euro funds have been down for several years but no pick has been done in the side kitty which allowed the base to compensate for these decreases. Who will take advantage of monstrous sums which should have returned to savers. of AFER.</v>
      </c>
    </row>
    <row r="708" ht="15.75" customHeight="1">
      <c r="B708" s="2" t="s">
        <v>2042</v>
      </c>
      <c r="C708" s="2" t="s">
        <v>2043</v>
      </c>
      <c r="D708" s="2" t="s">
        <v>2006</v>
      </c>
      <c r="E708" s="2" t="s">
        <v>2007</v>
      </c>
      <c r="F708" s="2" t="s">
        <v>15</v>
      </c>
      <c r="G708" s="2" t="s">
        <v>241</v>
      </c>
      <c r="H708" s="2" t="s">
        <v>242</v>
      </c>
      <c r="I708" s="2" t="str">
        <f>IFERROR(__xludf.DUMMYFUNCTION("GOOGLETRANSLATE(C708,""fr"",""en"")"),"Everything is said in the other comments to a star .... Those who put more than one star are those who did not ask for a repurchase of their savings ... He will see at that time the galley that represented .")</f>
        <v>Everything is said in the other comments to a star .... Those who put more than one star are those who did not ask for a repurchase of their savings ... He will see at that time the galley that represented .</v>
      </c>
    </row>
    <row r="709" ht="15.75" customHeight="1">
      <c r="B709" s="2" t="s">
        <v>2044</v>
      </c>
      <c r="C709" s="2" t="s">
        <v>2045</v>
      </c>
      <c r="D709" s="2" t="s">
        <v>2006</v>
      </c>
      <c r="E709" s="2" t="s">
        <v>2007</v>
      </c>
      <c r="F709" s="2" t="s">
        <v>15</v>
      </c>
      <c r="G709" s="2" t="s">
        <v>241</v>
      </c>
      <c r="H709" s="2" t="s">
        <v>242</v>
      </c>
      <c r="I709" s="2" t="str">
        <f>IFERROR(__xludf.DUMMYFUNCTION("GOOGLETRANSLATE(C709,""fr"",""en"")"),"A shame, personally beneficiary of life insurance, closed file at the end of April and to date (09/21/2020) no news !!!!!!
So beware of all, avoid afer they find it difficult to reimburse ...............")</f>
        <v>A shame, personally beneficiary of life insurance, closed file at the end of April and to date (09/21/2020) no news !!!!!!
So beware of all, avoid afer they find it difficult to reimburse ...............</v>
      </c>
    </row>
    <row r="710" ht="15.75" customHeight="1">
      <c r="B710" s="2" t="s">
        <v>2046</v>
      </c>
      <c r="C710" s="2" t="s">
        <v>2047</v>
      </c>
      <c r="D710" s="2" t="s">
        <v>2006</v>
      </c>
      <c r="E710" s="2" t="s">
        <v>2007</v>
      </c>
      <c r="F710" s="2" t="s">
        <v>15</v>
      </c>
      <c r="G710" s="2" t="s">
        <v>893</v>
      </c>
      <c r="H710" s="2" t="s">
        <v>242</v>
      </c>
      <c r="I710" s="2" t="str">
        <f>IFERROR(__xludf.DUMMYFUNCTION("GOOGLETRANSLATE(C710,""fr"",""en"")"),"I via abroad and I asked for a buy -back of my life insurance and for almost 2 months I have been in full darkness. My advisor ""I get used to it"" does not respond to emails or the phone.
My account was closed at mid August but I never received my funds"&amp;". After 17 reminders I am finally informed of a computer problem but after 1 week still no transfer made and no information or response to my emails.
Staying far from this institution The level of stress is very high especially if you need your money!
")</f>
        <v>I via abroad and I asked for a buy -back of my life insurance and for almost 2 months I have been in full darkness. My advisor "I get used to it" does not respond to emails or the phone.
My account was closed at mid August but I never received my funds. After 17 reminders I am finally informed of a computer problem but after 1 week still no transfer made and no information or response to my emails.
Staying far from this institution The level of stress is very high especially if you need your money!
</v>
      </c>
    </row>
    <row r="711" ht="15.75" customHeight="1">
      <c r="B711" s="2" t="s">
        <v>2048</v>
      </c>
      <c r="C711" s="2" t="s">
        <v>2049</v>
      </c>
      <c r="D711" s="2" t="s">
        <v>2006</v>
      </c>
      <c r="E711" s="2" t="s">
        <v>2007</v>
      </c>
      <c r="F711" s="2" t="s">
        <v>15</v>
      </c>
      <c r="G711" s="2" t="s">
        <v>2050</v>
      </c>
      <c r="H711" s="2" t="s">
        <v>242</v>
      </c>
      <c r="I711" s="2" t="str">
        <f>IFERROR(__xludf.DUMMYFUNCTION("GOOGLETRANSLATE(C711,""fr"",""en"")"),"AFER communicates an amount to be completely false on the life insurance from which I have a beneficiary (following the death of my father). No follow -up given to my recommended. No answer by phone. Does not deal with complaints. Below everything. I seiz"&amp;"ed the DGCCRF, and I will notify the AMF and the ACPR before going through a mediator. I invite everyone to do the same (read comments are eloquent!).")</f>
        <v>AFER communicates an amount to be completely false on the life insurance from which I have a beneficiary (following the death of my father). No follow -up given to my recommended. No answer by phone. Does not deal with complaints. Below everything. I seized the DGCCRF, and I will notify the AMF and the ACPR before going through a mediator. I invite everyone to do the same (read comments are eloquent!).</v>
      </c>
    </row>
    <row r="712" ht="15.75" customHeight="1">
      <c r="B712" s="2" t="s">
        <v>2051</v>
      </c>
      <c r="C712" s="2" t="s">
        <v>2052</v>
      </c>
      <c r="D712" s="2" t="s">
        <v>2006</v>
      </c>
      <c r="E712" s="2" t="s">
        <v>2007</v>
      </c>
      <c r="F712" s="2" t="s">
        <v>15</v>
      </c>
      <c r="G712" s="2" t="s">
        <v>2053</v>
      </c>
      <c r="H712" s="2" t="s">
        <v>242</v>
      </c>
      <c r="I712" s="2" t="str">
        <f>IFERROR(__xludf.DUMMYFUNCTION("GOOGLETRANSLATE(C712,""fr"",""en"")"),"AFER my nightmare since September 2019 committed an accounting error on my account after many reminders (unanswered) by email I obtained a confirmation in August 20 that the error was going to be regularized, I do not know when still not received the refu"&amp;"nd. ... no one from null and incorrect")</f>
        <v>AFER my nightmare since September 2019 committed an accounting error on my account after many reminders (unanswered) by email I obtained a confirmation in August 20 that the error was going to be regularized, I do not know when still not received the refund. ... no one from null and incorrect</v>
      </c>
    </row>
    <row r="713" ht="15.75" customHeight="1">
      <c r="B713" s="2" t="s">
        <v>2054</v>
      </c>
      <c r="C713" s="2" t="s">
        <v>2055</v>
      </c>
      <c r="D713" s="2" t="s">
        <v>2006</v>
      </c>
      <c r="E713" s="2" t="s">
        <v>2007</v>
      </c>
      <c r="F713" s="2" t="s">
        <v>15</v>
      </c>
      <c r="G713" s="2" t="s">
        <v>2053</v>
      </c>
      <c r="H713" s="2" t="s">
        <v>242</v>
      </c>
      <c r="I713" s="2" t="str">
        <f>IFERROR(__xludf.DUMMYFUNCTION("GOOGLETRANSLATE(C713,""fr"",""en"")"),"Hello,
On July 22, 2020, I joined AFER, based on its reputation for serious organization and performance. I see notable difficulties even before the first investment is made. On August 5, I challenged my advisor because I had no news from AFER. He inform"&amp;"s me that an error of spelling on my name was made on my name. On August 6, I note that my check is fired on my bank account; But I still have no access to my account on AFER. August 13, thanks to a factor that is not looking at the spelling of the names,"&amp;" I finally receive the password. I get to know my account and I note decisive errors: on the identity of the account holder and on beneficiaries . Given my age this clause is important, and a bad translation of identity is manifestly carrying difficulties"&amp;". On August 14, I see that a notice of modification of the contact details was issued. Very confident, I check the data: nothing is changed on the essential data of the contract (holder and beneficiary). I call the number on the mail. I arrive after havin"&amp;"g insisted at length to join a young woman. It changes names, and indicates that it cannot change beneficiaries. It relays my request for modification of the beneficiaries from the service. On August 15, I note that indeed the modification of the name of "&amp;"the holder is operational.
I finally received a new intake certificate on September 3, 2020 comprising the effective data of my contract finally modified.
In the previous situation:
- The contract did not belong to me: Error of surname
- The beneficia"&amp;"ries could not have access their rights (multiple errors).
I regret that it took a month to get this result. I am really disappointed with this entry into contact with AFER. No apologies from AFER, Customer Service side, you can do better. Not necessary "&amp;"to have a confusing response, it is essential to set up a service effectively managing this customer relationship.
Well to you.
")</f>
        <v>Hello,
On July 22, 2020, I joined AFER, based on its reputation for serious organization and performance. I see notable difficulties even before the first investment is made. On August 5, I challenged my advisor because I had no news from AFER. He informs me that an error of spelling on my name was made on my name. On August 6, I note that my check is fired on my bank account; But I still have no access to my account on AFER. August 13, thanks to a factor that is not looking at the spelling of the names, I finally receive the password. I get to know my account and I note decisive errors: on the identity of the account holder and on beneficiaries . Given my age this clause is important, and a bad translation of identity is manifestly carrying difficulties. On August 14, I see that a notice of modification of the contact details was issued. Very confident, I check the data: nothing is changed on the essential data of the contract (holder and beneficiary). I call the number on the mail. I arrive after having insisted at length to join a young woman. It changes names, and indicates that it cannot change beneficiaries. It relays my request for modification of the beneficiaries from the service. On August 15, I note that indeed the modification of the name of the holder is operational.
I finally received a new intake certificate on September 3, 2020 comprising the effective data of my contract finally modified.
In the previous situation:
- The contract did not belong to me: Error of surname
- The beneficiaries could not have access their rights (multiple errors).
I regret that it took a month to get this result. I am really disappointed with this entry into contact with AFER. No apologies from AFER, Customer Service side, you can do better. Not necessary to have a confusing response, it is essential to set up a service effectively managing this customer relationship.
Well to you.
</v>
      </c>
    </row>
    <row r="714" ht="15.75" customHeight="1">
      <c r="B714" s="2" t="s">
        <v>2056</v>
      </c>
      <c r="C714" s="2" t="s">
        <v>2057</v>
      </c>
      <c r="D714" s="2" t="s">
        <v>2006</v>
      </c>
      <c r="E714" s="2" t="s">
        <v>2007</v>
      </c>
      <c r="F714" s="2" t="s">
        <v>15</v>
      </c>
      <c r="G714" s="2" t="s">
        <v>2058</v>
      </c>
      <c r="H714" s="2" t="s">
        <v>253</v>
      </c>
      <c r="I714" s="2" t="str">
        <f>IFERROR(__xludf.DUMMYFUNCTION("GOOGLETRANSLATE(C714,""fr"",""en"")"),"I contributed 21 years to AFER to build up capital to take advantage of it. Since June Access to the AFER.FR website has been blocked for all usual transactions: arbitrations, partial redemption. Unable to access a partial buyout on 2 July I send to AFER "&amp;"a partial buyout paper. No response after 15 days of waiting. I therefore decide to contact an advisor to Caen who hears my call, but after another fifteen days nothing happens. I recalled this advisor four times and each time the same answer: your reques"&amp;"t is underway, I phone today in Paris, your buyout will be on your account within 72 hours. We arrive at the 30th of July and now my bank account is uncovered, because I counted on this takeover to cover it. I am now without money. My retirement of 1000 e"&amp;"uros will be paid to me until July 9. I only have the street left and do alms. Thank you AFER, an association which regularly collected my payment but which blocks any partial acquisition. I am a prisoner of my savings, all the doors are closed to AFER. N"&amp;"o interlocutor to trust and no possibility of access to my online accounts as well as that of my wife. If you still have a choice. Start for this beef as quickly as possible.")</f>
        <v>I contributed 21 years to AFER to build up capital to take advantage of it. Since June Access to the AFER.FR website has been blocked for all usual transactions: arbitrations, partial redemption. Unable to access a partial buyout on 2 July I send to AFER a partial buyout paper. No response after 15 days of waiting. I therefore decide to contact an advisor to Caen who hears my call, but after another fifteen days nothing happens. I recalled this advisor four times and each time the same answer: your request is underway, I phone today in Paris, your buyout will be on your account within 72 hours. We arrive at the 30th of July and now my bank account is uncovered, because I counted on this takeover to cover it. I am now without money. My retirement of 1000 euros will be paid to me until July 9. I only have the street left and do alms. Thank you AFER, an association which regularly collected my payment but which blocks any partial acquisition. I am a prisoner of my savings, all the doors are closed to AFER. No interlocutor to trust and no possibility of access to my online accounts as well as that of my wife. If you still have a choice. Start for this beef as quickly as possible.</v>
      </c>
    </row>
    <row r="715" ht="15.75" customHeight="1">
      <c r="B715" s="2" t="s">
        <v>2059</v>
      </c>
      <c r="C715" s="2" t="s">
        <v>2060</v>
      </c>
      <c r="D715" s="2" t="s">
        <v>2006</v>
      </c>
      <c r="E715" s="2" t="s">
        <v>2007</v>
      </c>
      <c r="F715" s="2" t="s">
        <v>15</v>
      </c>
      <c r="G715" s="2" t="s">
        <v>2061</v>
      </c>
      <c r="H715" s="2" t="s">
        <v>253</v>
      </c>
      <c r="I715" s="2" t="str">
        <f>IFERROR(__xludf.DUMMYFUNCTION("GOOGLETRANSLATE(C715,""fr"",""en"")"),"If we want to concretize a real estate project by paying for the cash purchase, how long it takes to hope for a transfer following a total or partial redemption of his life insurance, it being understood that there are essential deadlines during the Passa"&amp;"ge before the notary to settle the amount of the real estate transaction and finalize the act of purchase which cannot be deferred in the event of delay in payment, which would thus de facto cause possible cancellation of the purchase and solvency respons"&amp;"ibilities With penalties?")</f>
        <v>If we want to concretize a real estate project by paying for the cash purchase, how long it takes to hope for a transfer following a total or partial redemption of his life insurance, it being understood that there are essential deadlines during the Passage before the notary to settle the amount of the real estate transaction and finalize the act of purchase which cannot be deferred in the event of delay in payment, which would thus de facto cause possible cancellation of the purchase and solvency responsibilities With penalties?</v>
      </c>
    </row>
    <row r="716" ht="15.75" customHeight="1">
      <c r="B716" s="2" t="s">
        <v>2062</v>
      </c>
      <c r="C716" s="2" t="s">
        <v>2063</v>
      </c>
      <c r="D716" s="2" t="s">
        <v>2006</v>
      </c>
      <c r="E716" s="2" t="s">
        <v>2007</v>
      </c>
      <c r="F716" s="2" t="s">
        <v>15</v>
      </c>
      <c r="G716" s="2" t="s">
        <v>1624</v>
      </c>
      <c r="H716" s="2" t="s">
        <v>257</v>
      </c>
      <c r="I716" s="2" t="str">
        <f>IFERROR(__xludf.DUMMYFUNCTION("GOOGLETRANSLATE(C716,""fr"",""en"")"),"
AFER has deplorable customer management! My father died and we sent the documents requested by AFER after many back and forth but for more news, deplorable! I recently joined AFER but they misized my email on the membership form, it is impossible to rec"&amp;"eive one with correction when they are faulty. I am amazed by the lack of consideration for their customers!")</f>
        <v>
AFER has deplorable customer management! My father died and we sent the documents requested by AFER after many back and forth but for more news, deplorable! I recently joined AFER but they misized my email on the membership form, it is impossible to receive one with correction when they are faulty. I am amazed by the lack of consideration for their customers!</v>
      </c>
    </row>
    <row r="717" ht="15.75" customHeight="1">
      <c r="B717" s="2" t="s">
        <v>2064</v>
      </c>
      <c r="C717" s="2" t="s">
        <v>2065</v>
      </c>
      <c r="D717" s="2" t="s">
        <v>2006</v>
      </c>
      <c r="E717" s="2" t="s">
        <v>2007</v>
      </c>
      <c r="F717" s="2" t="s">
        <v>15</v>
      </c>
      <c r="G717" s="2" t="s">
        <v>1723</v>
      </c>
      <c r="H717" s="2" t="s">
        <v>257</v>
      </c>
      <c r="I717" s="2" t="str">
        <f>IFERROR(__xludf.DUMMYFUNCTION("GOOGLETRANSLATE(C717,""fr"",""en"")"),"I encounter the same problem as that already described. I await in vain for life insurance regulations following the death of my uncle in January 2020. I filled the file with the agency manager in early April. I still have not received anything when I hav"&amp;"e Relaunched the manager who does not understand this period so long.
I am angry and disappointed by this insurance that I thought was serious.")</f>
        <v>I encounter the same problem as that already described. I await in vain for life insurance regulations following the death of my uncle in January 2020. I filled the file with the agency manager in early April. I still have not received anything when I have Relaunched the manager who does not understand this period so long.
I am angry and disappointed by this insurance that I thought was serious.</v>
      </c>
    </row>
    <row r="718" ht="15.75" customHeight="1">
      <c r="B718" s="2" t="s">
        <v>2066</v>
      </c>
      <c r="C718" s="2" t="s">
        <v>2067</v>
      </c>
      <c r="D718" s="2" t="s">
        <v>2006</v>
      </c>
      <c r="E718" s="2" t="s">
        <v>2007</v>
      </c>
      <c r="F718" s="2" t="s">
        <v>15</v>
      </c>
      <c r="G718" s="2" t="s">
        <v>2068</v>
      </c>
      <c r="H718" s="2" t="s">
        <v>269</v>
      </c>
      <c r="I718" s="2" t="str">
        <f>IFERROR(__xludf.DUMMYFUNCTION("GOOGLETRANSLATE(C718,""fr"",""en"")"),"It seems that there is no customer service, 1 mail, 14 calls and 2 emails no answer to recover deceased capital")</f>
        <v>It seems that there is no customer service, 1 mail, 14 calls and 2 emails no answer to recover deceased capital</v>
      </c>
    </row>
    <row r="719" ht="15.75" customHeight="1">
      <c r="B719" s="2" t="s">
        <v>2069</v>
      </c>
      <c r="C719" s="2" t="s">
        <v>2070</v>
      </c>
      <c r="D719" s="2" t="s">
        <v>2006</v>
      </c>
      <c r="E719" s="2" t="s">
        <v>2007</v>
      </c>
      <c r="F719" s="2" t="s">
        <v>15</v>
      </c>
      <c r="G719" s="2" t="s">
        <v>1674</v>
      </c>
      <c r="H719" s="2" t="s">
        <v>269</v>
      </c>
      <c r="I719" s="2" t="str">
        <f>IFERROR(__xludf.DUMMYFUNCTION("GOOGLETRANSLATE(C719,""fr"",""en"")"),"For more than a week, and once again, online consultation of my AFER life insurance account:
""We are sorry, a technical problem has occurred in our platform, please try again later. »»
")</f>
        <v>For more than a week, and once again, online consultation of my AFER life insurance account:
"We are sorry, a technical problem has occurred in our platform, please try again later. »»
</v>
      </c>
    </row>
    <row r="720" ht="15.75" customHeight="1">
      <c r="B720" s="2" t="s">
        <v>2071</v>
      </c>
      <c r="C720" s="2" t="s">
        <v>2072</v>
      </c>
      <c r="D720" s="2" t="s">
        <v>2006</v>
      </c>
      <c r="E720" s="2" t="s">
        <v>2007</v>
      </c>
      <c r="F720" s="2" t="s">
        <v>15</v>
      </c>
      <c r="G720" s="2" t="s">
        <v>2073</v>
      </c>
      <c r="H720" s="2" t="s">
        <v>269</v>
      </c>
      <c r="I720" s="2" t="str">
        <f>IFERROR(__xludf.DUMMYFUNCTION("GOOGLETRANSLATE(C720,""fr"",""en"")"),"No particular problem. I applied for partial buyout (tel + confirmation by email) and it was processed within 10 days. And I attended an AFER meeting last December, of good hold and unrelated to the hysteria to read on the Internet, despite some spicy que"&amp;"stions. I hope I am not mistaken and that AFER is always well managed. It is rather the era (including taxation) which is unfavorable, at AFER, as elsewhere.")</f>
        <v>No particular problem. I applied for partial buyout (tel + confirmation by email) and it was processed within 10 days. And I attended an AFER meeting last December, of good hold and unrelated to the hysteria to read on the Internet, despite some spicy questions. I hope I am not mistaken and that AFER is always well managed. It is rather the era (including taxation) which is unfavorable, at AFER, as elsewhere.</v>
      </c>
    </row>
    <row r="721" ht="15.75" customHeight="1">
      <c r="B721" s="2" t="s">
        <v>2074</v>
      </c>
      <c r="C721" s="2" t="s">
        <v>2075</v>
      </c>
      <c r="D721" s="2" t="s">
        <v>2006</v>
      </c>
      <c r="E721" s="2" t="s">
        <v>2007</v>
      </c>
      <c r="F721" s="2" t="s">
        <v>15</v>
      </c>
      <c r="G721" s="2" t="s">
        <v>549</v>
      </c>
      <c r="H721" s="2" t="s">
        <v>550</v>
      </c>
      <c r="I721" s="2" t="str">
        <f>IFERROR(__xludf.DUMMYFUNCTION("GOOGLETRANSLATE(C721,""fr"",""en"")"),"I am afraid there is the eel under rock. Everything to go well until January 2020. 1) I reimbursed a loan with two amounts, one from January, another in February. I never received confirmation from the first payment, but I received confirmation from the s"&amp;"econd. 2) I asked for a cessation of payments by sample in January. I received confirmation today, 07/04/2020. Whenever I go to the agency, the advisor is very embarrassed.")</f>
        <v>I am afraid there is the eel under rock. Everything to go well until January 2020. 1) I reimbursed a loan with two amounts, one from January, another in February. I never received confirmation from the first payment, but I received confirmation from the second. 2) I asked for a cessation of payments by sample in January. I received confirmation today, 07/04/2020. Whenever I go to the agency, the advisor is very embarrassed.</v>
      </c>
    </row>
    <row r="722" ht="15.75" customHeight="1">
      <c r="B722" s="2" t="s">
        <v>2076</v>
      </c>
      <c r="C722" s="2" t="s">
        <v>2077</v>
      </c>
      <c r="D722" s="2" t="s">
        <v>2006</v>
      </c>
      <c r="E722" s="2" t="s">
        <v>2007</v>
      </c>
      <c r="F722" s="2" t="s">
        <v>15</v>
      </c>
      <c r="G722" s="2" t="s">
        <v>2078</v>
      </c>
      <c r="H722" s="2" t="s">
        <v>550</v>
      </c>
      <c r="I722" s="2" t="str">
        <f>IFERROR(__xludf.DUMMYFUNCTION("GOOGLETRANSLATE(C722,""fr"",""en"")"),"I have subscribed to life insurance for the capital of my mother. On the death of this one, to recover the capital it was very difficult. I pass you the problems encountered. Finally, we were able to recover the increased capital, it seems to the interest"&amp;"s of the year 2019. Capital produced the whole year and should have generated the interest announced, 1.75 %. The count sent to each of the heirs was far from applying this % announced in the media. So I asked for the details of the calculation .... 3 tim"&amp;"es, without results. I leave you judge !!!")</f>
        <v>I have subscribed to life insurance for the capital of my mother. On the death of this one, to recover the capital it was very difficult. I pass you the problems encountered. Finally, we were able to recover the increased capital, it seems to the interests of the year 2019. Capital produced the whole year and should have generated the interest announced, 1.75 %. The count sent to each of the heirs was far from applying this % announced in the media. So I asked for the details of the calculation .... 3 times, without results. I leave you judge !!!</v>
      </c>
    </row>
    <row r="723" ht="15.75" customHeight="1">
      <c r="B723" s="2" t="s">
        <v>2079</v>
      </c>
      <c r="C723" s="2" t="s">
        <v>2080</v>
      </c>
      <c r="D723" s="2" t="s">
        <v>2006</v>
      </c>
      <c r="E723" s="2" t="s">
        <v>2007</v>
      </c>
      <c r="F723" s="2" t="s">
        <v>15</v>
      </c>
      <c r="G723" s="2" t="s">
        <v>2081</v>
      </c>
      <c r="H723" s="2" t="s">
        <v>550</v>
      </c>
      <c r="I723" s="2" t="str">
        <f>IFERROR(__xludf.DUMMYFUNCTION("GOOGLETRANSLATE(C723,""fr"",""en"")"),"My grandparents died more than 1 year ago already, and I have to date perceived only part of the life insurance they had taken out. I am constantly asked for the same documents, which I have already sent to many copies. I have enough, the next step will b"&amp;"e the UFC.")</f>
        <v>My grandparents died more than 1 year ago already, and I have to date perceived only part of the life insurance they had taken out. I am constantly asked for the same documents, which I have already sent to many copies. I have enough, the next step will be the UFC.</v>
      </c>
    </row>
    <row r="724" ht="15.75" customHeight="1">
      <c r="B724" s="2" t="s">
        <v>2082</v>
      </c>
      <c r="C724" s="2" t="s">
        <v>2083</v>
      </c>
      <c r="D724" s="2" t="s">
        <v>2006</v>
      </c>
      <c r="E724" s="2" t="s">
        <v>2007</v>
      </c>
      <c r="F724" s="2" t="s">
        <v>15</v>
      </c>
      <c r="G724" s="2" t="s">
        <v>2084</v>
      </c>
      <c r="H724" s="2" t="s">
        <v>273</v>
      </c>
      <c r="I724" s="2" t="str">
        <f>IFERROR(__xludf.DUMMYFUNCTION("GOOGLETRANSLATE(C724,""fr"",""en"")"),"Comment broadcast on Facebook this day March 25, 2020
For 45 days aer sequests the capital of life insurance of my deceased mother
On January 20, 2020, AFER and a well -known mutual bank had communicated the documents necessary to pay the sums due for"&amp;" life insurance.
The mutual bank in Honoré its contract by a payment within 2 weeks.
On the other hand AFER whose contract provides that ""payment occurs upon receipt of documents concerning it"" has not only fired the corresponding sums, but does n"&amp;"ot give any sign of life.
AFER is unfortunately customary in this practice. You will find many testimonies of heirs robbed by this company under the link:
https://www.opinion-assurances.fr/assureur-afer-assurance-v…
Who would believe that Mr Gera"&amp;"rd Beckerman, director, who boasts on various videos the seriousness of AFER, is the instigator of these practices very damaging to families who have just lost one of their loved one.
I leave you care to judge
For all useful purposes, I will inform "&amp;"you on a daily basis of the progress of this file
Customer for 20 years. Impossible to reach the headquarters or my broker. Waiting for several months of a service following death of my dad. To wonder if the company does not hide a bankruptcy. To flee as"&amp;" soon as possible.
Opinion-assurances.fr
AFER - life insurance - Franck's opinion
Customer for 20 years. Impossible to reach the headquarters or my broker. Waiting for several months of a service following death of my dad. To wonder if the company does"&amp;" not hide a bankruptcy. To flee as soon as possible.
Customer for 20 years. Impossible to reach the headquarters or my broker. Waiting for several months of a service following death of my dad. To wonder if the company does not hide a bankruptcy. To flee"&amp;" as soon as possible.")</f>
        <v>Comment broadcast on Facebook this day March 25, 2020
For 45 days aer sequests the capital of life insurance of my deceased mother
On January 20, 2020, AFER and a well -known mutual bank had communicated the documents necessary to pay the sums due for life insurance.
The mutual bank in Honoré its contract by a payment within 2 weeks.
On the other hand AFER whose contract provides that "payment occurs upon receipt of documents concerning it" has not only fired the corresponding sums, but does not give any sign of life.
AFER is unfortunately customary in this practice. You will find many testimonies of heirs robbed by this company under the link:
https://www.opinion-assurances.fr/assureur-afer-assurance-v…
Who would believe that Mr Gerard Beckerman, director, who boasts on various videos the seriousness of AFER, is the instigator of these practices very damaging to families who have just lost one of their loved one.
I leave you care to judge
For all useful purposes, I will inform you on a daily basis of the progress of this file
Customer for 20 years. Impossible to reach the headquarters or my broker. Waiting for several months of a service following death of my dad. To wonder if the company does not hide a bankruptcy. To flee as soon as possible.
Opinion-assurances.fr
AFER - life insurance - Franck's opinion
Customer for 20 years. Impossible to reach the headquarters or my broker. Waiting for several months of a service following death of my dad. To wonder if the company does not hide a bankruptcy. To flee as soon as possible.
Customer for 20 years. Impossible to reach the headquarters or my broker. Waiting for several months of a service following death of my dad. To wonder if the company does not hide a bankruptcy. To flee as soon as possible.</v>
      </c>
    </row>
    <row r="725" ht="15.75" customHeight="1">
      <c r="B725" s="2" t="s">
        <v>2085</v>
      </c>
      <c r="C725" s="2" t="s">
        <v>2086</v>
      </c>
      <c r="D725" s="2" t="s">
        <v>2006</v>
      </c>
      <c r="E725" s="2" t="s">
        <v>2007</v>
      </c>
      <c r="F725" s="2" t="s">
        <v>15</v>
      </c>
      <c r="G725" s="2" t="s">
        <v>2087</v>
      </c>
      <c r="H725" s="2" t="s">
        <v>273</v>
      </c>
      <c r="I725" s="2" t="str">
        <f>IFERROR(__xludf.DUMMYFUNCTION("GOOGLETRANSLATE(C725,""fr"",""en"")"),"Hello, after reading the many misadventures of other people waiting to unlock life insurance following the death of a loved one, I would like to increase the chances of having a quick processing of my file.
Could you list the parts requested by AFER in s"&amp;"uch a situation to allow me to be exhaustive from my first request?
What postal address to use?
thanks in advance")</f>
        <v>Hello, after reading the many misadventures of other people waiting to unlock life insurance following the death of a loved one, I would like to increase the chances of having a quick processing of my file.
Could you list the parts requested by AFER in such a situation to allow me to be exhaustive from my first request?
What postal address to use?
thanks in advance</v>
      </c>
    </row>
    <row r="726" ht="15.75" customHeight="1">
      <c r="B726" s="2" t="s">
        <v>2088</v>
      </c>
      <c r="C726" s="2" t="s">
        <v>2089</v>
      </c>
      <c r="D726" s="2" t="s">
        <v>2006</v>
      </c>
      <c r="E726" s="2" t="s">
        <v>2007</v>
      </c>
      <c r="F726" s="2" t="s">
        <v>15</v>
      </c>
      <c r="G726" s="2" t="s">
        <v>2090</v>
      </c>
      <c r="H726" s="2" t="s">
        <v>273</v>
      </c>
      <c r="I726" s="2" t="str">
        <f>IFERROR(__xludf.DUMMYFUNCTION("GOOGLETRANSLATE(C726,""fr"",""en"")"),"An increasingly negative comment on AFER.
An unpaid life insurance file and impossible to know the processing time.
Nice's succession offices received the papers on January 24, confirmed by the telephone platform, but they never came to ask me for docum"&amp;"ents. The 15 legal days have gone well and the month of payment period too.
Let's not stay alone in the face of this injustice. AFER has taken a group action in your teeth, it is time to come together to double the blow.
afer.abus@gmail.com
")</f>
        <v>An increasingly negative comment on AFER.
An unpaid life insurance file and impossible to know the processing time.
Nice's succession offices received the papers on January 24, confirmed by the telephone platform, but they never came to ask me for documents. The 15 legal days have gone well and the month of payment period too.
Let's not stay alone in the face of this injustice. AFER has taken a group action in your teeth, it is time to come together to double the blow.
afer.abus@gmail.com
</v>
      </c>
    </row>
    <row r="727" ht="15.75" customHeight="1">
      <c r="B727" s="2" t="s">
        <v>2091</v>
      </c>
      <c r="C727" s="2" t="s">
        <v>2092</v>
      </c>
      <c r="D727" s="2" t="s">
        <v>2006</v>
      </c>
      <c r="E727" s="2" t="s">
        <v>2007</v>
      </c>
      <c r="F727" s="2" t="s">
        <v>15</v>
      </c>
      <c r="G727" s="2" t="s">
        <v>272</v>
      </c>
      <c r="H727" s="2" t="s">
        <v>273</v>
      </c>
      <c r="I727" s="2" t="str">
        <f>IFERROR(__xludf.DUMMYFUNCTION("GOOGLETRANSLATE(C727,""fr"",""en"")"),"Hello,
For several months my three children have been trying to obtain the funds held by AFER on three contracts 01135110, 01151745 and 01182773 that their grandmother died on August 5, 2019 left them by designating them beneficiaries of his savings.
Si"&amp;"nce mid-August 2019, the GIE AFER and its correspondents the ""wandering"" of services in services, to finally always send them back to the AFER physical contact of their grandmother, the agency Ledru Rollin in Paris, who considers him as a mailbox and as"&amp;"serts itself well unable to manage the fate of their three files.
I note that this advisor was in place to validate the change of beneficiaries we wanted in spring 2019 by affirming that once the succession file completed, the funds would be ""available"&amp;""" on their respective bank accounts no later than thirty days after .
Admittedly, the promises only engage those who receive them, but the files of my children being complete and finalized since the end of November 2019, the thirty days are widely passe"&amp;"d ...
Such a situation is unacceptable and incorrect because at first, she flouts the wish and the pleasure of a member to leave the fruit of her work to her family and in a second step, she mistreats the beneficiaries by always returning to the wound Th"&amp;"e recall knife of the absence of their grandmother, as if the GIE AFER estimated them unworthy of this legacy.
Personally, having been able to appreciate that other insurers, such as AXA or banks: LCL, Savings Fund, etc., proved to be much more reactive "&amp;"than GIE AFER, within a period well than thirty legal days, for the Liquidation of the succession contracts which had been entrusted to them, the case of my children did not seem isolated, I fear that the lack of financial availability of the GIE AFER is "&amp;"at the origin of the disappointments of our children.
Indeed, what to think of an insurer who to retain logically available funds, reports in December 2019, a concern for change of software, on February 12, 2020 specifies that at the latest on March 8, 2"&amp;"020 the sums will be paid On the bank accounts of the interested parties, and on March 12, 2020 the beneficiaries still seeing nothing coming, lets them in their disarray, without any information on the real monitoring of the future of their ancestor.
An"&amp;"d worse, allows himself to finance extravagant advertisements to proclaim a reliability of his well-invisible life insurance contracts by the beneficiaries.
My exasperation is increased even more more than each telephone attempt at the so -called ""succe"&amp;"ssion"" service in Nice at 04.92.14.42.00, because there too the lack of internal monitoring is extravagant.
The same message, as on the other lines: 01.40.82.24.24 or 01.53.20.21.50 etc, is asserted, a nasillarde voice guides the ""beneficiaries"" to th"&amp;"e AFER site to consult the follow -up of their files, which Avoid impossible if they have requested payment of the sums available in their favor, since they do not have a member number and even less of a savings statement in their name ...
Discovering th"&amp;"is kind of insured forum, I remain doubtful on the effectiveness of the return that it is possible to generate in favor of my children, but I still dare to hope for a small favorable reaction in favor of the wish of a deceased of which The only wrong was "&amp;"to give such confidence to such great fanciful finance because if she had placed her savings in her own accommodation for more than 40 years, it would already be several months since her grandchildren would have her latest wishes, that the notary would ha"&amp;"ve solved a much more lucrative succession, even after payment of inheritance tax ...
On this last point, I am surprised that the GIE AFER is absolutely not aware of it to ensure its survival ...
Hoping that the GIE AFER can demonstrate me in the coming"&amp;" week that my remarks are devoid of common sense ...
In the meantime
Good luck to all readers who suffer the same fate as my three children ...
PS: I voluntarily reported the contract numbers concerned to facilitate the understanding of the condemned t"&amp;"o the complaints of the subscribers and beneficiaries of AFER contracts
")</f>
        <v>Hello,
For several months my three children have been trying to obtain the funds held by AFER on three contracts 01135110, 01151745 and 01182773 that their grandmother died on August 5, 2019 left them by designating them beneficiaries of his savings.
Since mid-August 2019, the GIE AFER and its correspondents the "wandering" of services in services, to finally always send them back to the AFER physical contact of their grandmother, the agency Ledru Rollin in Paris, who considers him as a mailbox and asserts itself well unable to manage the fate of their three files.
I note that this advisor was in place to validate the change of beneficiaries we wanted in spring 2019 by affirming that once the succession file completed, the funds would be "available" on their respective bank accounts no later than thirty days after .
Admittedly, the promises only engage those who receive them, but the files of my children being complete and finalized since the end of November 2019, the thirty days are widely passed ...
Such a situation is unacceptable and incorrect because at first, she flouts the wish and the pleasure of a member to leave the fruit of her work to her family and in a second step, she mistreats the beneficiaries by always returning to the wound The recall knife of the absence of their grandmother, as if the GIE AFER estimated them unworthy of this legacy.
Personally, having been able to appreciate that other insurers, such as AXA or banks: LCL, Savings Fund, etc., proved to be much more reactive than GIE AFER, within a period well than thirty legal days, for the Liquidation of the succession contracts which had been entrusted to them, the case of my children did not seem isolated, I fear that the lack of financial availability of the GIE AFER is at the origin of the disappointments of our children.
Indeed, what to think of an insurer who to retain logically available funds, reports in December 2019, a concern for change of software, on February 12, 2020 specifies that at the latest on March 8, 2020 the sums will be paid On the bank accounts of the interested parties, and on March 12, 2020 the beneficiaries still seeing nothing coming, lets them in their disarray, without any information on the real monitoring of the future of their ancestor.
And worse, allows himself to finance extravagant advertisements to proclaim a reliability of his well-invisible life insurance contracts by the beneficiaries.
My exasperation is increased even more more than each telephone attempt at the so -called "succession" service in Nice at 04.92.14.42.00, because there too the lack of internal monitoring is extravagant.
The same message, as on the other lines: 01.40.82.24.24 or 01.53.20.21.50 etc, is asserted, a nasillarde voice guides the "beneficiaries" to the AFER site to consult the follow -up of their files, which Avoid impossible if they have requested payment of the sums available in their favor, since they do not have a member number and even less of a savings statement in their name ...
Discovering this kind of insured forum, I remain doubtful on the effectiveness of the return that it is possible to generate in favor of my children, but I still dare to hope for a small favorable reaction in favor of the wish of a deceased of which The only wrong was to give such confidence to such great fanciful finance because if she had placed her savings in her own accommodation for more than 40 years, it would already be several months since her grandchildren would have her latest wishes, that the notary would have solved a much more lucrative succession, even after payment of inheritance tax ...
On this last point, I am surprised that the GIE AFER is absolutely not aware of it to ensure its survival ...
Hoping that the GIE AFER can demonstrate me in the coming week that my remarks are devoid of common sense ...
In the meantime
Good luck to all readers who suffer the same fate as my three children ...
PS: I voluntarily reported the contract numbers concerned to facilitate the understanding of the condemned to the complaints of the subscribers and beneficiaries of AFER contracts
</v>
      </c>
    </row>
    <row r="728" ht="15.75" customHeight="1">
      <c r="B728" s="2" t="s">
        <v>2093</v>
      </c>
      <c r="C728" s="2" t="s">
        <v>2094</v>
      </c>
      <c r="D728" s="2" t="s">
        <v>2006</v>
      </c>
      <c r="E728" s="2" t="s">
        <v>2007</v>
      </c>
      <c r="F728" s="2" t="s">
        <v>15</v>
      </c>
      <c r="G728" s="2" t="s">
        <v>2095</v>
      </c>
      <c r="H728" s="2" t="s">
        <v>273</v>
      </c>
      <c r="I728" s="2" t="str">
        <f>IFERROR(__xludf.DUMMYFUNCTION("GOOGLETRANSLATE(C728,""fr"",""en"")"),"Unfortunately, I am in the same situation as that described in many opinions. I notified AFER of the death of my mother on January 3 and despite numerous reminders made by our correspondent or directly by 3 successive recommended letters. To date March 10"&amp;", we have not received the slightest acknowledgment of receipt while the law imposes a maximum period of 15 days to request the documents possibly necessary for the processing of the file. We have the impression that the law does not concern them. In addi"&amp;"tion, their casualness towards the rights holders is unacceptable.")</f>
        <v>Unfortunately, I am in the same situation as that described in many opinions. I notified AFER of the death of my mother on January 3 and despite numerous reminders made by our correspondent or directly by 3 successive recommended letters. To date March 10, we have not received the slightest acknowledgment of receipt while the law imposes a maximum period of 15 days to request the documents possibly necessary for the processing of the file. We have the impression that the law does not concern them. In addition, their casualness towards the rights holders is unacceptable.</v>
      </c>
    </row>
    <row r="729" ht="15.75" customHeight="1">
      <c r="B729" s="2" t="s">
        <v>2096</v>
      </c>
      <c r="C729" s="2" t="s">
        <v>2097</v>
      </c>
      <c r="D729" s="2" t="s">
        <v>2006</v>
      </c>
      <c r="E729" s="2" t="s">
        <v>2007</v>
      </c>
      <c r="F729" s="2" t="s">
        <v>15</v>
      </c>
      <c r="G729" s="2" t="s">
        <v>2095</v>
      </c>
      <c r="H729" s="2" t="s">
        <v>273</v>
      </c>
      <c r="I729" s="2" t="str">
        <f>IFERROR(__xludf.DUMMYFUNCTION("GOOGLETRANSLATE(C729,""fr"",""en"")"),"In the AFER press kit, Tuesday, January 14, 2020, in the 2019 Results section on page 82, Gérard Bekerman the president, quoted Montesquieu who said that: the worst injustice is the deadline. It seems to me that the president does not understand what he r"&amp;"eads, or that he openly laughs at members who expect months to see their requests processed by services that have become completely incompetent. Whether for buyouts (total or partial) or for capital payments as a result of death, the Crédo d'AFER has beco"&amp;"me: our operating mode is the deadline.
And AFER has the cheek to ask us to advise them to new potential members!
NOPE ! All the others, but not them.
")</f>
        <v>In the AFER press kit, Tuesday, January 14, 2020, in the 2019 Results section on page 82, Gérard Bekerman the president, quoted Montesquieu who said that: the worst injustice is the deadline. It seems to me that the president does not understand what he reads, or that he openly laughs at members who expect months to see their requests processed by services that have become completely incompetent. Whether for buyouts (total or partial) or for capital payments as a result of death, the Crédo d'AFER has become: our operating mode is the deadline.
And AFER has the cheek to ask us to advise them to new potential members!
NOPE ! All the others, but not them.
</v>
      </c>
    </row>
    <row r="730" ht="15.75" customHeight="1">
      <c r="B730" s="2" t="s">
        <v>2098</v>
      </c>
      <c r="C730" s="2" t="s">
        <v>2099</v>
      </c>
      <c r="D730" s="2" t="s">
        <v>2006</v>
      </c>
      <c r="E730" s="2" t="s">
        <v>2007</v>
      </c>
      <c r="F730" s="2" t="s">
        <v>15</v>
      </c>
      <c r="G730" s="2" t="s">
        <v>2095</v>
      </c>
      <c r="H730" s="2" t="s">
        <v>273</v>
      </c>
      <c r="I730" s="2" t="str">
        <f>IFERROR(__xludf.DUMMYFUNCTION("GOOGLETRANSLATE(C730,""fr"",""en"")"),"Insurer to flee, no communication or response of the services in charge of successions. Error of address for the mail to the beneficiary and impossibility for AFER to change this in their computer system ... moreover this computer system is the only expla"&amp;"nation given by the president to explain that it is necessary to settle the succession")</f>
        <v>Insurer to flee, no communication or response of the services in charge of successions. Error of address for the mail to the beneficiary and impossibility for AFER to change this in their computer system ... moreover this computer system is the only explanation given by the president to explain that it is necessary to settle the succession</v>
      </c>
    </row>
    <row r="731" ht="15.75" customHeight="1">
      <c r="B731" s="2" t="s">
        <v>2100</v>
      </c>
      <c r="C731" s="2" t="s">
        <v>2101</v>
      </c>
      <c r="D731" s="2" t="s">
        <v>2006</v>
      </c>
      <c r="E731" s="2" t="s">
        <v>2007</v>
      </c>
      <c r="F731" s="2" t="s">
        <v>15</v>
      </c>
      <c r="G731" s="2" t="s">
        <v>2102</v>
      </c>
      <c r="H731" s="2" t="s">
        <v>273</v>
      </c>
      <c r="I731" s="2" t="str">
        <f>IFERROR(__xludf.DUMMYFUNCTION("GOOGLETRANSLATE(C731,""fr"",""en"")"),"I await the payment of life insurance left by my father. Since 4 months !!! I have relaunched customer service countless times.
They just don't pay money ...
Hallucing.")</f>
        <v>I await the payment of life insurance left by my father. Since 4 months !!! I have relaunched customer service countless times.
They just don't pay money ...
Hallucing.</v>
      </c>
    </row>
    <row r="732" ht="15.75" customHeight="1">
      <c r="B732" s="2" t="s">
        <v>2103</v>
      </c>
      <c r="C732" s="2" t="s">
        <v>2104</v>
      </c>
      <c r="D732" s="2" t="s">
        <v>2006</v>
      </c>
      <c r="E732" s="2" t="s">
        <v>2007</v>
      </c>
      <c r="F732" s="2" t="s">
        <v>15</v>
      </c>
      <c r="G732" s="2" t="s">
        <v>2105</v>
      </c>
      <c r="H732" s="2" t="s">
        <v>554</v>
      </c>
      <c r="I732" s="2" t="str">
        <f>IFERROR(__xludf.DUMMYFUNCTION("GOOGLETRANSLATE(C732,""fr"",""en"")"),"Customer for 20 years. Impossible to reach the headquarters or my broker. Waiting for several months of a service following
 death of my dad. To wonder if the company does not hide a bankruptcy. To flee as soon as possible.")</f>
        <v>Customer for 20 years. Impossible to reach the headquarters or my broker. Waiting for several months of a service following
 death of my dad. To wonder if the company does not hide a bankruptcy. To flee as soon as possible.</v>
      </c>
    </row>
    <row r="733" ht="15.75" customHeight="1">
      <c r="B733" s="2" t="s">
        <v>2106</v>
      </c>
      <c r="C733" s="2" t="s">
        <v>2107</v>
      </c>
      <c r="D733" s="2" t="s">
        <v>2006</v>
      </c>
      <c r="E733" s="2" t="s">
        <v>2007</v>
      </c>
      <c r="F733" s="2" t="s">
        <v>15</v>
      </c>
      <c r="G733" s="2" t="s">
        <v>904</v>
      </c>
      <c r="H733" s="2" t="s">
        <v>554</v>
      </c>
      <c r="I733" s="2" t="str">
        <f>IFERROR(__xludf.DUMMYFUNCTION("GOOGLETRANSLATE(C733,""fr"",""en"")"),"A disaster !!!! In 11 years of membership, I have never seen such bad management. AFER makes fun of the members who make it live. I feel taken hostage not this organization.
I actively seek to place my money elsewhere.")</f>
        <v>A disaster !!!! In 11 years of membership, I have never seen such bad management. AFER makes fun of the members who make it live. I feel taken hostage not this organization.
I actively seek to place my money elsewhere.</v>
      </c>
    </row>
    <row r="734" ht="15.75" customHeight="1">
      <c r="B734" s="2" t="s">
        <v>2108</v>
      </c>
      <c r="C734" s="2" t="s">
        <v>2109</v>
      </c>
      <c r="D734" s="2" t="s">
        <v>2006</v>
      </c>
      <c r="E734" s="2" t="s">
        <v>2007</v>
      </c>
      <c r="F734" s="2" t="s">
        <v>15</v>
      </c>
      <c r="G734" s="2" t="s">
        <v>2110</v>
      </c>
      <c r="H734" s="2" t="s">
        <v>554</v>
      </c>
      <c r="I734" s="2" t="str">
        <f>IFERROR(__xludf.DUMMYFUNCTION("GOOGLETRANSLATE(C734,""fr"",""en"")"),"Since the migration of the site in October 2019 no improvement when we are in February 2020! Unbelievable ! Impossible to request an online lead. Unable to reach customer service. No information on the home page of the site, no response to complaints by e"&amp;"mail. AFER obviously makes fun of the world. My personal data is full of error and it is impossible to modify it. Lamentable. Does not even deserve a star.")</f>
        <v>Since the migration of the site in October 2019 no improvement when we are in February 2020! Unbelievable ! Impossible to request an online lead. Unable to reach customer service. No information on the home page of the site, no response to complaints by email. AFER obviously makes fun of the world. My personal data is full of error and it is impossible to modify it. Lamentable. Does not even deserve a star.</v>
      </c>
    </row>
    <row r="735" ht="15.75" customHeight="1">
      <c r="B735" s="2" t="s">
        <v>2111</v>
      </c>
      <c r="C735" s="2" t="s">
        <v>2112</v>
      </c>
      <c r="D735" s="2" t="s">
        <v>2006</v>
      </c>
      <c r="E735" s="2" t="s">
        <v>2007</v>
      </c>
      <c r="F735" s="2" t="s">
        <v>15</v>
      </c>
      <c r="G735" s="2" t="s">
        <v>2110</v>
      </c>
      <c r="H735" s="2" t="s">
        <v>554</v>
      </c>
      <c r="I735" s="2" t="str">
        <f>IFERROR(__xludf.DUMMYFUNCTION("GOOGLETRANSLATE(C735,""fr"",""en"")"),"Impossible to reach the fully incompetent president for 3 months")</f>
        <v>Impossible to reach the fully incompetent president for 3 months</v>
      </c>
    </row>
    <row r="736" ht="15.75" customHeight="1">
      <c r="B736" s="2" t="s">
        <v>2113</v>
      </c>
      <c r="C736" s="2" t="s">
        <v>2114</v>
      </c>
      <c r="D736" s="2" t="s">
        <v>2006</v>
      </c>
      <c r="E736" s="2" t="s">
        <v>2007</v>
      </c>
      <c r="F736" s="2" t="s">
        <v>15</v>
      </c>
      <c r="G736" s="2" t="s">
        <v>1098</v>
      </c>
      <c r="H736" s="2" t="s">
        <v>554</v>
      </c>
      <c r="I736" s="2" t="str">
        <f>IFERROR(__xludf.DUMMYFUNCTION("GOOGLETRANSLATE(C736,""fr"",""en"")"),"I am not at all satisfied with the AFER company. Despite the fact that I have contributed regularly for 7 years, when I ask for the full repurchase of my shares in September and the file has been validated in October 2019 and in progress since, we are in "&amp;"February and I have still not received the said sums requested. AFER does not respect his commitments that even in integrated into the contract signed by mutual agreement between the two parties. In addition, they are unreachable. It is not very nice or v"&amp;"ery respectful. I am extremely disappointed and contrite.")</f>
        <v>I am not at all satisfied with the AFER company. Despite the fact that I have contributed regularly for 7 years, when I ask for the full repurchase of my shares in September and the file has been validated in October 2019 and in progress since, we are in February and I have still not received the said sums requested. AFER does not respect his commitments that even in integrated into the contract signed by mutual agreement between the two parties. In addition, they are unreachable. It is not very nice or very respectful. I am extremely disappointed and contrite.</v>
      </c>
    </row>
    <row r="737" ht="15.75" customHeight="1">
      <c r="B737" s="2" t="s">
        <v>2115</v>
      </c>
      <c r="C737" s="2" t="s">
        <v>2116</v>
      </c>
      <c r="D737" s="2" t="s">
        <v>2006</v>
      </c>
      <c r="E737" s="2" t="s">
        <v>2007</v>
      </c>
      <c r="F737" s="2" t="s">
        <v>15</v>
      </c>
      <c r="G737" s="2" t="s">
        <v>2117</v>
      </c>
      <c r="H737" s="2" t="s">
        <v>277</v>
      </c>
      <c r="I737" s="2" t="str">
        <f>IFERROR(__xludf.DUMMYFUNCTION("GOOGLETRANSLATE(C737,""fr"",""en"")"),"No longer saving in AFER this association despises its members to the highest point, indeed as soon as you have to pay there is no one left. Request for partial buyout made on December 18, despite numerous reminders no payment period. Unable to reach the "&amp;"seat, and access my personal space")</f>
        <v>No longer saving in AFER this association despises its members to the highest point, indeed as soon as you have to pay there is no one left. Request for partial buyout made on December 18, despite numerous reminders no payment period. Unable to reach the seat, and access my personal space</v>
      </c>
    </row>
    <row r="738" ht="15.75" customHeight="1">
      <c r="B738" s="2" t="s">
        <v>2118</v>
      </c>
      <c r="C738" s="2" t="s">
        <v>2119</v>
      </c>
      <c r="D738" s="2" t="s">
        <v>2006</v>
      </c>
      <c r="E738" s="2" t="s">
        <v>2007</v>
      </c>
      <c r="F738" s="2" t="s">
        <v>15</v>
      </c>
      <c r="G738" s="2" t="s">
        <v>2120</v>
      </c>
      <c r="H738" s="2" t="s">
        <v>277</v>
      </c>
      <c r="I738" s="2" t="str">
        <f>IFERROR(__xludf.DUMMYFUNCTION("GOOGLETRANSLATE(C738,""fr"",""en"")"),"no longer save at AFER this association MEPRISE
His members at the highest point, indeed as soon as we have to pay there is no one left, we are with two other member of my family benefit from an AFER life insurance contract that our aunt had subscribed i"&amp;"n 2002 this person was deceased on November 19 2019 Since that date is a declaration by acting by the act of the act of deces to the local correspondent for AFER, a letter recommends with reception, a reclamation on the Aviva Partner of AFER site, we have"&amp;" not received any document necessary for Unlocking the bottom, the worst most complete silence of AFER and Aviva? Not an explanation or excuse word, we are acting with ACPR and soon the insurance mediator and if necessary there will be legal action
These"&amp;" people will not remain unpunished, and we will let us know everywhere who are really AFER and Aviva")</f>
        <v>no longer save at AFER this association MEPRISE
His members at the highest point, indeed as soon as we have to pay there is no one left, we are with two other member of my family benefit from an AFER life insurance contract that our aunt had subscribed in 2002 this person was deceased on November 19 2019 Since that date is a declaration by acting by the act of the act of deces to the local correspondent for AFER, a letter recommends with reception, a reclamation on the Aviva Partner of AFER site, we have not received any document necessary for Unlocking the bottom, the worst most complete silence of AFER and Aviva? Not an explanation or excuse word, we are acting with ACPR and soon the insurance mediator and if necessary there will be legal action
These people will not remain unpunished, and we will let us know everywhere who are really AFER and Aviva</v>
      </c>
    </row>
    <row r="739" ht="15.75" customHeight="1">
      <c r="B739" s="2" t="s">
        <v>2121</v>
      </c>
      <c r="C739" s="2" t="s">
        <v>2122</v>
      </c>
      <c r="D739" s="2" t="s">
        <v>2006</v>
      </c>
      <c r="E739" s="2" t="s">
        <v>2007</v>
      </c>
      <c r="F739" s="2" t="s">
        <v>15</v>
      </c>
      <c r="G739" s="2" t="s">
        <v>2123</v>
      </c>
      <c r="H739" s="2" t="s">
        <v>277</v>
      </c>
      <c r="I739" s="2" t="str">
        <f>IFERROR(__xludf.DUMMYFUNCTION("GOOGLETRANSLATE(C739,""fr"",""en"")"),"Sum not carried on my account since early December 2019.
Unreachable on the phone except once to hear the staff talk to each other, without answering me.
There would be computer problems that have been lasting far too long for far too long.
In any case"&amp;", this does not prevent the phone.
Under these conditions, it seems more prudent to withdraw my money to put it elsewhere.")</f>
        <v>Sum not carried on my account since early December 2019.
Unreachable on the phone except once to hear the staff talk to each other, without answering me.
There would be computer problems that have been lasting far too long for far too long.
In any case, this does not prevent the phone.
Under these conditions, it seems more prudent to withdraw my money to put it elsewhere.</v>
      </c>
    </row>
    <row r="740" ht="15.75" customHeight="1">
      <c r="B740" s="2" t="s">
        <v>2124</v>
      </c>
      <c r="C740" s="2" t="s">
        <v>2125</v>
      </c>
      <c r="D740" s="2" t="s">
        <v>2006</v>
      </c>
      <c r="E740" s="2" t="s">
        <v>2007</v>
      </c>
      <c r="F740" s="2" t="s">
        <v>15</v>
      </c>
      <c r="G740" s="2" t="s">
        <v>701</v>
      </c>
      <c r="H740" s="2" t="s">
        <v>277</v>
      </c>
      <c r="I740" s="2" t="str">
        <f>IFERROR(__xludf.DUMMYFUNCTION("GOOGLETRANSLATE(C740,""fr"",""en"")"),"What's going on to AFER? All the necessary documents were communicated on October 20, 2019 to obtain the payment of the life insurance of my deceased mother on my own contract. We are early January, still nothing. And my advisor does not answer my emails,"&amp;" his phone is still busy. When AFER is called, after a long wait you fall (your choice) on an exasperated person or on someone who knows nothing and can do nothing. I have just given me an email from the succession service, it is up to me to manage.
The "&amp;"icing on the cake, they are not endowed in computer science either.
In short, upon my return to Paris I rushed to the office of my so -called advisor to recover all my having.
Without advertising, I recovered my mother's life insurance at Société Généra"&amp;"le / Sogecap in three weeks with absolutely friendly and competent correspondents.")</f>
        <v>What's going on to AFER? All the necessary documents were communicated on October 20, 2019 to obtain the payment of the life insurance of my deceased mother on my own contract. We are early January, still nothing. And my advisor does not answer my emails, his phone is still busy. When AFER is called, after a long wait you fall (your choice) on an exasperated person or on someone who knows nothing and can do nothing. I have just given me an email from the succession service, it is up to me to manage.
The icing on the cake, they are not endowed in computer science either.
In short, upon my return to Paris I rushed to the office of my so -called advisor to recover all my having.
Without advertising, I recovered my mother's life insurance at Société Générale / Sogecap in three weeks with absolutely friendly and competent correspondents.</v>
      </c>
    </row>
    <row r="741" ht="15.75" customHeight="1">
      <c r="B741" s="2" t="s">
        <v>2126</v>
      </c>
      <c r="C741" s="2" t="s">
        <v>2127</v>
      </c>
      <c r="D741" s="2" t="s">
        <v>2006</v>
      </c>
      <c r="E741" s="2" t="s">
        <v>2007</v>
      </c>
      <c r="F741" s="2" t="s">
        <v>15</v>
      </c>
      <c r="G741" s="2" t="s">
        <v>2128</v>
      </c>
      <c r="H741" s="2" t="s">
        <v>277</v>
      </c>
      <c r="I741" s="2" t="str">
        <f>IFERROR(__xludf.DUMMYFUNCTION("GOOGLETRANSLATE(C741,""fr"",""en"")"),"My father died on October 10, 2019, on October 20 AFER had all the necessary papers (death certificate, CI and RIB of the beneficiaries) to send the appropriate documents in view of the payments of the funds. Since (we have been January 2, 2020) and despi"&amp;"te many emails and telephone calls (unanswered) and above all two recommended letters, AFER does nothing!")</f>
        <v>My father died on October 10, 2019, on October 20 AFER had all the necessary papers (death certificate, CI and RIB of the beneficiaries) to send the appropriate documents in view of the payments of the funds. Since (we have been January 2, 2020) and despite many emails and telephone calls (unanswered) and above all two recommended letters, AFER does nothing!</v>
      </c>
    </row>
    <row r="742" ht="15.75" customHeight="1">
      <c r="B742" s="2" t="s">
        <v>2129</v>
      </c>
      <c r="C742" s="2" t="s">
        <v>2130</v>
      </c>
      <c r="D742" s="2" t="s">
        <v>2006</v>
      </c>
      <c r="E742" s="2" t="s">
        <v>2007</v>
      </c>
      <c r="F742" s="2" t="s">
        <v>15</v>
      </c>
      <c r="G742" s="2" t="s">
        <v>1249</v>
      </c>
      <c r="H742" s="2" t="s">
        <v>284</v>
      </c>
      <c r="I742" s="2" t="str">
        <f>IFERROR(__xludf.DUMMYFUNCTION("GOOGLETRANSLATE(C742,""fr"",""en"")"),"Station to the RV in Paris, 75009: the address disappears, the standard of the headquarters and refers to the site that does not respond. Who are we laughing at ? Inexperienced adherent (e) s lost in rue Drouot. It's not very mature ...")</f>
        <v>Station to the RV in Paris, 75009: the address disappears, the standard of the headquarters and refers to the site that does not respond. Who are we laughing at ? Inexperienced adherent (e) s lost in rue Drouot. It's not very mature ...</v>
      </c>
    </row>
    <row r="743" ht="15.75" customHeight="1">
      <c r="B743" s="2" t="s">
        <v>2131</v>
      </c>
      <c r="C743" s="2" t="s">
        <v>2132</v>
      </c>
      <c r="D743" s="2" t="s">
        <v>2006</v>
      </c>
      <c r="E743" s="2" t="s">
        <v>2007</v>
      </c>
      <c r="F743" s="2" t="s">
        <v>15</v>
      </c>
      <c r="G743" s="2" t="s">
        <v>2133</v>
      </c>
      <c r="H743" s="2" t="s">
        <v>284</v>
      </c>
      <c r="I743" s="2" t="str">
        <f>IFERROR(__xludf.DUMMYFUNCTION("GOOGLETRANSLATE(C743,""fr"",""en"")"),"My brother who died in October 2019 had life insurance for the benefit of his 2 young children The broker who nevertheless knows how to sell the contracts could not tell us who joined and what documents to provide! We had to find the information alone the"&amp;" file for the payment of this insurance was sent more than a month ago, no return! Unreachable staff, it's lamentable! My brother by subscribing this contract thought of protecting his children with a capital immediately available but it seems very diffic"&amp;"ult to recover the money. Incompetence, casualness, deception?")</f>
        <v>My brother who died in October 2019 had life insurance for the benefit of his 2 young children The broker who nevertheless knows how to sell the contracts could not tell us who joined and what documents to provide! We had to find the information alone the file for the payment of this insurance was sent more than a month ago, no return! Unreachable staff, it's lamentable! My brother by subscribing this contract thought of protecting his children with a capital immediately available but it seems very difficult to recover the money. Incompetence, casualness, deception?</v>
      </c>
    </row>
    <row r="744" ht="15.75" customHeight="1">
      <c r="B744" s="2" t="s">
        <v>2134</v>
      </c>
      <c r="C744" s="2" t="s">
        <v>2135</v>
      </c>
      <c r="D744" s="2" t="s">
        <v>2006</v>
      </c>
      <c r="E744" s="2" t="s">
        <v>2007</v>
      </c>
      <c r="F744" s="2" t="s">
        <v>15</v>
      </c>
      <c r="G744" s="2" t="s">
        <v>2136</v>
      </c>
      <c r="H744" s="2" t="s">
        <v>284</v>
      </c>
      <c r="I744" s="2" t="str">
        <f>IFERROR(__xludf.DUMMYFUNCTION("GOOGLETRANSLATE(C744,""fr"",""en"")"),"We have no longer managed to connect for over a month to the new AFER and me site.
Customer service does not really try to understand our problem, tell us that our account is blocked, and that it is enough to wait 48 hours, while the anomaly message is t"&amp;"echnical and specifies that the web page is too redirected. We try again after 48 hours, and that does not change anything obviously.
What to do?
")</f>
        <v>We have no longer managed to connect for over a month to the new AFER and me site.
Customer service does not really try to understand our problem, tell us that our account is blocked, and that it is enough to wait 48 hours, while the anomaly message is technical and specifies that the web page is too redirected. We try again after 48 hours, and that does not change anything obviously.
What to do?
</v>
      </c>
    </row>
    <row r="745" ht="15.75" customHeight="1">
      <c r="B745" s="2" t="s">
        <v>2137</v>
      </c>
      <c r="C745" s="2" t="s">
        <v>2138</v>
      </c>
      <c r="D745" s="2" t="s">
        <v>2006</v>
      </c>
      <c r="E745" s="2" t="s">
        <v>2007</v>
      </c>
      <c r="F745" s="2" t="s">
        <v>15</v>
      </c>
      <c r="G745" s="2" t="s">
        <v>2139</v>
      </c>
      <c r="H745" s="2" t="s">
        <v>288</v>
      </c>
      <c r="I745" s="2" t="str">
        <f>IFERROR(__xludf.DUMMYFUNCTION("GOOGLETRANSLATE(C745,""fr"",""en"")"),"The software of the new AFER site launched in early October to my total surprise (no communication) seems to have been written by beginners: behind an ergonomics which leaves something to be desired (example: need to support 3 return buttons to abandon an"&amp;" operation), features that do not ""work"". Since the beginning of October (48 days), I can no longer pay, ask for an advance or make a buyout. AFER member since 1996 (and entirely satisfied with the old site), the history of my payments disappeared from "&amp;"1996 to 2006 and from 2013 to 2019. It seems clear that this site was not really tested before Its internet. Let us add that no communication was made by AFER on the problem for more than a month.
I have therefore been reduced for more than a month and a"&amp;" half, to return to postal mail to carry out my operations (are these the new promised features?)
Hopefully the right decision is made: have the software rewrite and put the current in the trash.")</f>
        <v>The software of the new AFER site launched in early October to my total surprise (no communication) seems to have been written by beginners: behind an ergonomics which leaves something to be desired (example: need to support 3 return buttons to abandon an operation), features that do not "work". Since the beginning of October (48 days), I can no longer pay, ask for an advance or make a buyout. AFER member since 1996 (and entirely satisfied with the old site), the history of my payments disappeared from 1996 to 2006 and from 2013 to 2019. It seems clear that this site was not really tested before Its internet. Let us add that no communication was made by AFER on the problem for more than a month.
I have therefore been reduced for more than a month and a half, to return to postal mail to carry out my operations (are these the new promised features?)
Hopefully the right decision is made: have the software rewrite and put the current in the trash.</v>
      </c>
    </row>
    <row r="746" ht="15.75" customHeight="1">
      <c r="B746" s="2" t="s">
        <v>2140</v>
      </c>
      <c r="C746" s="2" t="s">
        <v>2141</v>
      </c>
      <c r="D746" s="2" t="s">
        <v>2006</v>
      </c>
      <c r="E746" s="2" t="s">
        <v>2007</v>
      </c>
      <c r="F746" s="2" t="s">
        <v>15</v>
      </c>
      <c r="G746" s="2" t="s">
        <v>2142</v>
      </c>
      <c r="H746" s="2" t="s">
        <v>288</v>
      </c>
      <c r="I746" s="2" t="str">
        <f>IFERROR(__xludf.DUMMYFUNCTION("GOOGLETRANSLATE(C746,""fr"",""en"")"),"adherent for many years after 2 contracts .... as usual fidel has his reputation, afer, t
Always chilly has returned to the savings of its members / Depus on the 17th
October 0C2019 I made a partial buy -back request. To date, on 10.11.2019, I am withou"&amp;"t any response?")</f>
        <v>adherent for many years after 2 contracts .... as usual fidel has his reputation, afer, t
Always chilly has returned to the savings of its members / Depus on the 17th
October 0C2019 I made a partial buy -back request. To date, on 10.11.2019, I am without any response?</v>
      </c>
    </row>
    <row r="747" ht="15.75" customHeight="1">
      <c r="B747" s="2" t="s">
        <v>2143</v>
      </c>
      <c r="C747" s="2" t="s">
        <v>2144</v>
      </c>
      <c r="D747" s="2" t="s">
        <v>2006</v>
      </c>
      <c r="E747" s="2" t="s">
        <v>2007</v>
      </c>
      <c r="F747" s="2" t="s">
        <v>15</v>
      </c>
      <c r="G747" s="2" t="s">
        <v>2145</v>
      </c>
      <c r="H747" s="2" t="s">
        <v>288</v>
      </c>
      <c r="I747" s="2" t="str">
        <f>IFERROR(__xludf.DUMMYFUNCTION("GOOGLETRANSLATE(C747,""fr"",""en"")"),"If you are counting on AFER to make life easier for your descendants, go elsewhere. Succession file of a deceased member completed in early July 2019. No answer since (November), except to play the watch by asking 2 months later questions without object t"&amp;"o which it was nevertheless answered. Suddenly, it is impossible to make the declaration of tax declaration in time since neither the local AFER correspondent, nor the succession service of AFER deign to provide information despite the numerous requests f"&amp;"or transmitting the information necessary for the taxation services (The late penalties due by the heirs as provided for by law in such cases do not seem to concern AFER).")</f>
        <v>If you are counting on AFER to make life easier for your descendants, go elsewhere. Succession file of a deceased member completed in early July 2019. No answer since (November), except to play the watch by asking 2 months later questions without object to which it was nevertheless answered. Suddenly, it is impossible to make the declaration of tax declaration in time since neither the local AFER correspondent, nor the succession service of AFER deign to provide information despite the numerous requests for transmitting the information necessary for the taxation services (The late penalties due by the heirs as provided for by law in such cases do not seem to concern AFER).</v>
      </c>
    </row>
    <row r="748" ht="15.75" customHeight="1">
      <c r="B748" s="2" t="s">
        <v>2146</v>
      </c>
      <c r="C748" s="2" t="s">
        <v>2147</v>
      </c>
      <c r="D748" s="2" t="s">
        <v>2006</v>
      </c>
      <c r="E748" s="2" t="s">
        <v>2007</v>
      </c>
      <c r="F748" s="2" t="s">
        <v>15</v>
      </c>
      <c r="G748" s="2" t="s">
        <v>303</v>
      </c>
      <c r="H748" s="2" t="s">
        <v>288</v>
      </c>
      <c r="I748" s="2" t="str">
        <f>IFERROR(__xludf.DUMMYFUNCTION("GOOGLETRANSLATE(C748,""fr"",""en"")"),"Hello everyone, I made a partial buy -back request of 25,000 euros 20/10/2019, the sum was on my account on 04/11/2019 in Depit of Friday 01/11 which was Ferié.")</f>
        <v>Hello everyone, I made a partial buy -back request of 25,000 euros 20/10/2019, the sum was on my account on 04/11/2019 in Depit of Friday 01/11 which was Ferié.</v>
      </c>
    </row>
    <row r="749" ht="15.75" customHeight="1">
      <c r="B749" s="2" t="s">
        <v>2148</v>
      </c>
      <c r="C749" s="2" t="s">
        <v>2149</v>
      </c>
      <c r="D749" s="2" t="s">
        <v>2006</v>
      </c>
      <c r="E749" s="2" t="s">
        <v>2007</v>
      </c>
      <c r="F749" s="2" t="s">
        <v>15</v>
      </c>
      <c r="G749" s="2" t="s">
        <v>2150</v>
      </c>
      <c r="H749" s="2" t="s">
        <v>307</v>
      </c>
      <c r="I749" s="2" t="str">
        <f>IFERROR(__xludf.DUMMYFUNCTION("GOOGLETRANSLATE(C749,""fr"",""en"")"),"In decline, normal on the fund in euros but very average on specialized UC funds, for example senior future which does not take off while the sector is the most promising side
AFER is no longer the best.")</f>
        <v>In decline, normal on the fund in euros but very average on specialized UC funds, for example senior future which does not take off while the sector is the most promising side
AFER is no longer the best.</v>
      </c>
    </row>
    <row r="750" ht="15.75" customHeight="1">
      <c r="B750" s="2" t="s">
        <v>2151</v>
      </c>
      <c r="C750" s="2" t="s">
        <v>2152</v>
      </c>
      <c r="D750" s="2" t="s">
        <v>2006</v>
      </c>
      <c r="E750" s="2" t="s">
        <v>2007</v>
      </c>
      <c r="F750" s="2" t="s">
        <v>15</v>
      </c>
      <c r="G750" s="2" t="s">
        <v>2153</v>
      </c>
      <c r="H750" s="2" t="s">
        <v>307</v>
      </c>
      <c r="I750" s="2" t="str">
        <f>IFERROR(__xludf.DUMMYFUNCTION("GOOGLETRANSLATE(C750,""fr"",""en"")"),"IT migration has been scheduled since October 2017. The current impossibility of contacting AFER and carrying out withdrawal operations raises the worst for the current situation of this insurer. I think our savings are in great danger.")</f>
        <v>IT migration has been scheduled since October 2017. The current impossibility of contacting AFER and carrying out withdrawal operations raises the worst for the current situation of this insurer. I think our savings are in great danger.</v>
      </c>
    </row>
    <row r="751" ht="15.75" customHeight="1">
      <c r="B751" s="2" t="s">
        <v>2154</v>
      </c>
      <c r="C751" s="2" t="s">
        <v>2155</v>
      </c>
      <c r="D751" s="2" t="s">
        <v>2006</v>
      </c>
      <c r="E751" s="2" t="s">
        <v>2007</v>
      </c>
      <c r="F751" s="2" t="s">
        <v>15</v>
      </c>
      <c r="G751" s="2" t="s">
        <v>310</v>
      </c>
      <c r="H751" s="2" t="s">
        <v>307</v>
      </c>
      <c r="I751" s="2" t="str">
        <f>IFERROR(__xludf.DUMMYFUNCTION("GOOGLETRANSLATE(C751,""fr"",""en"")"),"No way to make partial buyouts.; their new software has been planted for days ... and days ...
The advisers no longer have the hand on the accounts !!
We are completely planted.")</f>
        <v>No way to make partial buyouts.; their new software has been planted for days ... and days ...
The advisers no longer have the hand on the accounts !!
We are completely planted.</v>
      </c>
    </row>
    <row r="752" ht="15.75" customHeight="1">
      <c r="B752" s="2" t="s">
        <v>2156</v>
      </c>
      <c r="C752" s="2" t="s">
        <v>2157</v>
      </c>
      <c r="D752" s="2" t="s">
        <v>2006</v>
      </c>
      <c r="E752" s="2" t="s">
        <v>2007</v>
      </c>
      <c r="F752" s="2" t="s">
        <v>15</v>
      </c>
      <c r="G752" s="2" t="s">
        <v>310</v>
      </c>
      <c r="H752" s="2" t="s">
        <v>307</v>
      </c>
      <c r="I752" s="2" t="str">
        <f>IFERROR(__xludf.DUMMYFUNCTION("GOOGLETRANSLATE(C752,""fr"",""en"")"),"AFER meets many concerns since the deployment of the new website in early October. However, these concerns are only temporary and their contract remains among the cheapest on the market and the simplest. I only regret the low digitalization still currentl"&amp;"y proposed on their contract, the impossibility for my advisor to see my beneficiary clause and the difficulty of contact with their customer services.")</f>
        <v>AFER meets many concerns since the deployment of the new website in early October. However, these concerns are only temporary and their contract remains among the cheapest on the market and the simplest. I only regret the low digitalization still currently proposed on their contract, the impossibility for my advisor to see my beneficiary clause and the difficulty of contact with their customer services.</v>
      </c>
    </row>
    <row r="753" ht="15.75" customHeight="1">
      <c r="B753" s="2" t="s">
        <v>2158</v>
      </c>
      <c r="C753" s="2" t="s">
        <v>2159</v>
      </c>
      <c r="D753" s="2" t="s">
        <v>2006</v>
      </c>
      <c r="E753" s="2" t="s">
        <v>2007</v>
      </c>
      <c r="F753" s="2" t="s">
        <v>15</v>
      </c>
      <c r="G753" s="2" t="s">
        <v>313</v>
      </c>
      <c r="H753" s="2" t="s">
        <v>307</v>
      </c>
      <c r="I753" s="2" t="str">
        <f>IFERROR(__xludf.DUMMYFUNCTION("GOOGLETRANSLATE(C753,""fr"",""en"")"),"Do not make money on time proclaimed by law. To date we have still not received the payment of life insurance following the death of my father. Despite the sending of emails I still have no answer, no one can contact any of the succession service by phone"&amp;" no advisor is able to answer my questions and the lines are saturated. Yet you claim on your site because the satisfaction of our members is what matters in our eyes we will do everything to process your request as quickly as possible. Knowing that the o"&amp;"ther life insurance held by my father were paid to us more than two months ago I do not understand why your services are so long. We are taken hostage, unable to obtain any information and during this time you continue to work with our money. I was unfort"&amp;"unately faced with several family deaths and it is the first time that I have found myself in this situation.")</f>
        <v>Do not make money on time proclaimed by law. To date we have still not received the payment of life insurance following the death of my father. Despite the sending of emails I still have no answer, no one can contact any of the succession service by phone no advisor is able to answer my questions and the lines are saturated. Yet you claim on your site because the satisfaction of our members is what matters in our eyes we will do everything to process your request as quickly as possible. Knowing that the other life insurance held by my father were paid to us more than two months ago I do not understand why your services are so long. We are taken hostage, unable to obtain any information and during this time you continue to work with our money. I was unfortunately faced with several family deaths and it is the first time that I have found myself in this situation.</v>
      </c>
    </row>
    <row r="754" ht="15.75" customHeight="1">
      <c r="B754" s="2" t="s">
        <v>2160</v>
      </c>
      <c r="C754" s="2" t="s">
        <v>2161</v>
      </c>
      <c r="D754" s="2" t="s">
        <v>2006</v>
      </c>
      <c r="E754" s="2" t="s">
        <v>2007</v>
      </c>
      <c r="F754" s="2" t="s">
        <v>15</v>
      </c>
      <c r="G754" s="2" t="s">
        <v>313</v>
      </c>
      <c r="H754" s="2" t="s">
        <v>307</v>
      </c>
      <c r="I754" s="2" t="str">
        <f>IFERROR(__xludf.DUMMYFUNCTION("GOOGLETRANSLATE(C754,""fr"",""en"")"),"AFER no longer answers !!! Impossible to reach AFER which is still a shame when you have property at home for more than 10 years.
Visibly saturated telephone platform
Email remaining systematically unanswered
Letters remaining obviously dead letter ..."&amp;"
Pending for two months of a partial refund and no information.
To run away absolutely, it looks like an American bank in bankruptcy !!! It's shameful, I had never seen this on the part 'an establishment that has a storefront.
 ")</f>
        <v>AFER no longer answers !!! Impossible to reach AFER which is still a shame when you have property at home for more than 10 years.
Visibly saturated telephone platform
Email remaining systematically unanswered
Letters remaining obviously dead letter ...
Pending for two months of a partial refund and no information.
To run away absolutely, it looks like an American bank in bankruptcy !!! It's shameful, I had never seen this on the part 'an establishment that has a storefront.
 </v>
      </c>
    </row>
    <row r="755" ht="15.75" customHeight="1">
      <c r="B755" s="2" t="s">
        <v>2162</v>
      </c>
      <c r="C755" s="2" t="s">
        <v>2163</v>
      </c>
      <c r="D755" s="2" t="s">
        <v>2006</v>
      </c>
      <c r="E755" s="2" t="s">
        <v>2007</v>
      </c>
      <c r="F755" s="2" t="s">
        <v>15</v>
      </c>
      <c r="G755" s="2" t="s">
        <v>724</v>
      </c>
      <c r="H755" s="2" t="s">
        <v>328</v>
      </c>
      <c r="I755" s="2" t="str">
        <f>IFERROR(__xludf.DUMMYFUNCTION("GOOGLETRANSLATE(C755,""fr"",""en"")"),"Aberrant! Partial redemption request made on 24/05 made on my personal space on the site (I specify for some people)! On 18/06 my request no longer exists .... forced to make a written request to be returned by email ... which will be taken in ""emergency"&amp;""".
04/07 still nothing even after 25 calls and 10 emails with unnecessary advisers !! Long live their emergencies!
I do not recommend AFER completely, in addition to an increasingly zero yield, they treat you as less than nothing!
To flee")</f>
        <v>Aberrant! Partial redemption request made on 24/05 made on my personal space on the site (I specify for some people)! On 18/06 my request no longer exists .... forced to make a written request to be returned by email ... which will be taken in "emergency".
04/07 still nothing even after 25 calls and 10 emails with unnecessary advisers !! Long live their emergencies!
I do not recommend AFER completely, in addition to an increasingly zero yield, they treat you as less than nothing!
To flee</v>
      </c>
    </row>
    <row r="756" ht="15.75" customHeight="1">
      <c r="B756" s="2" t="s">
        <v>2164</v>
      </c>
      <c r="C756" s="2" t="s">
        <v>2165</v>
      </c>
      <c r="D756" s="2" t="s">
        <v>2006</v>
      </c>
      <c r="E756" s="2" t="s">
        <v>2007</v>
      </c>
      <c r="F756" s="2" t="s">
        <v>15</v>
      </c>
      <c r="G756" s="2" t="s">
        <v>2166</v>
      </c>
      <c r="H756" s="2" t="s">
        <v>335</v>
      </c>
      <c r="I756" s="2" t="str">
        <f>IFERROR(__xludf.DUMMYFUNCTION("GOOGLETRANSLATE(C756,""fr"",""en"")"),"2 months that I await my partial takeover, at first I am told of normal delays, then of lost papers, in all cases I have not received my savings to date!
Customer service is lamentable, they put me waiting for hours until I hook, 25 years that I was a cu"&amp;"stomer, never again!")</f>
        <v>2 months that I await my partial takeover, at first I am told of normal delays, then of lost papers, in all cases I have not received my savings to date!
Customer service is lamentable, they put me waiting for hours until I hook, 25 years that I was a customer, never again!</v>
      </c>
    </row>
    <row r="757" ht="15.75" customHeight="1">
      <c r="B757" s="2" t="s">
        <v>2167</v>
      </c>
      <c r="C757" s="2" t="s">
        <v>2168</v>
      </c>
      <c r="D757" s="2" t="s">
        <v>2006</v>
      </c>
      <c r="E757" s="2" t="s">
        <v>2007</v>
      </c>
      <c r="F757" s="2" t="s">
        <v>15</v>
      </c>
      <c r="G757" s="2" t="s">
        <v>2169</v>
      </c>
      <c r="H757" s="2" t="s">
        <v>17</v>
      </c>
      <c r="I757" s="2" t="str">
        <f>IFERROR(__xludf.DUMMYFUNCTION("GOOGLETRANSLATE(C757,""fr"",""en"")"),"If you need to liquidate a part (partial redemption) the deadlines are incredibly long: 5 weeks and no explanation. The intermediary insurer (the only interlocutor) does not obtain any information from the GIE AFER ;;; suddenly, having been very dissatisf"&amp;"ied with this situation, I decided, with regret, to close my AFER contract and therefore asked for a total buyout ... 5 weeks ago and still nothing! In the meantime I sent a complaint letter ... 3 weeks ago, and of course, nothing! I am disgusted and real"&amp;"ly regret having had at least 5 people subscribe to AFER contracts.")</f>
        <v>If you need to liquidate a part (partial redemption) the deadlines are incredibly long: 5 weeks and no explanation. The intermediary insurer (the only interlocutor) does not obtain any information from the GIE AFER ;;; suddenly, having been very dissatisfied with this situation, I decided, with regret, to close my AFER contract and therefore asked for a total buyout ... 5 weeks ago and still nothing! In the meantime I sent a complaint letter ... 3 weeks ago, and of course, nothing! I am disgusted and really regret having had at least 5 people subscribe to AFER contracts.</v>
      </c>
    </row>
    <row r="758" ht="15.75" customHeight="1">
      <c r="B758" s="2" t="s">
        <v>2170</v>
      </c>
      <c r="C758" s="2" t="s">
        <v>2171</v>
      </c>
      <c r="D758" s="2" t="s">
        <v>2006</v>
      </c>
      <c r="E758" s="2" t="s">
        <v>2007</v>
      </c>
      <c r="F758" s="2" t="s">
        <v>15</v>
      </c>
      <c r="G758" s="2" t="s">
        <v>2172</v>
      </c>
      <c r="H758" s="2" t="s">
        <v>21</v>
      </c>
      <c r="I758" s="2" t="str">
        <f>IFERROR(__xludf.DUMMYFUNCTION("GOOGLETRANSLATE(C758,""fr"",""en"")"),"Having joined several AFER contracts with my disabled wife and daughter we discover with amazement that we remain attached forever to our broker - a woman who has a street store in Paris where we reside - who does not want to let go for another Broker in "&amp;"the same AFER company. We had come to AFER through a wealth advisor attached to the Unapei of Paris since we have a disabled girl for which we also seek satisfactory financial solutions.
Tired of the impossibility of joining it without having the impress"&amp;"ion of disturbing it and not providing us with any information on the investments after more than 16 years it energetically refuses that we are passing by another broker always at AFER ready for us receive.
We will have to withdraw all our money and lose"&amp;" our seniority and all the advantages acquired since our subscription 16 years ago. She also encouraged us in her time to make placements at AXA, who keeps castigating the too poor functioning of AFER.
We have tried to join the direction of AFER which bo"&amp;"ots in touch and tells us that she can do nothing.
So advice run away AFER that lies and don't tell you that if you subscribe to a contract you can never change broker in this same insurance company except to lose all your interests. Bad deal at AFER the"&amp;" broker is for life.
")</f>
        <v>Having joined several AFER contracts with my disabled wife and daughter we discover with amazement that we remain attached forever to our broker - a woman who has a street store in Paris where we reside - who does not want to let go for another Broker in the same AFER company. We had come to AFER through a wealth advisor attached to the Unapei of Paris since we have a disabled girl for which we also seek satisfactory financial solutions.
Tired of the impossibility of joining it without having the impression of disturbing it and not providing us with any information on the investments after more than 16 years it energetically refuses that we are passing by another broker always at AFER ready for us receive.
We will have to withdraw all our money and lose our seniority and all the advantages acquired since our subscription 16 years ago. She also encouraged us in her time to make placements at AXA, who keeps castigating the too poor functioning of AFER.
We have tried to join the direction of AFER which boots in touch and tells us that she can do nothing.
So advice run away AFER that lies and don't tell you that if you subscribe to a contract you can never change broker in this same insurance company except to lose all your interests. Bad deal at AFER the broker is for life.
</v>
      </c>
    </row>
    <row r="759" ht="15.75" customHeight="1">
      <c r="B759" s="2" t="s">
        <v>2173</v>
      </c>
      <c r="C759" s="2" t="s">
        <v>2174</v>
      </c>
      <c r="D759" s="2" t="s">
        <v>2006</v>
      </c>
      <c r="E759" s="2" t="s">
        <v>2007</v>
      </c>
      <c r="F759" s="2" t="s">
        <v>15</v>
      </c>
      <c r="G759" s="2" t="s">
        <v>2175</v>
      </c>
      <c r="H759" s="2" t="s">
        <v>31</v>
      </c>
      <c r="I759" s="2" t="str">
        <f>IFERROR(__xludf.DUMMYFUNCTION("GOOGLETRANSLATE(C759,""fr"",""en"")"),"During the death of my father in 2003, my mother decided to benefit from the entire heritage of my father in usufruct.
She notably placed 75,000 euros on a multi-support contract, of which I remained the bare owner.
My mother died on June 25, 2018 and s"&amp;"ince then it is impossible for me to recover all of my property, bare ownership and usufruct. There is always a paper. The notary was concerned about it and sent certificates to the succession service. Despite this and many reminders and approaches I stil"&amp;"l do not have my money.
More serious, unemployed for several months, I wanted to use these funds to allow me to invest in a company for which I negotiated for more than 3 months. Faced with the impossibility of perceiving my money I was forced to give up"&amp;" the purchase and I lost 3,500 euro of deduces plus an opportunity to rebound professionally.
Run away
")</f>
        <v>During the death of my father in 2003, my mother decided to benefit from the entire heritage of my father in usufruct.
She notably placed 75,000 euros on a multi-support contract, of which I remained the bare owner.
My mother died on June 25, 2018 and since then it is impossible for me to recover all of my property, bare ownership and usufruct. There is always a paper. The notary was concerned about it and sent certificates to the succession service. Despite this and many reminders and approaches I still do not have my money.
More serious, unemployed for several months, I wanted to use these funds to allow me to invest in a company for which I negotiated for more than 3 months. Faced with the impossibility of perceiving my money I was forced to give up the purchase and I lost 3,500 euro of deduces plus an opportunity to rebound professionally.
Run away
</v>
      </c>
    </row>
    <row r="760" ht="15.75" customHeight="1">
      <c r="B760" s="2" t="s">
        <v>2176</v>
      </c>
      <c r="C760" s="2" t="s">
        <v>2177</v>
      </c>
      <c r="D760" s="2" t="s">
        <v>2006</v>
      </c>
      <c r="E760" s="2" t="s">
        <v>2007</v>
      </c>
      <c r="F760" s="2" t="s">
        <v>15</v>
      </c>
      <c r="G760" s="2" t="s">
        <v>958</v>
      </c>
      <c r="H760" s="2" t="s">
        <v>46</v>
      </c>
      <c r="I760" s="2" t="str">
        <f>IFERROR(__xludf.DUMMYFUNCTION("GOOGLETRANSLATE(C760,""fr"",""en"")"),"Hello
For any placement I do not advise AFER
I opened an account in June 2013
My cumulation of payment to date is in the amount of 54000th with a capital more vertices 1000th out of 5 and a half distributed 60 percent in FG and 40 percent in UC
I let "&amp;"you refer
I am below the 1 percent yield
I continue to make monthly payments but it is white background as snow
Today I don't know what to do
I finish with this word
CONGRATULATIONS
")</f>
        <v>Hello
For any placement I do not advise AFER
I opened an account in June 2013
My cumulation of payment to date is in the amount of 54000th with a capital more vertices 1000th out of 5 and a half distributed 60 percent in FG and 40 percent in UC
I let you refer
I am below the 1 percent yield
I continue to make monthly payments but it is white background as snow
Today I don't know what to do
I finish with this word
CONGRATULATIONS
</v>
      </c>
    </row>
    <row r="761" ht="15.75" customHeight="1">
      <c r="B761" s="2" t="s">
        <v>2178</v>
      </c>
      <c r="C761" s="2" t="s">
        <v>2179</v>
      </c>
      <c r="D761" s="2" t="s">
        <v>2006</v>
      </c>
      <c r="E761" s="2" t="s">
        <v>2007</v>
      </c>
      <c r="F761" s="2" t="s">
        <v>15</v>
      </c>
      <c r="G761" s="2" t="s">
        <v>2180</v>
      </c>
      <c r="H761" s="2" t="s">
        <v>66</v>
      </c>
      <c r="I761" s="2" t="str">
        <f>IFERROR(__xludf.DUMMYFUNCTION("GOOGLETRANSLATE(C761,""fr"",""en"")"),"Hello,
 I wish to terminate my contract
  Multi -support Afer euro growth 100% guaranteed funds in euros (which really pays nothing) by deducting the entrance fees, and the costs on each payment, my question and the following when I have to close my acc"&amp;"ount not to lose This year's benefit can be reached in order to return to my money. Thank you for your answers")</f>
        <v>Hello,
 I wish to terminate my contract
  Multi -support Afer euro growth 100% guaranteed funds in euros (which really pays nothing) by deducting the entrance fees, and the costs on each payment, my question and the following when I have to close my account not to lose This year's benefit can be reached in order to return to my money. Thank you for your answers</v>
      </c>
    </row>
    <row r="762" ht="15.75" customHeight="1">
      <c r="B762" s="2" t="s">
        <v>2181</v>
      </c>
      <c r="C762" s="2" t="s">
        <v>2182</v>
      </c>
      <c r="D762" s="2" t="s">
        <v>2006</v>
      </c>
      <c r="E762" s="2" t="s">
        <v>2007</v>
      </c>
      <c r="F762" s="2" t="s">
        <v>15</v>
      </c>
      <c r="G762" s="2" t="s">
        <v>2183</v>
      </c>
      <c r="H762" s="2" t="s">
        <v>81</v>
      </c>
      <c r="I762" s="2" t="str">
        <f>IFERROR(__xludf.DUMMYFUNCTION("GOOGLETRANSLATE(C762,""fr"",""en"")"),"This insurer is stronger to keep our money than to get it. All the arguments are good for preventing you from withdrawing money. And when you finally succeed in ""negotiating"" a fundraising it takes an infinite time to obtain the payment. I strongly advi"&amp;"se against this insurer.")</f>
        <v>This insurer is stronger to keep our money than to get it. All the arguments are good for preventing you from withdrawing money. And when you finally succeed in "negotiating" a fundraising it takes an infinite time to obtain the payment. I strongly advise against this insurer.</v>
      </c>
    </row>
    <row r="763" ht="15.75" customHeight="1">
      <c r="B763" s="2" t="s">
        <v>2042</v>
      </c>
      <c r="C763" s="2" t="s">
        <v>2184</v>
      </c>
      <c r="D763" s="2" t="s">
        <v>2006</v>
      </c>
      <c r="E763" s="2" t="s">
        <v>2007</v>
      </c>
      <c r="F763" s="2" t="s">
        <v>15</v>
      </c>
      <c r="G763" s="2" t="s">
        <v>2185</v>
      </c>
      <c r="H763" s="2" t="s">
        <v>85</v>
      </c>
      <c r="I763" s="2" t="str">
        <f>IFERROR(__xludf.DUMMYFUNCTION("GOOGLETRANSLATE(C763,""fr"",""en"")"),"To be a member is very simple, to make payments too, but the day you want to recover your savings, the problems begin, and this is only the start, you must contact the customer service which sends you to another service, which Do not take care of the buyo"&amp;"uts and finally give you the phone number of the seat which does not answer. In the meantime we search on the internet, there is a questionnaire to refer to the headquarters of the GIE AFER, a real police questionnaire, as If we don't know you after 25 ye"&amp;"ars of membership ....
Proof, identity, domicile, taxation, photocopies of this from that etc ... What are you going to do with this money ?? And I forget.
It remains to send a recommended to the president of the case, I am there! I'll let you know what"&amp;" happens next")</f>
        <v>To be a member is very simple, to make payments too, but the day you want to recover your savings, the problems begin, and this is only the start, you must contact the customer service which sends you to another service, which Do not take care of the buyouts and finally give you the phone number of the seat which does not answer. In the meantime we search on the internet, there is a questionnaire to refer to the headquarters of the GIE AFER, a real police questionnaire, as If we don't know you after 25 years of membership ....
Proof, identity, domicile, taxation, photocopies of this from that etc ... What are you going to do with this money ?? And I forget.
It remains to send a recommended to the president of the case, I am there! I'll let you know what happens next</v>
      </c>
    </row>
    <row r="764" ht="15.75" customHeight="1">
      <c r="B764" s="2" t="s">
        <v>2186</v>
      </c>
      <c r="C764" s="2" t="s">
        <v>33</v>
      </c>
      <c r="D764" s="2" t="s">
        <v>2006</v>
      </c>
      <c r="E764" s="2" t="s">
        <v>2007</v>
      </c>
      <c r="F764" s="2" t="s">
        <v>15</v>
      </c>
      <c r="G764" s="2" t="s">
        <v>1922</v>
      </c>
      <c r="H764" s="2" t="s">
        <v>395</v>
      </c>
      <c r="I764" s="2" t="str">
        <f>IFERROR(__xludf.DUMMYFUNCTION("GOOGLETRANSLATE(C764,""fr"",""en"")"),"Intervention deleted at the request of the Internet user.")</f>
        <v>Intervention deleted at the request of the Internet user.</v>
      </c>
    </row>
    <row r="765" ht="15.75" customHeight="1">
      <c r="B765" s="2" t="s">
        <v>2187</v>
      </c>
      <c r="C765" s="2" t="s">
        <v>2188</v>
      </c>
      <c r="D765" s="2" t="s">
        <v>2006</v>
      </c>
      <c r="E765" s="2" t="s">
        <v>2007</v>
      </c>
      <c r="F765" s="2" t="s">
        <v>15</v>
      </c>
      <c r="G765" s="2" t="s">
        <v>2189</v>
      </c>
      <c r="H765" s="2" t="s">
        <v>395</v>
      </c>
      <c r="I765" s="2" t="str">
        <f>IFERROR(__xludf.DUMMYFUNCTION("GOOGLETRANSLATE(C765,""fr"",""en"")"),"Application in advance made without problem on the AFER website, 1 week to receive the transfer to his account, thank you.
Noted to make requests in advance or partial redemption or arbitration on Monday before midnight if not a week delay for treatment.")</f>
        <v>Application in advance made without problem on the AFER website, 1 week to receive the transfer to his account, thank you.
Noted to make requests in advance or partial redemption or arbitration on Monday before midnight if not a week delay for treatment.</v>
      </c>
    </row>
    <row r="766" ht="15.75" customHeight="1">
      <c r="B766" s="2" t="s">
        <v>2190</v>
      </c>
      <c r="C766" s="2" t="s">
        <v>2191</v>
      </c>
      <c r="D766" s="2" t="s">
        <v>2006</v>
      </c>
      <c r="E766" s="2" t="s">
        <v>2007</v>
      </c>
      <c r="F766" s="2" t="s">
        <v>15</v>
      </c>
      <c r="G766" s="2" t="s">
        <v>96</v>
      </c>
      <c r="H766" s="2" t="s">
        <v>96</v>
      </c>
      <c r="I766" s="2" t="str">
        <f>IFERROR(__xludf.DUMMYFUNCTION("GOOGLETRANSLATE(C766,""fr"",""en"")"),"Regarding the treatment of successions is a real disaster: lost documents, non -compliance with the contract, ghost or incompetent correspondents, lack of consideration of the insured.")</f>
        <v>Regarding the treatment of successions is a real disaster: lost documents, non -compliance with the contract, ghost or incompetent correspondents, lack of consideration of the insured.</v>
      </c>
    </row>
    <row r="767" ht="15.75" customHeight="1">
      <c r="B767" s="2" t="s">
        <v>2192</v>
      </c>
      <c r="C767" s="2" t="s">
        <v>2193</v>
      </c>
      <c r="D767" s="2" t="s">
        <v>2006</v>
      </c>
      <c r="E767" s="2" t="s">
        <v>2007</v>
      </c>
      <c r="F767" s="2" t="s">
        <v>15</v>
      </c>
      <c r="G767" s="2" t="s">
        <v>829</v>
      </c>
      <c r="H767" s="2" t="s">
        <v>460</v>
      </c>
      <c r="I767" s="2" t="str">
        <f>IFERROR(__xludf.DUMMYFUNCTION("GOOGLETRANSLATE(C767,""fr"",""en"")"),"The headquarters of AFER or the administrative bounded to the highest point. My mother is 98 years old and wishes a total repurchase of her contract. AFER refuses the payment on the grounds that his identity card is expired. She does not move and it is di"&amp;"fficult to go and take photos,
His need is urgent. A question was asked in AFER ""Information Service Adherents"" 3 months before requiring the documents to be transmitted as part of a total buyout. The answer only specified a request on free paper. This"&amp;" organization requires an official document with photo. Nothing of the other official documents can satisfy them, whether photocopy of family book, pension title, invoices, allocation document. Difficult to find worse in misunderstanding. On the other han"&amp;"d, a very high quality of service from the local AFER cabinet.")</f>
        <v>The headquarters of AFER or the administrative bounded to the highest point. My mother is 98 years old and wishes a total repurchase of her contract. AFER refuses the payment on the grounds that his identity card is expired. She does not move and it is difficult to go and take photos,
His need is urgent. A question was asked in AFER "Information Service Adherents" 3 months before requiring the documents to be transmitted as part of a total buyout. The answer only specified a request on free paper. This organization requires an official document with photo. Nothing of the other official documents can satisfy them, whether photocopy of family book, pension title, invoices, allocation document. Difficult to find worse in misunderstanding. On the other hand, a very high quality of service from the local AFER cabinet.</v>
      </c>
    </row>
    <row r="768" ht="15.75" customHeight="1">
      <c r="B768" s="2" t="s">
        <v>2194</v>
      </c>
      <c r="C768" s="2" t="s">
        <v>2195</v>
      </c>
      <c r="D768" s="2" t="s">
        <v>2006</v>
      </c>
      <c r="E768" s="2" t="s">
        <v>2007</v>
      </c>
      <c r="F768" s="2" t="s">
        <v>15</v>
      </c>
      <c r="G768" s="2" t="s">
        <v>2196</v>
      </c>
      <c r="H768" s="2" t="s">
        <v>460</v>
      </c>
      <c r="I768" s="2" t="str">
        <f>IFERROR(__xludf.DUMMYFUNCTION("GOOGLETRANSLATE(C768,""fr"",""en"")"),"I have the same problems: poor communication with members who are not very careful, request for reimbursement of March 6 not satisfied to date under false pretexts, additional documents requested in several times when they have been sent, etc. ....")</f>
        <v>I have the same problems: poor communication with members who are not very careful, request for reimbursement of March 6 not satisfied to date under false pretexts, additional documents requested in several times when they have been sent, etc. ....</v>
      </c>
    </row>
    <row r="769" ht="15.75" customHeight="1">
      <c r="B769" s="2" t="s">
        <v>2197</v>
      </c>
      <c r="C769" s="2" t="s">
        <v>2198</v>
      </c>
      <c r="D769" s="2" t="s">
        <v>2006</v>
      </c>
      <c r="E769" s="2" t="s">
        <v>2007</v>
      </c>
      <c r="F769" s="2" t="s">
        <v>15</v>
      </c>
      <c r="G769" s="2" t="s">
        <v>2199</v>
      </c>
      <c r="H769" s="2" t="s">
        <v>131</v>
      </c>
      <c r="I769" s="2" t="str">
        <f>IFERROR(__xludf.DUMMYFUNCTION("GOOGLETRANSLATE(C769,""fr"",""en"")"),"average report.
But what seems important to me is that it is very difficult to recover your money.
I asked for a buyout of a small sum and I was told a delai of 15 working days. It's been almost a month. It's worrying.")</f>
        <v>average report.
But what seems important to me is that it is very difficult to recover your money.
I asked for a buyout of a small sum and I was told a delai of 15 working days. It's been almost a month. It's worrying.</v>
      </c>
    </row>
    <row r="770" ht="15.75" customHeight="1">
      <c r="B770" s="2" t="s">
        <v>2178</v>
      </c>
      <c r="C770" s="2" t="s">
        <v>2200</v>
      </c>
      <c r="D770" s="2" t="s">
        <v>2006</v>
      </c>
      <c r="E770" s="2" t="s">
        <v>2007</v>
      </c>
      <c r="F770" s="2" t="s">
        <v>15</v>
      </c>
      <c r="G770" s="2" t="s">
        <v>1964</v>
      </c>
      <c r="H770" s="2" t="s">
        <v>836</v>
      </c>
      <c r="I770" s="2" t="str">
        <f>IFERROR(__xludf.DUMMYFUNCTION("GOOGLETRANSLATE(C770,""fr"",""en"")"),"Contract with good yield and a simple and wide choice of supports. Flexible and possibility of making regular arbitrations for my payment, it is practical to avoid buying at the highest.")</f>
        <v>Contract with good yield and a simple and wide choice of supports. Flexible and possibility of making regular arbitrations for my payment, it is practical to avoid buying at the highest.</v>
      </c>
    </row>
    <row r="771" ht="15.75" customHeight="1">
      <c r="B771" s="2" t="s">
        <v>2201</v>
      </c>
      <c r="C771" s="2" t="s">
        <v>2202</v>
      </c>
      <c r="D771" s="2" t="s">
        <v>2006</v>
      </c>
      <c r="E771" s="2" t="s">
        <v>2007</v>
      </c>
      <c r="F771" s="2" t="s">
        <v>15</v>
      </c>
      <c r="G771" s="2" t="s">
        <v>2203</v>
      </c>
      <c r="H771" s="2" t="s">
        <v>836</v>
      </c>
      <c r="I771" s="2" t="str">
        <f>IFERROR(__xludf.DUMMYFUNCTION("GOOGLETRANSLATE(C771,""fr"",""en"")"),"Hello,
I have opened an account for a year, AFER takes a percentage on each payment, and well after a year despite the interests of this year, I find myself with less money than my initial payment can I tell me if it's normal...")</f>
        <v>Hello,
I have opened an account for a year, AFER takes a percentage on each payment, and well after a year despite the interests of this year, I find myself with less money than my initial payment can I tell me if it's normal...</v>
      </c>
    </row>
    <row r="772" ht="15.75" customHeight="1">
      <c r="B772" s="2" t="s">
        <v>2204</v>
      </c>
      <c r="C772" s="2" t="s">
        <v>2205</v>
      </c>
      <c r="D772" s="2" t="s">
        <v>2006</v>
      </c>
      <c r="E772" s="2" t="s">
        <v>2007</v>
      </c>
      <c r="F772" s="2" t="s">
        <v>15</v>
      </c>
      <c r="G772" s="2" t="s">
        <v>2206</v>
      </c>
      <c r="H772" s="2" t="s">
        <v>145</v>
      </c>
      <c r="I772" s="2" t="str">
        <f>IFERROR(__xludf.DUMMYFUNCTION("GOOGLETRANSLATE(C772,""fr"",""en"")"),"The way in which the real estate background was opened and closed a few hours later, is unworthy of an association for the protection of the goals! So I find my investment in the Euro Fond that I didn't want to. Only the ""initiates"" knew the combination"&amp;"!")</f>
        <v>The way in which the real estate background was opened and closed a few hours later, is unworthy of an association for the protection of the goals! So I find my investment in the Euro Fond that I didn't want to. Only the "initiates" knew the combination!</v>
      </c>
    </row>
    <row r="773" ht="15.75" customHeight="1">
      <c r="B773" s="2" t="s">
        <v>2207</v>
      </c>
      <c r="C773" s="2" t="s">
        <v>2208</v>
      </c>
      <c r="D773" s="2" t="s">
        <v>2006</v>
      </c>
      <c r="E773" s="2" t="s">
        <v>2007</v>
      </c>
      <c r="F773" s="2" t="s">
        <v>15</v>
      </c>
      <c r="G773" s="2" t="s">
        <v>2209</v>
      </c>
      <c r="H773" s="2" t="s">
        <v>1053</v>
      </c>
      <c r="I773" s="2" t="str">
        <f>IFERROR(__xludf.DUMMYFUNCTION("GOOGLETRANSLATE(C773,""fr"",""en"")"),"It is true that remuneration is good. But .. but the acquisition is something appalling. The Doosier was treated with more than a month late with loss of value on account units. It is very difficult to have the final count that allowed me to realize this "&amp;"situation. After rejection of my compensation request, it was finally accepted. Always without summary count. This shows and administrative problems and transparency problems.")</f>
        <v>It is true that remuneration is good. But .. but the acquisition is something appalling. The Doosier was treated with more than a month late with loss of value on account units. It is very difficult to have the final count that allowed me to realize this situation. After rejection of my compensation request, it was finally accepted. Always without summary count. This shows and administrative problems and transparency problems.</v>
      </c>
    </row>
    <row r="774" ht="15.75" customHeight="1">
      <c r="B774" s="2" t="s">
        <v>2210</v>
      </c>
      <c r="C774" s="2" t="s">
        <v>2211</v>
      </c>
      <c r="D774" s="2" t="s">
        <v>1673</v>
      </c>
      <c r="E774" s="2" t="s">
        <v>2007</v>
      </c>
      <c r="F774" s="2" t="s">
        <v>15</v>
      </c>
      <c r="G774" s="2" t="s">
        <v>2212</v>
      </c>
      <c r="H774" s="2" t="s">
        <v>194</v>
      </c>
      <c r="I774" s="2" t="str">
        <f>IFERROR(__xludf.DUMMYFUNCTION("GOOGLETRANSLATE(C774,""fr"",""en"")"),"After the death in February 2021 of my father, the insurer SOGECAP made every effort so as not to allow us to constitute the beneficiary file. To date, we are still waiting. Thus avoiding paying bonuses returning to us.
They repeat to each of our calls t"&amp;"hat we will receive by mail the opening codes of the beneficiary space. What to do? Seize the mediator?
In the meantime, having myself signed a contract, I will take it out ... since this insurer is not reliable, nor competent.")</f>
        <v>After the death in February 2021 of my father, the insurer SOGECAP made every effort so as not to allow us to constitute the beneficiary file. To date, we are still waiting. Thus avoiding paying bonuses returning to us.
They repeat to each of our calls that we will receive by mail the opening codes of the beneficiary space. What to do? Seize the mediator?
In the meantime, having myself signed a contract, I will take it out ... since this insurer is not reliable, nor competent.</v>
      </c>
    </row>
    <row r="775" ht="15.75" customHeight="1">
      <c r="B775" s="2" t="s">
        <v>2213</v>
      </c>
      <c r="C775" s="2" t="s">
        <v>2214</v>
      </c>
      <c r="D775" s="2" t="s">
        <v>1673</v>
      </c>
      <c r="E775" s="2" t="s">
        <v>2007</v>
      </c>
      <c r="F775" s="2" t="s">
        <v>15</v>
      </c>
      <c r="G775" s="2" t="s">
        <v>1339</v>
      </c>
      <c r="H775" s="2" t="s">
        <v>160</v>
      </c>
      <c r="I775" s="2" t="str">
        <f>IFERROR(__xludf.DUMMYFUNCTION("GOOGLETRANSLATE(C775,""fr"",""en"")"),"I am more than unhappy ...
My mother died in December 2020. The whole complete file was sent to Sogecap whose notorotic certificate ... In June having no news I contacted them I have not received this famous certificate then qq seconds later apologize, h"&amp;"ave found it and do the necessary; On August 18, I contacted them again, still the same script, no certificate and then found ... and there I was assured of sending the file that I had to fill out at the end of August at the beginning of September; But th"&amp;"is September 13 the notary received from their part a letter claiming a noivelle times this certificate which he had already sent them twice !!!
The day I see this certificate I will have it supervised !! I hope to get satisfaction one day but?")</f>
        <v>I am more than unhappy ...
My mother died in December 2020. The whole complete file was sent to Sogecap whose notorotic certificate ... In June having no news I contacted them I have not received this famous certificate then qq seconds later apologize, have found it and do the necessary; On August 18, I contacted them again, still the same script, no certificate and then found ... and there I was assured of sending the file that I had to fill out at the end of August at the beginning of September; But this September 13 the notary received from their part a letter claiming a noivelle times this certificate which he had already sent them twice !!!
The day I see this certificate I will have it supervised !! I hope to get satisfaction one day but?</v>
      </c>
    </row>
    <row r="776" ht="15.75" customHeight="1">
      <c r="B776" s="2" t="s">
        <v>2215</v>
      </c>
      <c r="C776" s="2" t="s">
        <v>2216</v>
      </c>
      <c r="D776" s="2" t="s">
        <v>1673</v>
      </c>
      <c r="E776" s="2" t="s">
        <v>2007</v>
      </c>
      <c r="F776" s="2" t="s">
        <v>15</v>
      </c>
      <c r="G776" s="2" t="s">
        <v>2217</v>
      </c>
      <c r="H776" s="2" t="s">
        <v>172</v>
      </c>
      <c r="I776" s="2" t="str">
        <f>IFERROR(__xludf.DUMMYFUNCTION("GOOGLETRANSLATE(C776,""fr"",""en"")"),"I have life insurance following my father's decline at the end of 2020. It's been 5 months. The SG contacted me until the beginning of May, when I had made a request by AGIRA in January (completely useless body, nothing has moved before 4 months, and only"&amp;" because the other Bene -Fixture relaunched them several times). And now it is dragging, 2 weeks that the papers were provided, the SG takes a week to accuse reception, and then more news, the file is ""adjusted"" according to the site. I tried to reach t"&amp;"he advisor assigned to us, I left him 5 messages, never had an answer. Zero service, and the SG keeps the money to make it work, I do not see any other reason for their slowness")</f>
        <v>I have life insurance following my father's decline at the end of 2020. It's been 5 months. The SG contacted me until the beginning of May, when I had made a request by AGIRA in January (completely useless body, nothing has moved before 4 months, and only because the other Bene -Fixture relaunched them several times). And now it is dragging, 2 weeks that the papers were provided, the SG takes a week to accuse reception, and then more news, the file is "adjusted" according to the site. I tried to reach the advisor assigned to us, I left him 5 messages, never had an answer. Zero service, and the SG keeps the money to make it work, I do not see any other reason for their slowness</v>
      </c>
    </row>
    <row r="777" ht="15.75" customHeight="1">
      <c r="B777" s="2" t="s">
        <v>2218</v>
      </c>
      <c r="C777" s="2" t="s">
        <v>2219</v>
      </c>
      <c r="D777" s="2" t="s">
        <v>1673</v>
      </c>
      <c r="E777" s="2" t="s">
        <v>2007</v>
      </c>
      <c r="F777" s="2" t="s">
        <v>15</v>
      </c>
      <c r="G777" s="2" t="s">
        <v>1434</v>
      </c>
      <c r="H777" s="2" t="s">
        <v>172</v>
      </c>
      <c r="I777" s="2" t="str">
        <f>IFERROR(__xludf.DUMMYFUNCTION("GOOGLETRANSLATE(C777,""fr"",""en"")"),"Following the deces of my mother in July, I am a benefit of life insurance. It's been 3 times that they ask me for the same document and 3 times I send them. I had received a letter from them saying that it was complete. To believe that they lose the pape"&amp;"rs.")</f>
        <v>Following the deces of my mother in July, I am a benefit of life insurance. It's been 3 times that they ask me for the same document and 3 times I send them. I had received a letter from them saying that it was complete. To believe that they lose the papers.</v>
      </c>
    </row>
    <row r="778" ht="15.75" customHeight="1">
      <c r="B778" s="2" t="s">
        <v>2220</v>
      </c>
      <c r="C778" s="2" t="s">
        <v>2221</v>
      </c>
      <c r="D778" s="2" t="s">
        <v>1673</v>
      </c>
      <c r="E778" s="2" t="s">
        <v>2007</v>
      </c>
      <c r="F778" s="2" t="s">
        <v>15</v>
      </c>
      <c r="G778" s="2" t="s">
        <v>499</v>
      </c>
      <c r="H778" s="2" t="s">
        <v>496</v>
      </c>
      <c r="I778" s="2" t="str">
        <f>IFERROR(__xludf.DUMMYFUNCTION("GOOGLETRANSLATE(C778,""fr"",""en"")"),"I am very surprised to see the number of negative opinions on the site concerning payments.
Benefit of life insurance by a parent, I sent all the papers via the Internet on their platform. I once needed details on a document, so I called the dedicated nu"&amp;"mber, a person replied and explained well.
One month later, once all of the documents have been transmitted, I was settled on my bank account.
Nothing to say, perfect service")</f>
        <v>I am very surprised to see the number of negative opinions on the site concerning payments.
Benefit of life insurance by a parent, I sent all the papers via the Internet on their platform. I once needed details on a document, so I called the dedicated number, a person replied and explained well.
One month later, once all of the documents have been transmitted, I was settled on my bank account.
Nothing to say, perfect service</v>
      </c>
    </row>
    <row r="779" ht="15.75" customHeight="1">
      <c r="B779" s="2" t="s">
        <v>2222</v>
      </c>
      <c r="C779" s="2" t="s">
        <v>2223</v>
      </c>
      <c r="D779" s="2" t="s">
        <v>1673</v>
      </c>
      <c r="E779" s="2" t="s">
        <v>2007</v>
      </c>
      <c r="F779" s="2" t="s">
        <v>15</v>
      </c>
      <c r="G779" s="2" t="s">
        <v>649</v>
      </c>
      <c r="H779" s="2" t="s">
        <v>496</v>
      </c>
      <c r="I779" s="2" t="str">
        <f>IFERROR(__xludf.DUMMYFUNCTION("GOOGLETRANSLATE(C779,""fr"",""en"")"),"Processing time for very long succession files: 10 months with frequent reminders. The documents in the file are requested in the drops. No additional interest paid. The postal bank processed an identical file in 15 days under the same containment and tel"&amp;"ework conditions.")</f>
        <v>Processing time for very long succession files: 10 months with frequent reminders. The documents in the file are requested in the drops. No additional interest paid. The postal bank processed an identical file in 15 days under the same containment and telework conditions.</v>
      </c>
    </row>
    <row r="780" ht="15.75" customHeight="1">
      <c r="B780" s="2" t="s">
        <v>2224</v>
      </c>
      <c r="C780" s="2" t="s">
        <v>2225</v>
      </c>
      <c r="D780" s="2" t="s">
        <v>1673</v>
      </c>
      <c r="E780" s="2" t="s">
        <v>2007</v>
      </c>
      <c r="F780" s="2" t="s">
        <v>15</v>
      </c>
      <c r="G780" s="2" t="s">
        <v>2226</v>
      </c>
      <c r="H780" s="2" t="s">
        <v>214</v>
      </c>
      <c r="I780" s="2" t="str">
        <f>IFERROR(__xludf.DUMMYFUNCTION("GOOGLETRANSLATE(C780,""fr"",""en"")"),"Hello
Combined with Société Générale and Segecap, they form an unnecessary team, insensitive to my normal requests, delay after delay still awaiting the response required to cancel and reimburse my money, (reason without employment for more than two year"&amp;"s a reason registered in the contract)
David")</f>
        <v>Hello
Combined with Société Générale and Segecap, they form an unnecessary team, insensitive to my normal requests, delay after delay still awaiting the response required to cancel and reimburse my money, (reason without employment for more than two years a reason registered in the contract)
David</v>
      </c>
    </row>
    <row r="781" ht="15.75" customHeight="1">
      <c r="B781" s="2" t="s">
        <v>2227</v>
      </c>
      <c r="C781" s="2" t="s">
        <v>2228</v>
      </c>
      <c r="D781" s="2" t="s">
        <v>1673</v>
      </c>
      <c r="E781" s="2" t="s">
        <v>2007</v>
      </c>
      <c r="F781" s="2" t="s">
        <v>15</v>
      </c>
      <c r="G781" s="2" t="s">
        <v>2229</v>
      </c>
      <c r="H781" s="2" t="s">
        <v>554</v>
      </c>
      <c r="I781" s="2" t="str">
        <f>IFERROR(__xludf.DUMMYFUNCTION("GOOGLETRANSLATE(C781,""fr"",""en"")"),"Bof")</f>
        <v>Bof</v>
      </c>
    </row>
    <row r="782" ht="15.75" customHeight="1">
      <c r="B782" s="2" t="s">
        <v>2230</v>
      </c>
      <c r="C782" s="2" t="s">
        <v>2231</v>
      </c>
      <c r="D782" s="2" t="s">
        <v>1673</v>
      </c>
      <c r="E782" s="2" t="s">
        <v>2007</v>
      </c>
      <c r="F782" s="2" t="s">
        <v>15</v>
      </c>
      <c r="G782" s="2" t="s">
        <v>737</v>
      </c>
      <c r="H782" s="2" t="s">
        <v>572</v>
      </c>
      <c r="I782" s="2" t="str">
        <f>IFERROR(__xludf.DUMMYFUNCTION("GOOGLETRANSLATE(C782,""fr"",""en"")"),"Fees on payment and high arbitration fees, annual net return on low -efficient euro support, little visibility concerning the advance (and especially no answer on this subject of the Société Générale agency which heads for the contract) and In the end, a "&amp;"redemption recommended on 2 mature and well supplied mature contracts ... to serve as equity within the framework of a real estate loan Société Générale which has delayed to profile and in the end at a less interesting rate than that initially advanced ( "&amp;"For us to shit ...). Double punishment. Establishment to flee absolutely and yet I have been a customer for more than 20 years ... Things have changed unfortunately.")</f>
        <v>Fees on payment and high arbitration fees, annual net return on low -efficient euro support, little visibility concerning the advance (and especially no answer on this subject of the Société Générale agency which heads for the contract) and In the end, a redemption recommended on 2 mature and well supplied mature contracts ... to serve as equity within the framework of a real estate loan Société Générale which has delayed to profile and in the end at a less interesting rate than that initially advanced ( For us to shit ...). Double punishment. Establishment to flee absolutely and yet I have been a customer for more than 20 years ... Things have changed unfortunately.</v>
      </c>
    </row>
    <row r="783" ht="15.75" customHeight="1">
      <c r="B783" s="2" t="s">
        <v>2232</v>
      </c>
      <c r="C783" s="2" t="s">
        <v>2233</v>
      </c>
      <c r="D783" s="2" t="s">
        <v>1673</v>
      </c>
      <c r="E783" s="2" t="s">
        <v>2007</v>
      </c>
      <c r="F783" s="2" t="s">
        <v>15</v>
      </c>
      <c r="G783" s="2" t="s">
        <v>2234</v>
      </c>
      <c r="H783" s="2" t="s">
        <v>21</v>
      </c>
      <c r="I783" s="2" t="str">
        <f>IFERROR(__xludf.DUMMYFUNCTION("GOOGLETRANSLATE(C783,""fr"",""en"")"),"Catastrophic management of files!
No competent interlocutor and yet on the platform I have no less than 5 different people to whom we must re -explain everything each time.
No respect for the commitment to contact the customer and in addition we are han"&amp;"ging up on the nose!
A word of advice: Flee! Go and undo elsewhere")</f>
        <v>Catastrophic management of files!
No competent interlocutor and yet on the platform I have no less than 5 different people to whom we must re -explain everything each time.
No respect for the commitment to contact the customer and in addition we are hanging up on the nose!
A word of advice: Flee! Go and undo elsewhere</v>
      </c>
    </row>
    <row r="784" ht="15.75" customHeight="1">
      <c r="B784" s="2" t="s">
        <v>2235</v>
      </c>
      <c r="C784" s="2" t="s">
        <v>2236</v>
      </c>
      <c r="D784" s="2" t="s">
        <v>1673</v>
      </c>
      <c r="E784" s="2" t="s">
        <v>2007</v>
      </c>
      <c r="F784" s="2" t="s">
        <v>15</v>
      </c>
      <c r="G784" s="2" t="s">
        <v>1740</v>
      </c>
      <c r="H784" s="2" t="s">
        <v>59</v>
      </c>
      <c r="I784" s="2" t="str">
        <f>IFERROR(__xludf.DUMMYFUNCTION("GOOGLETRANSLATE(C784,""fr"",""en"")"),"To avoid urgently, like all the subsidiaries of the General Society.
5 months delay on payment, I have to make the advance of 22,000 euros, they put my business in jeopardy
I had to send the same document 8 times before they deign to react and give me a"&amp;"n appointment after 4 months without answers from them, I still have a call on the phone")</f>
        <v>To avoid urgently, like all the subsidiaries of the General Society.
5 months delay on payment, I have to make the advance of 22,000 euros, they put my business in jeopardy
I had to send the same document 8 times before they deign to react and give me an appointment after 4 months without answers from them, I still have a call on the phone</v>
      </c>
    </row>
    <row r="785" ht="15.75" customHeight="1">
      <c r="B785" s="2" t="s">
        <v>383</v>
      </c>
      <c r="C785" s="2" t="s">
        <v>2237</v>
      </c>
      <c r="D785" s="2" t="s">
        <v>1673</v>
      </c>
      <c r="E785" s="2" t="s">
        <v>2007</v>
      </c>
      <c r="F785" s="2" t="s">
        <v>15</v>
      </c>
      <c r="G785" s="2" t="s">
        <v>2183</v>
      </c>
      <c r="H785" s="2" t="s">
        <v>81</v>
      </c>
      <c r="I785" s="2" t="str">
        <f>IFERROR(__xludf.DUMMYFUNCTION("GOOGLETRANSLATE(C785,""fr"",""en"")"),"Extremely bad insurance company")</f>
        <v>Extremely bad insurance company</v>
      </c>
    </row>
    <row r="786" ht="15.75" customHeight="1">
      <c r="B786" s="2" t="s">
        <v>2238</v>
      </c>
      <c r="C786" s="2" t="s">
        <v>2239</v>
      </c>
      <c r="D786" s="2" t="s">
        <v>1673</v>
      </c>
      <c r="E786" s="2" t="s">
        <v>2007</v>
      </c>
      <c r="F786" s="2" t="s">
        <v>15</v>
      </c>
      <c r="G786" s="2" t="s">
        <v>1670</v>
      </c>
      <c r="H786" s="2" t="s">
        <v>395</v>
      </c>
      <c r="I786" s="2" t="str">
        <f>IFERROR(__xludf.DUMMYFUNCTION("GOOGLETRANSLATE(C786,""fr"",""en"")"),"incompetence no communication possible following the deaths of my too close parents ... Many phone calls without results they recognize their mistakes but no continuation is just unacceptable and of course impossible to have a manager")</f>
        <v>incompetence no communication possible following the deaths of my too close parents ... Many phone calls without results they recognize their mistakes but no continuation is just unacceptable and of course impossible to have a manager</v>
      </c>
    </row>
    <row r="787" ht="15.75" customHeight="1">
      <c r="B787" s="2" t="s">
        <v>2240</v>
      </c>
      <c r="C787" s="2" t="s">
        <v>2241</v>
      </c>
      <c r="D787" s="2" t="s">
        <v>1673</v>
      </c>
      <c r="E787" s="2" t="s">
        <v>2007</v>
      </c>
      <c r="F787" s="2" t="s">
        <v>15</v>
      </c>
      <c r="G787" s="2" t="s">
        <v>2242</v>
      </c>
      <c r="H787" s="2" t="s">
        <v>409</v>
      </c>
      <c r="I787" s="2" t="str">
        <f>IFERROR(__xludf.DUMMYFUNCTION("GOOGLETRANSLATE(C787,""fr"",""en"")"),"hello
My mother deceased. The docs for notary were ready and send to Sogecap around January 24, 2017
I was paid on March. Declarant that any attempt of delay I stick the taxman on the back ... and I will have done it I know a few people who would have m"&amp;"ade a pleasure to go see them if they did not respect the law")</f>
        <v>hello
My mother deceased. The docs for notary were ready and send to Sogecap around January 24, 2017
I was paid on March. Declarant that any attempt of delay I stick the taxman on the back ... and I will have done it I know a few people who would have made a pleasure to go see them if they did not respect the law</v>
      </c>
    </row>
    <row r="788" ht="15.75" customHeight="1">
      <c r="B788" s="2" t="s">
        <v>2243</v>
      </c>
      <c r="C788" s="2" t="s">
        <v>2244</v>
      </c>
      <c r="D788" s="2" t="s">
        <v>1673</v>
      </c>
      <c r="E788" s="2" t="s">
        <v>2007</v>
      </c>
      <c r="F788" s="2" t="s">
        <v>15</v>
      </c>
      <c r="G788" s="2" t="s">
        <v>2245</v>
      </c>
      <c r="H788" s="2" t="s">
        <v>96</v>
      </c>
      <c r="I788" s="2" t="str">
        <f>IFERROR(__xludf.DUMMYFUNCTION("GOOGLETRANSLATE(C788,""fr"",""en"")"),"Seriously lacking in professionalism and pro-activitis.
SOGECAP has no action by themselves, it is customers who must engage them to launch a succession process, even if they have been formally informed of the deces.
In addition, SOGECAP requires 10 day"&amp;"s open to answer an email, which makes the processes drag in length in the event of inheritance.
Being at the moment engages in a process of succession, I was in contact with other life insurance, and Sogecap clearly stands out of the lot.
If this opini"&amp;"on can be used for other people, I am declared to work with them and if it is already too late, do not hesitate to engage the maneuvers directly on the phone and very quickly since they voluntarily drag the exchanges to delay payments.")</f>
        <v>Seriously lacking in professionalism and pro-activitis.
SOGECAP has no action by themselves, it is customers who must engage them to launch a succession process, even if they have been formally informed of the deces.
In addition, SOGECAP requires 10 days open to answer an email, which makes the processes drag in length in the event of inheritance.
Being at the moment engages in a process of succession, I was in contact with other life insurance, and Sogecap clearly stands out of the lot.
If this opinion can be used for other people, I am declared to work with them and if it is already too late, do not hesitate to engage the maneuvers directly on the phone and very quickly since they voluntarily drag the exchanges to delay payments.</v>
      </c>
    </row>
    <row r="789" ht="15.75" customHeight="1">
      <c r="B789" s="2" t="s">
        <v>2246</v>
      </c>
      <c r="C789" s="2" t="s">
        <v>2247</v>
      </c>
      <c r="D789" s="2" t="s">
        <v>1673</v>
      </c>
      <c r="E789" s="2" t="s">
        <v>2007</v>
      </c>
      <c r="F789" s="2" t="s">
        <v>15</v>
      </c>
      <c r="G789" s="2" t="s">
        <v>2248</v>
      </c>
      <c r="H789" s="2" t="s">
        <v>106</v>
      </c>
      <c r="I789" s="2" t="str">
        <f>IFERROR(__xludf.DUMMYFUNCTION("GOOGLETRANSLATE(C789,""fr"",""en"")"),"I signed a life insurance contract 12 years ago for which I pay € 60 per month.
At the end of these 12 years I lost € 300, while the various costs and samples represent 25% of my monthly payments.
I was not heard at any time, even the mediator, against "&amp;"any ethics refused to watch my file twice.
I can only recommend to all those who do not want to be robbed to avoid this insurer and the Société Générale who promotes it.")</f>
        <v>I signed a life insurance contract 12 years ago for which I pay € 60 per month.
At the end of these 12 years I lost € 300, while the various costs and samples represent 25% of my monthly payments.
I was not heard at any time, even the mediator, against any ethics refused to watch my file twice.
I can only recommend to all those who do not want to be robbed to avoid this insurer and the Société Générale who promotes it.</v>
      </c>
    </row>
    <row r="790" ht="15.75" customHeight="1">
      <c r="B790" s="2" t="s">
        <v>2249</v>
      </c>
      <c r="C790" s="2" t="s">
        <v>2250</v>
      </c>
      <c r="D790" s="2" t="s">
        <v>612</v>
      </c>
      <c r="E790" s="2" t="s">
        <v>2007</v>
      </c>
      <c r="F790" s="2" t="s">
        <v>15</v>
      </c>
      <c r="G790" s="2" t="s">
        <v>2251</v>
      </c>
      <c r="H790" s="2" t="s">
        <v>164</v>
      </c>
      <c r="I790" s="2" t="str">
        <f>IFERROR(__xludf.DUMMYFUNCTION("GOOGLETRANSLATE(C790,""fr"",""en"")"),"Advertisements not respected:
-Gratuity of promised account holding then billed!
-Promese of 3% rebound on payments; Subsequently limited to account units and finally that are only 3% on account management fees!
Costs higher than those announced!"&amp;"
Industry withdrawals without the sill of the saver!
These events caused the total repurchase of the contract and the filing of a criminal complaint with the constitution of civil party!
Note the opacity and the artistic vagueness of the informat"&amp;"ion!
To avoid absolutely!")</f>
        <v>Advertisements not respected:
-Gratuity of promised account holding then billed!
-Promese of 3% rebound on payments; Subsequently limited to account units and finally that are only 3% on account management fees!
Costs higher than those announced!
Industry withdrawals without the sill of the saver!
These events caused the total repurchase of the contract and the filing of a criminal complaint with the constitution of civil party!
Note the opacity and the artistic vagueness of the information!
To avoid absolutely!</v>
      </c>
    </row>
    <row r="791" ht="15.75" customHeight="1">
      <c r="B791" s="2" t="s">
        <v>2252</v>
      </c>
      <c r="C791" s="2" t="s">
        <v>2253</v>
      </c>
      <c r="D791" s="2" t="s">
        <v>612</v>
      </c>
      <c r="E791" s="2" t="s">
        <v>2007</v>
      </c>
      <c r="F791" s="2" t="s">
        <v>15</v>
      </c>
      <c r="G791" s="2" t="s">
        <v>863</v>
      </c>
      <c r="H791" s="2" t="s">
        <v>168</v>
      </c>
      <c r="I791" s="2" t="str">
        <f>IFERROR(__xludf.DUMMYFUNCTION("GOOGLETRANSLATE(C791,""fr"",""en"")"),"Hello
The CNP refuse to send me the whole life insurance contracts done at AXA and 1 other to the postal banking of which I was a beneficiary ... The insured had told my brother and to me that we were the only beneficiaries. ..Heave our 2 older sisters h"&amp;"ad the same part as we are therefore on the advice of my insurer I claimed the contracts which were refused to me because we were only nephew and niece: they did not have d 'children ...
What does the law say: Do we really have the right to see if the CN"&amp;"P did not make a mistake by distributing this nest egg in 4 instead of 2 heirs ??? I no longer want to dialogue with the CNP ... but have proof of the number of heirs noted in the contract: so it can only be reading the whole contract ...
Hopefully hopin"&amp;"g to have these contracts, thank you; Also you ask me mno no of such only I only answer in the evening (quiet at home) otherwise following your answer by email possibly I will fix you 1 moment for you to call me ... pat35132@live.fr")</f>
        <v>Hello
The CNP refuse to send me the whole life insurance contracts done at AXA and 1 other to the postal banking of which I was a beneficiary ... The insured had told my brother and to me that we were the only beneficiaries. ..Heave our 2 older sisters had the same part as we are therefore on the advice of my insurer I claimed the contracts which were refused to me because we were only nephew and niece: they did not have d 'children ...
What does the law say: Do we really have the right to see if the CNP did not make a mistake by distributing this nest egg in 4 instead of 2 heirs ??? I no longer want to dialogue with the CNP ... but have proof of the number of heirs noted in the contract: so it can only be reading the whole contract ...
Hopefully hoping to have these contracts, thank you; Also you ask me mno no of such only I only answer in the evening (quiet at home) otherwise following your answer by email possibly I will fix you 1 moment for you to call me ... pat35132@live.fr</v>
      </c>
    </row>
    <row r="792" ht="15.75" customHeight="1">
      <c r="B792" s="2" t="s">
        <v>2254</v>
      </c>
      <c r="C792" s="2" t="s">
        <v>2255</v>
      </c>
      <c r="D792" s="2" t="s">
        <v>612</v>
      </c>
      <c r="E792" s="2" t="s">
        <v>2007</v>
      </c>
      <c r="F792" s="2" t="s">
        <v>15</v>
      </c>
      <c r="G792" s="2" t="s">
        <v>1434</v>
      </c>
      <c r="H792" s="2" t="s">
        <v>172</v>
      </c>
      <c r="I792" s="2" t="str">
        <f>IFERROR(__xludf.DUMMYFUNCTION("GOOGLETRANSLATE(C792,""fr"",""en"")"),"Abusive fees and abusive management
Fresh caches
Capital loss because fresh superior in winnings
No follow -up
Contract not efficient poor note and euro funds to hang around")</f>
        <v>Abusive fees and abusive management
Fresh caches
Capital loss because fresh superior in winnings
No follow -up
Contract not efficient poor note and euro funds to hang around</v>
      </c>
    </row>
    <row r="793" ht="15.75" customHeight="1">
      <c r="B793" s="2" t="s">
        <v>2256</v>
      </c>
      <c r="C793" s="2" t="s">
        <v>2257</v>
      </c>
      <c r="D793" s="2" t="s">
        <v>612</v>
      </c>
      <c r="E793" s="2" t="s">
        <v>2007</v>
      </c>
      <c r="F793" s="2" t="s">
        <v>15</v>
      </c>
      <c r="G793" s="2" t="s">
        <v>223</v>
      </c>
      <c r="H793" s="2" t="s">
        <v>214</v>
      </c>
      <c r="I793" s="2" t="str">
        <f>IFERROR(__xludf.DUMMYFUNCTION("GOOGLETRANSLATE(C793,""fr"",""en"")"),"I have subscribed to life insurance, unfortunately I see myself leaving double my subscription in more than 15 € which was not indicated to me for the opening of my account which is so -called costs. I ask for a monthly payment for each 10 of the month an"&amp;"d they take the levy on the 3rd of the month. Now I fight to terminate because I have not even been entitled to the withdrawal periods.")</f>
        <v>I have subscribed to life insurance, unfortunately I see myself leaving double my subscription in more than 15 € which was not indicated to me for the opening of my account which is so -called costs. I ask for a monthly payment for each 10 of the month and they take the levy on the 3rd of the month. Now I fight to terminate because I have not even been entitled to the withdrawal periods.</v>
      </c>
    </row>
    <row r="794" ht="15.75" customHeight="1">
      <c r="B794" s="2" t="s">
        <v>2258</v>
      </c>
      <c r="C794" s="2" t="s">
        <v>2259</v>
      </c>
      <c r="D794" s="2" t="s">
        <v>612</v>
      </c>
      <c r="E794" s="2" t="s">
        <v>2007</v>
      </c>
      <c r="F794" s="2" t="s">
        <v>15</v>
      </c>
      <c r="G794" s="2" t="s">
        <v>672</v>
      </c>
      <c r="H794" s="2" t="s">
        <v>242</v>
      </c>
      <c r="I794" s="2" t="str">
        <f>IFERROR(__xludf.DUMMYFUNCTION("GOOGLETRANSLATE(C794,""fr"",""en"")"),"If I could put 0 I would do it without hesitation ..... For more than 25 years I have formed a kitty for my retirement at Axa thinking that I had both serious and the quality .... 'took it .... it took me all this time to understand why Axa does not care "&amp;"about her customers .... It is through a request for transfer of my account to another general agent, Thinking to find a valid interlocutor after an first interview with an employee, which I discovered the pot with roses .... This new agency refused me pr"&amp;"etending to distance, then the acquisition of my portfolio from my current agent for Finally admit that if I do not put new money on my account ... he does not earn anything ...... who today agrees to work for nothing ???? I am stuck and Axa knows they do"&amp;" so what they want for money and I have no way to get out of this situation except to lose on all the paintings ....
I completely ignore the practice in other insurances but beware ....")</f>
        <v>If I could put 0 I would do it without hesitation ..... For more than 25 years I have formed a kitty for my retirement at Axa thinking that I had both serious and the quality .... 'took it .... it took me all this time to understand why Axa does not care about her customers .... It is through a request for transfer of my account to another general agent, Thinking to find a valid interlocutor after an first interview with an employee, which I discovered the pot with roses .... This new agency refused me pretending to distance, then the acquisition of my portfolio from my current agent for Finally admit that if I do not put new money on my account ... he does not earn anything ...... who today agrees to work for nothing ???? I am stuck and Axa knows they do so what they want for money and I have no way to get out of this situation except to lose on all the paintings ....
I completely ignore the practice in other insurances but beware ....</v>
      </c>
    </row>
    <row r="795" ht="15.75" customHeight="1">
      <c r="B795" s="2" t="s">
        <v>2260</v>
      </c>
      <c r="C795" s="2" t="s">
        <v>2261</v>
      </c>
      <c r="D795" s="2" t="s">
        <v>612</v>
      </c>
      <c r="E795" s="2" t="s">
        <v>2007</v>
      </c>
      <c r="F795" s="2" t="s">
        <v>15</v>
      </c>
      <c r="G795" s="2" t="s">
        <v>2262</v>
      </c>
      <c r="H795" s="2" t="s">
        <v>269</v>
      </c>
      <c r="I795" s="2" t="str">
        <f>IFERROR(__xludf.DUMMYFUNCTION("GOOGLETRANSLATE(C795,""fr"",""en"")"),"Client always at Axa, I was relatively satisfied .... until this year. I am extremely disappointed with the treatment of partial buyouts on a free figures contract. What the counselor has omitted to tell us is the sum chosen for each takeover (she obvious"&amp;"ly did not even know that she tells me). Suffice to say that this contract will ultimately cost us more money than what it will have made to us. Suddenly, we are determined to terminate everything. Too bad .... for Axa!")</f>
        <v>Client always at Axa, I was relatively satisfied .... until this year. I am extremely disappointed with the treatment of partial buyouts on a free figures contract. What the counselor has omitted to tell us is the sum chosen for each takeover (she obviously did not even know that she tells me). Suffice to say that this contract will ultimately cost us more money than what it will have made to us. Suddenly, we are determined to terminate everything. Too bad .... for Axa!</v>
      </c>
    </row>
    <row r="796" ht="15.75" customHeight="1">
      <c r="B796" s="2" t="s">
        <v>2263</v>
      </c>
      <c r="C796" s="2" t="s">
        <v>2264</v>
      </c>
      <c r="D796" s="2" t="s">
        <v>612</v>
      </c>
      <c r="E796" s="2" t="s">
        <v>2007</v>
      </c>
      <c r="F796" s="2" t="s">
        <v>15</v>
      </c>
      <c r="G796" s="2" t="s">
        <v>2265</v>
      </c>
      <c r="H796" s="2" t="s">
        <v>277</v>
      </c>
      <c r="I796" s="2" t="str">
        <f>IFERROR(__xludf.DUMMYFUNCTION("GOOGLETRANSLATE(C796,""fr"",""en"")"),"Following the death of my father, I did the procedures with the agent for risk change and for the life insurance contract of which my mother is beneficiary. The agent did not deal with my mail and the worst third recovery from Agipi to the agent: customer"&amp;" service rendered zero.")</f>
        <v>Following the death of my father, I did the procedures with the agent for risk change and for the life insurance contract of which my mother is beneficiary. The agent did not deal with my mail and the worst third recovery from Agipi to the agent: customer service rendered zero.</v>
      </c>
    </row>
    <row r="797" ht="15.75" customHeight="1">
      <c r="B797" s="2" t="s">
        <v>2266</v>
      </c>
      <c r="C797" s="2" t="s">
        <v>2267</v>
      </c>
      <c r="D797" s="2" t="s">
        <v>612</v>
      </c>
      <c r="E797" s="2" t="s">
        <v>2007</v>
      </c>
      <c r="F797" s="2" t="s">
        <v>15</v>
      </c>
      <c r="G797" s="2" t="s">
        <v>2268</v>
      </c>
      <c r="H797" s="2" t="s">
        <v>317</v>
      </c>
      <c r="I797" s="2" t="str">
        <f>IFERROR(__xludf.DUMMYFUNCTION("GOOGLETRANSLATE(C797,""fr"",""en"")"),"Holder of a life insurance contract, I asked for the total repurchase of my contract since October 2016 and I have never won.
My contract was issued on November 25, 1992 and finished on November 25, 2007. I am a Beninese citizen and I reside in Benin.
"&amp;"
")</f>
        <v>Holder of a life insurance contract, I asked for the total repurchase of my contract since October 2016 and I have never won.
My contract was issued on November 25, 1992 and finished on November 25, 2007. I am a Beninese citizen and I reside in Benin.
</v>
      </c>
    </row>
    <row r="798" ht="15.75" customHeight="1">
      <c r="B798" s="2" t="s">
        <v>2269</v>
      </c>
      <c r="C798" s="2" t="s">
        <v>2270</v>
      </c>
      <c r="D798" s="2" t="s">
        <v>612</v>
      </c>
      <c r="E798" s="2" t="s">
        <v>2007</v>
      </c>
      <c r="F798" s="2" t="s">
        <v>15</v>
      </c>
      <c r="G798" s="2" t="s">
        <v>2271</v>
      </c>
      <c r="H798" s="2" t="s">
        <v>572</v>
      </c>
      <c r="I798" s="2" t="str">
        <f>IFERROR(__xludf.DUMMYFUNCTION("GOOGLETRANSLATE(C798,""fr"",""en"")"),"No quality insurance at AXA:
The broker: - Following the death of your wife, you will receive a check for life insurance ..................
Me: -A my knowledge, my wife is not dead.
The broker: - Ah it's incredible!
I connect to his account, closed ac"&amp;"count.
I spend hours understanding, calling the broker, writing ....
I demanded letters indicating that it was a mistake,
My wife received a simple mail from AXA on January 15, 2019: ""Your advisor ..... alerted us from the closing of your contract fol"&amp;"lowing an error on our part ..."" and icing on the cake: "" We are presenting all our apologies for the inconveniences you have suffered ""... Fortunately she did not have axa obsolete insurance !!!!!!!!!!
My wife would have liked, and asked for it, rece"&amp;"ive the position of her account at 12/31/2018 as for my personal avie .... it's been 3 months since we are waiting for.
Imagine if I had been in an EPHAD with deteriorated mental faculties.
Who made the mistake, the broker, the notary, the staff of Axa "&amp;"????????????????
Circulate, there is nothing to understand.
")</f>
        <v>No quality insurance at AXA:
The broker: - Following the death of your wife, you will receive a check for life insurance ..................
Me: -A my knowledge, my wife is not dead.
The broker: - Ah it's incredible!
I connect to his account, closed account.
I spend hours understanding, calling the broker, writing ....
I demanded letters indicating that it was a mistake,
My wife received a simple mail from AXA on January 15, 2019: "Your advisor ..... alerted us from the closing of your contract following an error on our part ..." and icing on the cake: " We are presenting all our apologies for the inconveniences you have suffered "... Fortunately she did not have axa obsolete insurance !!!!!!!!!!
My wife would have liked, and asked for it, receive the position of her account at 12/31/2018 as for my personal avie .... it's been 3 months since we are waiting for.
Imagine if I had been in an EPHAD with deteriorated mental faculties.
Who made the mistake, the broker, the notary, the staff of Axa ????????????????
Circulate, there is nothing to understand.
</v>
      </c>
    </row>
    <row r="799" ht="15.75" customHeight="1">
      <c r="B799" s="2" t="s">
        <v>2272</v>
      </c>
      <c r="C799" s="2" t="s">
        <v>2273</v>
      </c>
      <c r="D799" s="2" t="s">
        <v>612</v>
      </c>
      <c r="E799" s="2" t="s">
        <v>2007</v>
      </c>
      <c r="F799" s="2" t="s">
        <v>15</v>
      </c>
      <c r="G799" s="2" t="s">
        <v>2274</v>
      </c>
      <c r="H799" s="2" t="s">
        <v>349</v>
      </c>
      <c r="I799" s="2" t="str">
        <f>IFERROR(__xludf.DUMMYFUNCTION("GOOGLETRANSLATE(C799,""fr"",""en"")"),"I was approached in my workplace by AXA agents. I had just sold an apartment and I was looking for another accommodation to buy, I explained to them. They advised me for prudent profile life insurance. From the 1st month I saw my savings down and wanted t"&amp;"o recover my funds immediately. After many calls they told me that you had to wait a few months to get a small value. False it is enormous losses every month. AXA agents should not be trusted who tell lies to have funds. It is self -evident that there is "&amp;"an obvious lack of advice")</f>
        <v>I was approached in my workplace by AXA agents. I had just sold an apartment and I was looking for another accommodation to buy, I explained to them. They advised me for prudent profile life insurance. From the 1st month I saw my savings down and wanted to recover my funds immediately. After many calls they told me that you had to wait a few months to get a small value. False it is enormous losses every month. AXA agents should not be trusted who tell lies to have funds. It is self -evident that there is an obvious lack of advice</v>
      </c>
    </row>
    <row r="800" ht="15.75" customHeight="1">
      <c r="B800" s="2" t="s">
        <v>2275</v>
      </c>
      <c r="C800" s="2" t="s">
        <v>2276</v>
      </c>
      <c r="D800" s="2" t="s">
        <v>612</v>
      </c>
      <c r="E800" s="2" t="s">
        <v>2007</v>
      </c>
      <c r="F800" s="2" t="s">
        <v>15</v>
      </c>
      <c r="G800" s="2" t="s">
        <v>2277</v>
      </c>
      <c r="H800" s="2" t="s">
        <v>349</v>
      </c>
      <c r="I800" s="2" t="str">
        <f>IFERROR(__xludf.DUMMYFUNCTION("GOOGLETRANSLATE(C800,""fr"",""en"")"),"Enorous disappointed. I signed a contract in 2011. If a separation, I am forced to make a total buyout. And I learn that I am not even able to recover my total paid capital. But or have passed the hard interests all these years?")</f>
        <v>Enorous disappointed. I signed a contract in 2011. If a separation, I am forced to make a total buyout. And I learn that I am not even able to recover my total paid capital. But or have passed the hard interests all these years?</v>
      </c>
    </row>
    <row r="801" ht="15.75" customHeight="1">
      <c r="B801" s="2" t="s">
        <v>755</v>
      </c>
      <c r="C801" s="2" t="s">
        <v>2278</v>
      </c>
      <c r="D801" s="2" t="s">
        <v>612</v>
      </c>
      <c r="E801" s="2" t="s">
        <v>2007</v>
      </c>
      <c r="F801" s="2" t="s">
        <v>15</v>
      </c>
      <c r="G801" s="2" t="s">
        <v>757</v>
      </c>
      <c r="H801" s="2" t="s">
        <v>27</v>
      </c>
      <c r="I801" s="2" t="str">
        <f>IFERROR(__xludf.DUMMYFUNCTION("GOOGLETRANSLATE(C801,""fr"",""en"")"),"Insurance subscribed several years ago already. On the other hand, apart from a document transmitted by AXA once a year to specify where the account is, no other regular explanation on the holding of the account and its management.")</f>
        <v>Insurance subscribed several years ago already. On the other hand, apart from a document transmitted by AXA once a year to specify where the account is, no other regular explanation on the holding of the account and its management.</v>
      </c>
    </row>
    <row r="802" ht="15.75" customHeight="1">
      <c r="B802" s="2" t="s">
        <v>2279</v>
      </c>
      <c r="C802" s="2" t="s">
        <v>2280</v>
      </c>
      <c r="D802" s="2" t="s">
        <v>612</v>
      </c>
      <c r="E802" s="2" t="s">
        <v>2007</v>
      </c>
      <c r="F802" s="2" t="s">
        <v>15</v>
      </c>
      <c r="G802" s="2" t="s">
        <v>2281</v>
      </c>
      <c r="H802" s="2" t="s">
        <v>31</v>
      </c>
      <c r="I802" s="2" t="str">
        <f>IFERROR(__xludf.DUMMYFUNCTION("GOOGLETRANSLATE(C802,""fr"",""en"")"),"Hello to all of you. Moving hot for l.ssurance life odyssiel my contract is in addition in controlled management.
For 3 years apart from the costs of 4% at each addition, the amount drops falls
Why do they let it lose sums for so long.")</f>
        <v>Hello to all of you. Moving hot for l.ssurance life odyssiel my contract is in addition in controlled management.
For 3 years apart from the costs of 4% at each addition, the amount drops falls
Why do they let it lose sums for so long.</v>
      </c>
    </row>
    <row r="803" ht="15.75" customHeight="1">
      <c r="B803" s="2" t="s">
        <v>2282</v>
      </c>
      <c r="C803" s="2" t="s">
        <v>2283</v>
      </c>
      <c r="D803" s="2" t="s">
        <v>612</v>
      </c>
      <c r="E803" s="2" t="s">
        <v>2007</v>
      </c>
      <c r="F803" s="2" t="s">
        <v>15</v>
      </c>
      <c r="G803" s="2" t="s">
        <v>2284</v>
      </c>
      <c r="H803" s="2" t="s">
        <v>46</v>
      </c>
      <c r="I803" s="2" t="str">
        <f>IFERROR(__xludf.DUMMYFUNCTION("GOOGLETRANSLATE(C803,""fr"",""en"")"),"hello, 
have been a customer for almost 30 years!
But I am more and more disappointed with the online site of AXA dedicated to individuals holding insurance -live.
For example: for a contract containing account units, including distribution sicavs (ann"&amp;"ual dividend) it is completely impossible to understand where the amount paid and called ""treated"" comes from
The old site was more explicit, although incomplete, one might think that the insured is incompetent to understand: what a net dividend is, a "&amp;"dividend reinvested in new shares (net of management fees) etc. etc . Everything seems well established in order to hide the so -called ""management fees""
Please send me the address of an effective site
which will allow me to follow the management of t"&amp;"hese financial operations, as can be done for a bank securities account. Current online sites are able to do so. Why doesn't AXA use them?
If an improvement is not scheduled soon, I will make, like last year, an annual withdrawal of an amount exceeding 9"&amp;",200 e of more value, to reinvest them in another contract, elsewhere, whose management of the Online site, is well suited, for those who want to follow, closely, various variations, of its heritage. In a few years, my contract will be exhausted.
Our fam"&amp;"ily has four AXA contracts and all, we will follow the same method. then,
 Farewell axa. . .
")</f>
        <v>hello, 
have been a customer for almost 30 years!
But I am more and more disappointed with the online site of AXA dedicated to individuals holding insurance -live.
For example: for a contract containing account units, including distribution sicavs (annual dividend) it is completely impossible to understand where the amount paid and called "treated" comes from
The old site was more explicit, although incomplete, one might think that the insured is incompetent to understand: what a net dividend is, a dividend reinvested in new shares (net of management fees) etc. etc . Everything seems well established in order to hide the so -called "management fees"
Please send me the address of an effective site
which will allow me to follow the management of these financial operations, as can be done for a bank securities account. Current online sites are able to do so. Why doesn't AXA use them?
If an improvement is not scheduled soon, I will make, like last year, an annual withdrawal of an amount exceeding 9,200 e of more value, to reinvest them in another contract, elsewhere, whose management of the Online site, is well suited, for those who want to follow, closely, various variations, of its heritage. In a few years, my contract will be exhausted.
Our family has four AXA contracts and all, we will follow the same method. then,
 Farewell axa. . .
</v>
      </c>
    </row>
    <row r="804" ht="15.75" customHeight="1">
      <c r="B804" s="2" t="s">
        <v>2285</v>
      </c>
      <c r="C804" s="2" t="s">
        <v>2286</v>
      </c>
      <c r="D804" s="2" t="s">
        <v>612</v>
      </c>
      <c r="E804" s="2" t="s">
        <v>2007</v>
      </c>
      <c r="F804" s="2" t="s">
        <v>15</v>
      </c>
      <c r="G804" s="2" t="s">
        <v>2183</v>
      </c>
      <c r="H804" s="2" t="s">
        <v>81</v>
      </c>
      <c r="I804" s="2" t="str">
        <f>IFERROR(__xludf.DUMMYFUNCTION("GOOGLETRANSLATE(C804,""fr"",""en"")"),"Hello. I have concerns with an euactiel placement subscribed in 2013. I would like to have information on the actual rate which will be taken into account at the end of the 8 or 10 years, and on the amount of samples which increases regularly. The closed "&amp;"5.1.3 &amp; 5.1.4 are blurred. Thank you for informing me. Cordially.")</f>
        <v>Hello. I have concerns with an euactiel placement subscribed in 2013. I would like to have information on the actual rate which will be taken into account at the end of the 8 or 10 years, and on the amount of samples which increases regularly. The closed 5.1.3 &amp; 5.1.4 are blurred. Thank you for informing me. Cordially.</v>
      </c>
    </row>
    <row r="805" ht="15.75" customHeight="1">
      <c r="B805" s="2" t="s">
        <v>2287</v>
      </c>
      <c r="C805" s="2" t="s">
        <v>2288</v>
      </c>
      <c r="D805" s="2" t="s">
        <v>612</v>
      </c>
      <c r="E805" s="2" t="s">
        <v>2007</v>
      </c>
      <c r="F805" s="2" t="s">
        <v>15</v>
      </c>
      <c r="G805" s="2" t="s">
        <v>1149</v>
      </c>
      <c r="H805" s="2" t="s">
        <v>81</v>
      </c>
      <c r="I805" s="2" t="str">
        <f>IFERROR(__xludf.DUMMYFUNCTION("GOOGLETRANSLATE(C805,""fr"",""en"")"),"I do not at all recommend taking out life insurance with AXA.")</f>
        <v>I do not at all recommend taking out life insurance with AXA.</v>
      </c>
    </row>
    <row r="806" ht="15.75" customHeight="1">
      <c r="B806" s="2" t="s">
        <v>2289</v>
      </c>
      <c r="C806" s="2" t="s">
        <v>2290</v>
      </c>
      <c r="D806" s="2" t="s">
        <v>612</v>
      </c>
      <c r="E806" s="2" t="s">
        <v>2007</v>
      </c>
      <c r="F806" s="2" t="s">
        <v>15</v>
      </c>
      <c r="G806" s="2" t="s">
        <v>2291</v>
      </c>
      <c r="H806" s="2" t="s">
        <v>402</v>
      </c>
      <c r="I806" s="2" t="str">
        <f>IFERROR(__xludf.DUMMYFUNCTION("GOOGLETRANSLATE(C806,""fr"",""en"")"),"I have had Océan savings life insurance since 2002 which satisfied me completely. For 1 year the AXA advisor had harass me to transform this contract into a multi support, I ended up accepting an appointment. I am repeated to him that I did not want to ta"&amp;"ke any risks even if it means having a low return. This advisor had already made me a PEA in 1999, six months later I had lost 50 % of the capital that I took 15 years to recover. He convinced me by telling me that my current contract being expired, AXA w"&amp;"ould now rename me that with the minimum guarantees without participation in profits and that the new contract had controlled management, without action, therefore without risk of loss of capital. In addition, that I would have no transfer costs if I sign"&amp;"ed quickly, a promotional offer being in progress and the stop date set of course overnight. And icing on the gift a bonus of 6% of the capital paid after 8 years. Of course all the signatures were made on the tablet without the possibility of seeing the "&amp;"associated documents that I discovered the next day on the website. And there, to my surprise: 4.85 % transfer fees, high risk support for loss of capital (risk 5 of 7) and no 6 % bonus of mentioned. I
I am scandalized by this method and I blame myself t"&amp;"o put led to this point.
The law allows me to partially renounce the transfer and I will have to fight now to prove the deception of the adviser.
I was already no longer confident in Axa, but it is over.
")</f>
        <v>I have had Océan savings life insurance since 2002 which satisfied me completely. For 1 year the AXA advisor had harass me to transform this contract into a multi support, I ended up accepting an appointment. I am repeated to him that I did not want to take any risks even if it means having a low return. This advisor had already made me a PEA in 1999, six months later I had lost 50 % of the capital that I took 15 years to recover. He convinced me by telling me that my current contract being expired, AXA would now rename me that with the minimum guarantees without participation in profits and that the new contract had controlled management, without action, therefore without risk of loss of capital. In addition, that I would have no transfer costs if I signed quickly, a promotional offer being in progress and the stop date set of course overnight. And icing on the gift a bonus of 6% of the capital paid after 8 years. Of course all the signatures were made on the tablet without the possibility of seeing the associated documents that I discovered the next day on the website. And there, to my surprise: 4.85 % transfer fees, high risk support for loss of capital (risk 5 of 7) and no 6 % bonus of mentioned. I
I am scandalized by this method and I blame myself to put led to this point.
The law allows me to partially renounce the transfer and I will have to fight now to prove the deception of the adviser.
I was already no longer confident in Axa, but it is over.
</v>
      </c>
    </row>
    <row r="807" ht="15.75" customHeight="1">
      <c r="B807" s="2" t="s">
        <v>2292</v>
      </c>
      <c r="C807" s="2" t="s">
        <v>2293</v>
      </c>
      <c r="D807" s="2" t="s">
        <v>612</v>
      </c>
      <c r="E807" s="2" t="s">
        <v>2007</v>
      </c>
      <c r="F807" s="2" t="s">
        <v>15</v>
      </c>
      <c r="G807" s="2" t="s">
        <v>2294</v>
      </c>
      <c r="H807" s="2" t="s">
        <v>402</v>
      </c>
      <c r="I807" s="2" t="str">
        <f>IFERROR(__xludf.DUMMYFUNCTION("GOOGLETRANSLATE(C807,""fr"",""en"")"),"When you sign we promise that the case fees will be recovered ... the first year
In addition, our advisor is not found (unavailable until October ...) even AXA is not aware. This is the best of 2018.
We are still waiting for the call of another advisor "&amp;"...")</f>
        <v>When you sign we promise that the case fees will be recovered ... the first year
In addition, our advisor is not found (unavailable until October ...) even AXA is not aware. This is the best of 2018.
We are still waiting for the call of another advisor ...</v>
      </c>
    </row>
    <row r="808" ht="15.75" customHeight="1">
      <c r="B808" s="2" t="s">
        <v>2295</v>
      </c>
      <c r="C808" s="2" t="s">
        <v>2296</v>
      </c>
      <c r="D808" s="2" t="s">
        <v>612</v>
      </c>
      <c r="E808" s="2" t="s">
        <v>2007</v>
      </c>
      <c r="F808" s="2" t="s">
        <v>15</v>
      </c>
      <c r="G808" s="2" t="s">
        <v>2297</v>
      </c>
      <c r="H808" s="2" t="s">
        <v>120</v>
      </c>
      <c r="I808" s="2" t="str">
        <f>IFERROR(__xludf.DUMMYFUNCTION("GOOGLETRANSLATE(C808,""fr"",""en"")"),"I have carefully read the mainly negative comments of the various stakeholders concerning AXA.
But I think that can greatly outbid; Indeed I was called ""big C .."" by the Directorate of Customer Relations (proof of support).
It is up to you to make you"&amp;"r choice ...")</f>
        <v>I have carefully read the mainly negative comments of the various stakeholders concerning AXA.
But I think that can greatly outbid; Indeed I was called "big C .." by the Directorate of Customer Relations (proof of support).
It is up to you to make your choice ...</v>
      </c>
    </row>
    <row r="809" ht="15.75" customHeight="1">
      <c r="B809" s="2" t="s">
        <v>2298</v>
      </c>
      <c r="C809" s="2" t="s">
        <v>2299</v>
      </c>
      <c r="D809" s="2" t="s">
        <v>612</v>
      </c>
      <c r="E809" s="2" t="s">
        <v>2007</v>
      </c>
      <c r="F809" s="2" t="s">
        <v>15</v>
      </c>
      <c r="G809" s="2" t="s">
        <v>2300</v>
      </c>
      <c r="H809" s="2" t="s">
        <v>120</v>
      </c>
      <c r="I809" s="2" t="str">
        <f>IFERROR(__xludf.DUMMYFUNCTION("GOOGLETRANSLATE(C809,""fr"",""en"")"),"Axa the worst life insurance run away from this anvil !! ... I was taken hostage following the takeover of State Street .... Since then I have been under a ridiculous AXA site not allowing any management more advisor more financial information on funds et"&amp;"c. In progress letter AR and mediator appeal. .... AXA has an arbitrator without my agreement without prevailing or information 8000 EUR of an efficient SICAV to a monetary at an interest in Negative (!!)! AXA refuses to provide me with advice and paramet"&amp;"ers allowing me to close their trap to sail and to recover my 45,000 euros !! their fund in Euro reports 0.48% while the competition offers 2.5% on average .... Globalperter approximately 4,000 euros")</f>
        <v>Axa the worst life insurance run away from this anvil !! ... I was taken hostage following the takeover of State Street .... Since then I have been under a ridiculous AXA site not allowing any management more advisor more financial information on funds etc. In progress letter AR and mediator appeal. .... AXA has an arbitrator without my agreement without prevailing or information 8000 EUR of an efficient SICAV to a monetary at an interest in Negative (!!)! AXA refuses to provide me with advice and parameters allowing me to close their trap to sail and to recover my 45,000 euros !! their fund in Euro reports 0.48% while the competition offers 2.5% on average .... Globalperter approximately 4,000 euros</v>
      </c>
    </row>
    <row r="810" ht="15.75" customHeight="1">
      <c r="B810" s="2" t="s">
        <v>2301</v>
      </c>
      <c r="C810" s="2" t="s">
        <v>2302</v>
      </c>
      <c r="D810" s="2" t="s">
        <v>612</v>
      </c>
      <c r="E810" s="2" t="s">
        <v>2007</v>
      </c>
      <c r="F810" s="2" t="s">
        <v>15</v>
      </c>
      <c r="G810" s="2" t="s">
        <v>2303</v>
      </c>
      <c r="H810" s="2" t="s">
        <v>127</v>
      </c>
      <c r="I810" s="2" t="str">
        <f>IFERROR(__xludf.DUMMYFUNCTION("GOOGLETRANSLATE(C810,""fr"",""en"")"),"An insurance company to flee absolutely. Advisers whose sole objective is to have contracts signed, even if these are not adapted to your needs.")</f>
        <v>An insurance company to flee absolutely. Advisers whose sole objective is to have contracts signed, even if these are not adapted to your needs.</v>
      </c>
    </row>
    <row r="811" ht="15.75" customHeight="1">
      <c r="B811" s="2" t="s">
        <v>2304</v>
      </c>
      <c r="C811" s="2" t="s">
        <v>2305</v>
      </c>
      <c r="D811" s="2" t="s">
        <v>612</v>
      </c>
      <c r="E811" s="2" t="s">
        <v>2007</v>
      </c>
      <c r="F811" s="2" t="s">
        <v>15</v>
      </c>
      <c r="G811" s="2" t="s">
        <v>1649</v>
      </c>
      <c r="H811" s="2" t="s">
        <v>836</v>
      </c>
      <c r="I811" s="2" t="str">
        <f>IFERROR(__xludf.DUMMYFUNCTION("GOOGLETRANSLATE(C811,""fr"",""en"")"),"A parent wanted to send us the money from his life insurance arrived in the long term.
We asked the advisor to come and settle the case in order to obtain this sum in cash. The advisor assures us that the documents have been prepared in this direction.
"&amp;"This advisor came to us, accompanied by another advisor but instead of paying us the planned sum, they managed to convince us to place this sum in life insurance again at AXA (with, in passing the entrance fees Exorbitant. Only oral arguments, more or les"&amp;"s true, not very verifiable, no written document .... Signature on an electronic tablet of a 5 -page contract, without leaving a period of reflection.
We asked for these documents in printed version, refusal of the advisor, we must ask the company.
Ther"&amp;"e was, among other things, in these documents, information on our right of renunciation within 30 days but we did not know it.
We therefore exercised this right of renunciation but after 6 weeks, still no answer. However, the law obliges the company to r"&amp;"estore the amount paid within 30 days.
We therefore seized the insurance mediator.
We are waiting for the answer.
")</f>
        <v>A parent wanted to send us the money from his life insurance arrived in the long term.
We asked the advisor to come and settle the case in order to obtain this sum in cash. The advisor assures us that the documents have been prepared in this direction.
This advisor came to us, accompanied by another advisor but instead of paying us the planned sum, they managed to convince us to place this sum in life insurance again at AXA (with, in passing the entrance fees Exorbitant. Only oral arguments, more or less true, not very verifiable, no written document .... Signature on an electronic tablet of a 5 -page contract, without leaving a period of reflection.
We asked for these documents in printed version, refusal of the advisor, we must ask the company.
There was, among other things, in these documents, information on our right of renunciation within 30 days but we did not know it.
We therefore exercised this right of renunciation but after 6 weeks, still no answer. However, the law obliges the company to restore the amount paid within 30 days.
We therefore seized the insurance mediator.
We are waiting for the answer.
</v>
      </c>
    </row>
    <row r="812" ht="15.75" customHeight="1">
      <c r="B812" s="2" t="s">
        <v>2306</v>
      </c>
      <c r="C812" s="2" t="s">
        <v>2307</v>
      </c>
      <c r="D812" s="2" t="s">
        <v>612</v>
      </c>
      <c r="E812" s="2" t="s">
        <v>2007</v>
      </c>
      <c r="F812" s="2" t="s">
        <v>15</v>
      </c>
      <c r="G812" s="2" t="s">
        <v>2308</v>
      </c>
      <c r="H812" s="2" t="s">
        <v>836</v>
      </c>
      <c r="I812" s="2" t="str">
        <f>IFERROR(__xludf.DUMMYFUNCTION("GOOGLETRANSLATE(C812,""fr"",""en"")"),"Not satisfied with the new AXA website. There is always a technical error when we want to have our money ..... force to go through your advisor to make a partial withdrawal for life insurance, therefore to justify yourself to have your own money !!!! !!")</f>
        <v>Not satisfied with the new AXA website. There is always a technical error when we want to have our money ..... force to go through your advisor to make a partial withdrawal for life insurance, therefore to justify yourself to have your own money !!!! !!</v>
      </c>
    </row>
    <row r="813" ht="15.75" customHeight="1">
      <c r="B813" s="2" t="s">
        <v>2309</v>
      </c>
      <c r="C813" s="2" t="s">
        <v>2310</v>
      </c>
      <c r="D813" s="2" t="s">
        <v>612</v>
      </c>
      <c r="E813" s="2" t="s">
        <v>2007</v>
      </c>
      <c r="F813" s="2" t="s">
        <v>15</v>
      </c>
      <c r="G813" s="2" t="s">
        <v>2311</v>
      </c>
      <c r="H813" s="2" t="s">
        <v>138</v>
      </c>
      <c r="I813" s="2" t="str">
        <f>IFERROR(__xludf.DUMMYFUNCTION("GOOGLETRANSLATE(C813,""fr"",""en"")"),"Axa Fleez !!!!!! Bunch of white collars that do not respond to requests ... don't care about customers !!!!
")</f>
        <v>Axa Fleez !!!!!! Bunch of white collars that do not respond to requests ... don't care about customers !!!!
</v>
      </c>
    </row>
    <row r="814" ht="15.75" customHeight="1">
      <c r="B814" s="2" t="s">
        <v>2312</v>
      </c>
      <c r="C814" s="2" t="s">
        <v>2313</v>
      </c>
      <c r="D814" s="2" t="s">
        <v>612</v>
      </c>
      <c r="E814" s="2" t="s">
        <v>2007</v>
      </c>
      <c r="F814" s="2" t="s">
        <v>15</v>
      </c>
      <c r="G814" s="2" t="s">
        <v>2314</v>
      </c>
      <c r="H814" s="2" t="s">
        <v>469</v>
      </c>
      <c r="I814" s="2" t="str">
        <f>IFERROR(__xludf.DUMMYFUNCTION("GOOGLETRANSLATE(C814,""fr"",""en"")"),"Impossible to perceive the performance of controlled management
In 18 months, 2 of my contracts did not take off while almost all UC and € supports gave gains in 2016.
The gains have not for me and seem to stay at AXA with the pretext too easy that the "&amp;"economic situation is difficult ...
What will AXA set up for active support for possible personal management?")</f>
        <v>Impossible to perceive the performance of controlled management
In 18 months, 2 of my contracts did not take off while almost all UC and € supports gave gains in 2016.
The gains have not for me and seem to stay at AXA with the pretext too easy that the economic situation is difficult ...
What will AXA set up for active support for possible personal management?</v>
      </c>
    </row>
    <row r="815" ht="15.75" customHeight="1">
      <c r="B815" s="2" t="s">
        <v>2315</v>
      </c>
      <c r="C815" s="2" t="s">
        <v>2316</v>
      </c>
      <c r="D815" s="2" t="s">
        <v>612</v>
      </c>
      <c r="E815" s="2" t="s">
        <v>2007</v>
      </c>
      <c r="F815" s="2" t="s">
        <v>15</v>
      </c>
      <c r="G815" s="2" t="s">
        <v>2317</v>
      </c>
      <c r="H815" s="2" t="s">
        <v>145</v>
      </c>
      <c r="I815" s="2" t="str">
        <f>IFERROR(__xludf.DUMMYFUNCTION("GOOGLETRANSLATE(C815,""fr"",""en"")"),"Placement carried out on a resolving capital contract. Rent paid as expected during the first years. When I stopped the buyout of the annuity, I realized that in fact the unsuccessful capital had only brought me 3.5% overall over 9 years. Suffice to say n"&amp;"othing.")</f>
        <v>Placement carried out on a resolving capital contract. Rent paid as expected during the first years. When I stopped the buyout of the annuity, I realized that in fact the unsuccessful capital had only brought me 3.5% overall over 9 years. Suffice to say nothing.</v>
      </c>
    </row>
    <row r="816" ht="15.75" customHeight="1">
      <c r="B816" s="2" t="s">
        <v>2318</v>
      </c>
      <c r="C816" s="2" t="s">
        <v>2319</v>
      </c>
      <c r="D816" s="2" t="s">
        <v>13</v>
      </c>
      <c r="E816" s="2" t="s">
        <v>2007</v>
      </c>
      <c r="F816" s="2" t="s">
        <v>15</v>
      </c>
      <c r="G816" s="2" t="s">
        <v>2009</v>
      </c>
      <c r="H816" s="2" t="s">
        <v>2009</v>
      </c>
      <c r="I816" s="2" t="str">
        <f>IFERROR(__xludf.DUMMYFUNCTION("GOOGLETRANSLATE(C816,""fr"",""en"")"),"I have only seen the decline since April 2021.
Really disappointed by Mutavie while I only have satisfactions for the Macif.
Obviously on the Mutavie site I only see compliments.")</f>
        <v>I have only seen the decline since April 2021.
Really disappointed by Mutavie while I only have satisfactions for the Macif.
Obviously on the Mutavie site I only see compliments.</v>
      </c>
    </row>
    <row r="817" ht="15.75" customHeight="1">
      <c r="B817" s="2" t="s">
        <v>2320</v>
      </c>
      <c r="C817" s="2" t="s">
        <v>2321</v>
      </c>
      <c r="D817" s="2" t="s">
        <v>13</v>
      </c>
      <c r="E817" s="2" t="s">
        <v>2007</v>
      </c>
      <c r="F817" s="2" t="s">
        <v>15</v>
      </c>
      <c r="G817" s="2" t="s">
        <v>2322</v>
      </c>
      <c r="H817" s="2" t="s">
        <v>179</v>
      </c>
      <c r="I817" s="2" t="str">
        <f>IFERROR(__xludf.DUMMYFUNCTION("GOOGLETRANSLATE(C817,""fr"",""en"")"),"We have asked for quotes for death insurance. At the Macif. The advisor in the following week put 2 asuurances death on our 2 heads without signature. I was able to have immediately canceled, my husband was made immediately. He went to the agency and push"&amp;" a shouting, they said that it was a computer problem, the assistance was quickly canceled.
Beware !!!!!!!
Fuy !!!!!!!!!!!!")</f>
        <v>We have asked for quotes for death insurance. At the Macif. The advisor in the following week put 2 asuurances death on our 2 heads without signature. I was able to have immediately canceled, my husband was made immediately. He went to the agency and push a shouting, they said that it was a computer problem, the assistance was quickly canceled.
Beware !!!!!!!
Fuy !!!!!!!!!!!!</v>
      </c>
    </row>
    <row r="818" ht="15.75" customHeight="1">
      <c r="B818" s="2" t="s">
        <v>2323</v>
      </c>
      <c r="C818" s="2" t="s">
        <v>2324</v>
      </c>
      <c r="D818" s="2" t="s">
        <v>13</v>
      </c>
      <c r="E818" s="2" t="s">
        <v>2007</v>
      </c>
      <c r="F818" s="2" t="s">
        <v>15</v>
      </c>
      <c r="G818" s="2" t="s">
        <v>2325</v>
      </c>
      <c r="H818" s="2" t="s">
        <v>194</v>
      </c>
      <c r="I818" s="2" t="str">
        <f>IFERROR(__xludf.DUMMYFUNCTION("GOOGLETRANSLATE(C818,""fr"",""en"")"),"Please note your accident accident insurance I inform you that from 65 years old always pay you the same price except that in the event of an accident compensates you 50% less my insurance my warned by registered letter the macif nothing so I am under stu"&amp;"dy for Remove all my too disappointed contracts from the HAUTIN reception from the Center Management Commenting M Bangles PS Customer for 50 years")</f>
        <v>Please note your accident accident insurance I inform you that from 65 years old always pay you the same price except that in the event of an accident compensates you 50% less my insurance my warned by registered letter the macif nothing so I am under study for Remove all my too disappointed contracts from the HAUTIN reception from the Center Management Commenting M Bangles PS Customer for 50 years</v>
      </c>
    </row>
    <row r="819" ht="15.75" customHeight="1">
      <c r="B819" s="2" t="s">
        <v>2326</v>
      </c>
      <c r="C819" s="2" t="s">
        <v>2327</v>
      </c>
      <c r="D819" s="2" t="s">
        <v>13</v>
      </c>
      <c r="E819" s="2" t="s">
        <v>2007</v>
      </c>
      <c r="F819" s="2" t="s">
        <v>15</v>
      </c>
      <c r="G819" s="2" t="s">
        <v>2328</v>
      </c>
      <c r="H819" s="2" t="s">
        <v>194</v>
      </c>
      <c r="I819" s="2" t="str">
        <f>IFERROR(__xludf.DUMMYFUNCTION("GOOGLETRANSLATE(C819,""fr"",""en"")"),"Since the end of December I have not received anything as interest in contact by email nonexistent (no answer), the path of termination is on the way !!")</f>
        <v>Since the end of December I have not received anything as interest in contact by email nonexistent (no answer), the path of termination is on the way !!</v>
      </c>
    </row>
    <row r="820" ht="15.75" customHeight="1">
      <c r="B820" s="2" t="s">
        <v>2329</v>
      </c>
      <c r="C820" s="2" t="s">
        <v>2330</v>
      </c>
      <c r="D820" s="2" t="s">
        <v>13</v>
      </c>
      <c r="E820" s="2" t="s">
        <v>2007</v>
      </c>
      <c r="F820" s="2" t="s">
        <v>15</v>
      </c>
      <c r="G820" s="2" t="s">
        <v>2331</v>
      </c>
      <c r="H820" s="2" t="s">
        <v>277</v>
      </c>
      <c r="I820" s="2" t="str">
        <f>IFERROR(__xludf.DUMMYFUNCTION("GOOGLETRANSLATE(C820,""fr"",""en"")"),"Go to the Macif de Lisieux this day !! Monsieur Duval made us a state of our contracts !!")</f>
        <v>Go to the Macif de Lisieux this day !! Monsieur Duval made us a state of our contracts !!</v>
      </c>
    </row>
    <row r="821" ht="15.75" customHeight="1">
      <c r="B821" s="2" t="s">
        <v>2332</v>
      </c>
      <c r="C821" s="2" t="s">
        <v>2333</v>
      </c>
      <c r="D821" s="2" t="s">
        <v>13</v>
      </c>
      <c r="E821" s="2" t="s">
        <v>2007</v>
      </c>
      <c r="F821" s="2" t="s">
        <v>15</v>
      </c>
      <c r="G821" s="2" t="s">
        <v>2334</v>
      </c>
      <c r="H821" s="2" t="s">
        <v>307</v>
      </c>
      <c r="I821" s="2" t="str">
        <f>IFERROR(__xludf.DUMMYFUNCTION("GOOGLETRANSLATE(C821,""fr"",""en"")"),"It is true that the life book has lost many of its quality but it is general for any more supports are interesting to this day in France savings is in free fall and it is valid for just as well for the Booklet has that a lep everything is impacted you hav"&amp;"e to be satisfied with little and that is always that and do not take any risks because it is the assured loss otherwise")</f>
        <v>It is true that the life book has lost many of its quality but it is general for any more supports are interesting to this day in France savings is in free fall and it is valid for just as well for the Booklet has that a lep everything is impacted you have to be satisfied with little and that is always that and do not take any risks because it is the assured loss otherwise</v>
      </c>
    </row>
    <row r="822" ht="15.75" customHeight="1">
      <c r="B822" s="2" t="s">
        <v>2335</v>
      </c>
      <c r="C822" s="2" t="s">
        <v>2336</v>
      </c>
      <c r="D822" s="2" t="s">
        <v>13</v>
      </c>
      <c r="E822" s="2" t="s">
        <v>2007</v>
      </c>
      <c r="F822" s="2" t="s">
        <v>15</v>
      </c>
      <c r="G822" s="2" t="s">
        <v>2337</v>
      </c>
      <c r="H822" s="2" t="s">
        <v>324</v>
      </c>
      <c r="I822" s="2" t="str">
        <f>IFERROR(__xludf.DUMMYFUNCTION("GOOGLETRANSLATE(C822,""fr"",""en"")"),"Place in life insurance since August 2018 2550 euro to date I lose money it is not normal you should be confined to doing insurance and no hazardous placement not serious at all")</f>
        <v>Place in life insurance since August 2018 2550 euro to date I lose money it is not normal you should be confined to doing insurance and no hazardous placement not serious at all</v>
      </c>
    </row>
    <row r="823" ht="15.75" customHeight="1">
      <c r="B823" s="2" t="s">
        <v>2338</v>
      </c>
      <c r="C823" s="2" t="s">
        <v>2339</v>
      </c>
      <c r="D823" s="2" t="s">
        <v>13</v>
      </c>
      <c r="E823" s="2" t="s">
        <v>2007</v>
      </c>
      <c r="F823" s="2" t="s">
        <v>15</v>
      </c>
      <c r="G823" s="2" t="s">
        <v>1857</v>
      </c>
      <c r="H823" s="2" t="s">
        <v>572</v>
      </c>
      <c r="I823" s="2" t="str">
        <f>IFERROR(__xludf.DUMMYFUNCTION("GOOGLETRANSLATE(C823,""fr"",""en"")"),"My dad had taken out life insurance.
On his death, the insurance had to pay a capital within 72 hours, after having sent the documents by emails, sent, sent back and sent sent off and sent, it has now been 312 hours that we are waiting for this first pay"&amp;"ment, I am very worried about the future .
")</f>
        <v>My dad had taken out life insurance.
On his death, the insurance had to pay a capital within 72 hours, after having sent the documents by emails, sent, sent back and sent sent off and sent, it has now been 312 hours that we are waiting for this first payment, I am very worried about the future .
</v>
      </c>
    </row>
    <row r="824" ht="15.75" customHeight="1">
      <c r="B824" s="2" t="s">
        <v>2340</v>
      </c>
      <c r="C824" s="2" t="s">
        <v>2341</v>
      </c>
      <c r="D824" s="2" t="s">
        <v>13</v>
      </c>
      <c r="E824" s="2" t="s">
        <v>2007</v>
      </c>
      <c r="F824" s="2" t="s">
        <v>15</v>
      </c>
      <c r="G824" s="2" t="s">
        <v>17</v>
      </c>
      <c r="H824" s="2" t="s">
        <v>17</v>
      </c>
      <c r="I824" s="2" t="str">
        <f>IFERROR(__xludf.DUMMYFUNCTION("GOOGLETRANSLATE(C824,""fr"",""en"")"),"Hello,
I opened a mutadia account with a monthly deposit.
I discover by my fault because I do not verify my papers and no mail happens that this has never been done!
On my Mutavie account, I had asked for a distribution on several supports and I see th"&amp;"at the monthlyizations go well but that everything is on euros!
Who is the fault, to the Macif who made me the contracts or Mutavie who does not follow the contracts?
Anyone know the same problem ???
Thank you")</f>
        <v>Hello,
I opened a mutadia account with a monthly deposit.
I discover by my fault because I do not verify my papers and no mail happens that this has never been done!
On my Mutavie account, I had asked for a distribution on several supports and I see that the monthlyizations go well but that everything is on euros!
Who is the fault, to the Macif who made me the contracts or Mutavie who does not follow the contracts?
Anyone know the same problem ???
Thank you</v>
      </c>
    </row>
    <row r="825" ht="15.75" customHeight="1">
      <c r="B825" s="2" t="s">
        <v>2342</v>
      </c>
      <c r="C825" s="2" t="s">
        <v>2343</v>
      </c>
      <c r="D825" s="2" t="s">
        <v>13</v>
      </c>
      <c r="E825" s="2" t="s">
        <v>2007</v>
      </c>
      <c r="F825" s="2" t="s">
        <v>15</v>
      </c>
      <c r="G825" s="2" t="s">
        <v>2344</v>
      </c>
      <c r="H825" s="2" t="s">
        <v>349</v>
      </c>
      <c r="I825" s="2" t="str">
        <f>IFERROR(__xludf.DUMMYFUNCTION("GOOGLETRANSLATE(C825,""fr"",""en"")"),"I signed in 2004 an Actiplus life insurance contract I fueled this contract regularly with a view to constituting me retirement savings in 2016 the Macif offered to transform this contract into a multi -life contract called ""Turgous transformation with d"&amp;"istribution Capital existing at 80 % in euros and the rest 20 % in Sofi shares The summary document of my savings at the time advised me this transformation. Faithful customer of the Macif I trusted; today I see that Part of my savings are considerably re"&amp;"duced.")</f>
        <v>I signed in 2004 an Actiplus life insurance contract I fueled this contract regularly with a view to constituting me retirement savings in 2016 the Macif offered to transform this contract into a multi -life contract called "Turgous transformation with distribution Capital existing at 80 % in euros and the rest 20 % in Sofi shares The summary document of my savings at the time advised me this transformation. Faithful customer of the Macif I trusted; today I see that Part of my savings are considerably reduced.</v>
      </c>
    </row>
    <row r="826" ht="15.75" customHeight="1">
      <c r="B826" s="2" t="s">
        <v>2345</v>
      </c>
      <c r="C826" s="2" t="s">
        <v>2346</v>
      </c>
      <c r="D826" s="2" t="s">
        <v>13</v>
      </c>
      <c r="E826" s="2" t="s">
        <v>2007</v>
      </c>
      <c r="F826" s="2" t="s">
        <v>15</v>
      </c>
      <c r="G826" s="2" t="s">
        <v>2347</v>
      </c>
      <c r="H826" s="2" t="s">
        <v>120</v>
      </c>
      <c r="I826" s="2" t="str">
        <f>IFERROR(__xludf.DUMMYFUNCTION("GOOGLETRANSLATE(C826,""fr"",""en"")"),"Hello, my ex -husband who died in July 2016, had taken life insurance at the Macif with our 2 daughters as beneficiaries. To date, at the end of July 2017, nothing has been paid. They asked us for a lot of papers, for some almost impossible to have, for o"&amp;"thers very important and suddenly are no longer so and the Macif claims others. I think they drag the case because the insurance does not intend to pay anything as it is a large sum. Yet I reread the contract and the health questionnaire and nothing expla"&amp;"ins that things are dragging apart from bad faith on their part. Above all, keep your CPAM counts because they claim them from the beneficiaries although I think it is a decoy and that they never pay the allowances to anyone, preferring to enrich the misf"&amp;"ortune of people.")</f>
        <v>Hello, my ex -husband who died in July 2016, had taken life insurance at the Macif with our 2 daughters as beneficiaries. To date, at the end of July 2017, nothing has been paid. They asked us for a lot of papers, for some almost impossible to have, for others very important and suddenly are no longer so and the Macif claims others. I think they drag the case because the insurance does not intend to pay anything as it is a large sum. Yet I reread the contract and the health questionnaire and nothing explains that things are dragging apart from bad faith on their part. Above all, keep your CPAM counts because they claim them from the beneficiaries although I think it is a decoy and that they never pay the allowances to anyone, preferring to enrich the misfortune of people.</v>
      </c>
    </row>
    <row r="827" ht="15.75" customHeight="1">
      <c r="B827" s="2" t="s">
        <v>2348</v>
      </c>
      <c r="C827" s="2" t="s">
        <v>2349</v>
      </c>
      <c r="D827" s="2" t="s">
        <v>2350</v>
      </c>
      <c r="E827" s="2" t="s">
        <v>2007</v>
      </c>
      <c r="F827" s="2" t="s">
        <v>15</v>
      </c>
      <c r="G827" s="2" t="s">
        <v>1368</v>
      </c>
      <c r="H827" s="2" t="s">
        <v>481</v>
      </c>
      <c r="I827" s="2" t="str">
        <f>IFERROR(__xludf.DUMMYFUNCTION("GOOGLETRANSLATE(C827,""fr"",""en"")"),"Never open a PER at Swisslife, a company unreachable by phone when your advisor is on vacation (very often!). Retired since last April, I asked 2 months ago, a partial unblocking of my capital, to date still nothing !!!! My advisor had told me 3 weeks max"&amp;"imum. I am about to take a lawyer because I have an urgent need for this money. (I have 780 euros of retirement!). It's a shame!!!! So, to run away absolutely!")</f>
        <v>Never open a PER at Swisslife, a company unreachable by phone when your advisor is on vacation (very often!). Retired since last April, I asked 2 months ago, a partial unblocking of my capital, to date still nothing !!!! My advisor had told me 3 weeks maximum. I am about to take a lawyer because I have an urgent need for this money. (I have 780 euros of retirement!). It's a shame!!!! So, to run away absolutely!</v>
      </c>
    </row>
    <row r="828" ht="15.75" customHeight="1">
      <c r="B828" s="2" t="s">
        <v>2351</v>
      </c>
      <c r="C828" s="2" t="s">
        <v>2352</v>
      </c>
      <c r="D828" s="2" t="s">
        <v>2350</v>
      </c>
      <c r="E828" s="2" t="s">
        <v>2007</v>
      </c>
      <c r="F828" s="2" t="s">
        <v>15</v>
      </c>
      <c r="G828" s="2" t="s">
        <v>2353</v>
      </c>
      <c r="H828" s="2" t="s">
        <v>164</v>
      </c>
      <c r="I828" s="2" t="str">
        <f>IFERROR(__xludf.DUMMYFUNCTION("GOOGLETRANSLATE(C828,""fr"",""en"")"),"It's been a month since I gave the repurchase of my life insurance after receipt the same day of my request, an SMS tells you that in the 20 j money is fired it's been a month and nothing I call to ask for explanations and we explains that the acquisition"&amp;" has not yet been done for lack of a lot of files to be processed to be strongly advised against")</f>
        <v>It's been a month since I gave the repurchase of my life insurance after receipt the same day of my request, an SMS tells you that in the 20 j money is fired it's been a month and nothing I call to ask for explanations and we explains that the acquisition has not yet been done for lack of a lot of files to be processed to be strongly advised against</v>
      </c>
    </row>
    <row r="829" ht="15.75" customHeight="1">
      <c r="B829" s="2" t="s">
        <v>2354</v>
      </c>
      <c r="C829" s="2" t="s">
        <v>2355</v>
      </c>
      <c r="D829" s="2" t="s">
        <v>2350</v>
      </c>
      <c r="E829" s="2" t="s">
        <v>2007</v>
      </c>
      <c r="F829" s="2" t="s">
        <v>15</v>
      </c>
      <c r="G829" s="2" t="s">
        <v>1413</v>
      </c>
      <c r="H829" s="2" t="s">
        <v>168</v>
      </c>
      <c r="I829" s="2" t="str">
        <f>IFERROR(__xludf.DUMMYFUNCTION("GOOGLETRANSLATE(C829,""fr"",""en"")"),"Hello I have my grandfather who died 3 months ago I am told I will touch that 280 euros when he for 25 years I don't understand anything anymore if it is normal please")</f>
        <v>Hello I have my grandfather who died 3 months ago I am told I will touch that 280 euros when he for 25 years I don't understand anything anymore if it is normal please</v>
      </c>
    </row>
    <row r="830" ht="15.75" customHeight="1">
      <c r="B830" s="2" t="s">
        <v>2356</v>
      </c>
      <c r="C830" s="2" t="s">
        <v>2357</v>
      </c>
      <c r="D830" s="2" t="s">
        <v>2350</v>
      </c>
      <c r="E830" s="2" t="s">
        <v>2007</v>
      </c>
      <c r="F830" s="2" t="s">
        <v>15</v>
      </c>
      <c r="G830" s="2" t="s">
        <v>2358</v>
      </c>
      <c r="H830" s="2" t="s">
        <v>496</v>
      </c>
      <c r="I830" s="2" t="str">
        <f>IFERROR(__xludf.DUMMYFUNCTION("GOOGLETRANSLATE(C830,""fr"",""en"")"),"Following the death of my mom on 04/03 last, she had 2 death insurance contras at Swiss Life, I admit that after having seen the opinions on the internet I was very afraid, so yes he asks a lot of document And some that I still do not understand, I am the"&amp;" only heiress it should not be so complicated, in short, they made the payment last week 1 month and a few days.")</f>
        <v>Following the death of my mom on 04/03 last, she had 2 death insurance contras at Swiss Life, I admit that after having seen the opinions on the internet I was very afraid, so yes he asks a lot of document And some that I still do not understand, I am the only heiress it should not be so complicated, in short, they made the payment last week 1 month and a few days.</v>
      </c>
    </row>
    <row r="831" ht="15.75" customHeight="1">
      <c r="B831" s="2" t="s">
        <v>2359</v>
      </c>
      <c r="C831" s="2" t="s">
        <v>2360</v>
      </c>
      <c r="D831" s="2" t="s">
        <v>2350</v>
      </c>
      <c r="E831" s="2" t="s">
        <v>2007</v>
      </c>
      <c r="F831" s="2" t="s">
        <v>15</v>
      </c>
      <c r="G831" s="2" t="s">
        <v>1490</v>
      </c>
      <c r="H831" s="2" t="s">
        <v>179</v>
      </c>
      <c r="I831" s="2" t="str">
        <f>IFERROR(__xludf.DUMMYFUNCTION("GOOGLETRANSLATE(C831,""fr"",""en"")"),"I signed a titles contract@vie in early January 2020 through the Altaprofits broker. After a year, dissatisfied with the online management offered (repeated bugs, errors observed, especially very bad customer service ...) I decided to make the total buyou"&amp;"t of the contract. I made the written request on 10/02/2021 by registered mail with AR (wise precaution!) By joining a RIB and a copy of identity document after inquiring by phone on the procedure. Having had no return after three weeks, I called in early"&amp;" March to inform myself: I was told that the operation was in progress then I was asked to return a additional information sheet (which we do not had not pointed out to me the existence when I inquired). I did it immediately and two weeks later I received"&amp;" from a mysterious service a new request for referring this sheet: what was -It happened to the previous one? Not transmitted, lost (voluntarily or not)? ... Impossible to know. I executed myself again and to date (1 month 1/2 later!) Always any news of t"&amp;"he reimbursement of my funds and impossible to have any information
What game do this insurer and its associates play? One has the impression of colliding with an insurmountable wall. This worries me all the more since I have no problem with the other in"&amp;"surers with whom I contracted life insurance. I therefore join the opinions widely expressed here: avoid Swisslife (and the Altaprofits broker), it is the worse in terms of life insurance")</f>
        <v>I signed a titles contract@vie in early January 2020 through the Altaprofits broker. After a year, dissatisfied with the online management offered (repeated bugs, errors observed, especially very bad customer service ...) I decided to make the total buyout of the contract. I made the written request on 10/02/2021 by registered mail with AR (wise precaution!) By joining a RIB and a copy of identity document after inquiring by phone on the procedure. Having had no return after three weeks, I called in early March to inform myself: I was told that the operation was in progress then I was asked to return a additional information sheet (which we do not had not pointed out to me the existence when I inquired). I did it immediately and two weeks later I received from a mysterious service a new request for referring this sheet: what was -It happened to the previous one? Not transmitted, lost (voluntarily or not)? ... Impossible to know. I executed myself again and to date (1 month 1/2 later!) Always any news of the reimbursement of my funds and impossible to have any information
What game do this insurer and its associates play? One has the impression of colliding with an insurmountable wall. This worries me all the more since I have no problem with the other insurers with whom I contracted life insurance. I therefore join the opinions widely expressed here: avoid Swisslife (and the Altaprofits broker), it is the worse in terms of life insurance</v>
      </c>
    </row>
    <row r="832" ht="15.75" customHeight="1">
      <c r="B832" s="2" t="s">
        <v>2361</v>
      </c>
      <c r="C832" s="2" t="s">
        <v>2362</v>
      </c>
      <c r="D832" s="2" t="s">
        <v>2350</v>
      </c>
      <c r="E832" s="2" t="s">
        <v>2007</v>
      </c>
      <c r="F832" s="2" t="s">
        <v>15</v>
      </c>
      <c r="G832" s="2" t="s">
        <v>207</v>
      </c>
      <c r="H832" s="2" t="s">
        <v>204</v>
      </c>
      <c r="I832" s="2" t="str">
        <f>IFERROR(__xludf.DUMMYFUNCTION("GOOGLETRANSLATE(C832,""fr"",""en"")"),"To flee!! My mother has died for almost 1 year. They made him take 5 contracts by promising him that we would not have to worry about anything for his funeral, since I am the beneficiary of 2 of his contracts and after a 1 year, nothing !!!
No answer. "&amp;"Impossible to have someone on the phone or we don't want to answer you. Impossible to have the money. A shame for insurance !!
Go your way if you want serious and listening to you.")</f>
        <v>To flee!! My mother has died for almost 1 year. They made him take 5 contracts by promising him that we would not have to worry about anything for his funeral, since I am the beneficiary of 2 of his contracts and after a 1 year, nothing !!!
No answer. Impossible to have someone on the phone or we don't want to answer you. Impossible to have the money. A shame for insurance !!
Go your way if you want serious and listening to you.</v>
      </c>
    </row>
    <row r="833" ht="15.75" customHeight="1">
      <c r="B833" s="2" t="s">
        <v>2363</v>
      </c>
      <c r="C833" s="2" t="s">
        <v>2364</v>
      </c>
      <c r="D833" s="2" t="s">
        <v>2350</v>
      </c>
      <c r="E833" s="2" t="s">
        <v>2007</v>
      </c>
      <c r="F833" s="2" t="s">
        <v>15</v>
      </c>
      <c r="G833" s="2" t="s">
        <v>2365</v>
      </c>
      <c r="H833" s="2" t="s">
        <v>246</v>
      </c>
      <c r="I833" s="2" t="str">
        <f>IFERROR(__xludf.DUMMYFUNCTION("GOOGLETRANSLATE(C833,""fr"",""en"")"),"To flee !!! Chain of multiple errors in the space of two months. Sum displayed on the customer area different from the initial amount invested (minus 1000 euros which have flown). Complex buyback request !!! (First request to the Forgettes, second request"&amp;" without concrete return from customer service. Swiss Life, it's great (mediocre).")</f>
        <v>To flee !!! Chain of multiple errors in the space of two months. Sum displayed on the customer area different from the initial amount invested (minus 1000 euros which have flown). Complex buyback request !!! (First request to the Forgettes, second request without concrete return from customer service. Swiss Life, it's great (mediocre).</v>
      </c>
    </row>
    <row r="834" ht="15.75" customHeight="1">
      <c r="B834" s="2" t="s">
        <v>2366</v>
      </c>
      <c r="C834" s="2" t="s">
        <v>2367</v>
      </c>
      <c r="D834" s="2" t="s">
        <v>2350</v>
      </c>
      <c r="E834" s="2" t="s">
        <v>2007</v>
      </c>
      <c r="F834" s="2" t="s">
        <v>15</v>
      </c>
      <c r="G834" s="2" t="s">
        <v>2368</v>
      </c>
      <c r="H834" s="2" t="s">
        <v>253</v>
      </c>
      <c r="I834" s="2" t="str">
        <f>IFERROR(__xludf.DUMMYFUNCTION("GOOGLETRANSLATE(C834,""fr"",""en"")"),"Hello to flee 3 months that I fight with them for the repurchase of my retirement insurance !!!! Thursday, July 23, I am given a vocal message to tell me that my file is processed and that the transfer is made.
Today still nothing about the transfer ... "&amp;"5 different advisers over 2 days and 5 different versions with insane excuses !!!!
I kept the communications and I will call on a lawyer because I think it's the only solution
")</f>
        <v>Hello to flee 3 months that I fight with them for the repurchase of my retirement insurance !!!! Thursday, July 23, I am given a vocal message to tell me that my file is processed and that the transfer is made.
Today still nothing about the transfer ... 5 different advisers over 2 days and 5 different versions with insane excuses !!!!
I kept the communications and I will call on a lawyer because I think it's the only solution
</v>
      </c>
    </row>
    <row r="835" ht="15.75" customHeight="1">
      <c r="B835" s="2" t="s">
        <v>2369</v>
      </c>
      <c r="C835" s="2" t="s">
        <v>2370</v>
      </c>
      <c r="D835" s="2" t="s">
        <v>2350</v>
      </c>
      <c r="E835" s="2" t="s">
        <v>2007</v>
      </c>
      <c r="F835" s="2" t="s">
        <v>15</v>
      </c>
      <c r="G835" s="2" t="s">
        <v>2371</v>
      </c>
      <c r="H835" s="2" t="s">
        <v>257</v>
      </c>
      <c r="I835" s="2" t="str">
        <f>IFERROR(__xludf.DUMMYFUNCTION("GOOGLETRANSLATE(C835,""fr"",""en"")"),"It's been 10 days since I was walking my father was deceased on March 24, 2020 during confinement he had life insurance I transmitted all the papers they asked for the file is closed in May 2020 I call 12 June I am told that he went to regulation in accou"&amp;"nting but I really find it difficult to believe them because before he asked me for papers he already had but I told them to check and the yes we had to wait After I am asked for my rib I tell them that he still have it they do everything to settle I had "&amp;"to pay my father's burial I am in the open of 4000 euro I may always say nothing to my account I will make it.")</f>
        <v>It's been 10 days since I was walking my father was deceased on March 24, 2020 during confinement he had life insurance I transmitted all the papers they asked for the file is closed in May 2020 I call 12 June I am told that he went to regulation in accounting but I really find it difficult to believe them because before he asked me for papers he already had but I told them to check and the yes we had to wait After I am asked for my rib I tell them that he still have it they do everything to settle I had to pay my father's burial I am in the open of 4000 euro I may always say nothing to my account I will make it.</v>
      </c>
    </row>
    <row r="836" ht="15.75" customHeight="1">
      <c r="B836" s="2" t="s">
        <v>2372</v>
      </c>
      <c r="C836" s="2" t="s">
        <v>2373</v>
      </c>
      <c r="D836" s="2" t="s">
        <v>2350</v>
      </c>
      <c r="E836" s="2" t="s">
        <v>2007</v>
      </c>
      <c r="F836" s="2" t="s">
        <v>15</v>
      </c>
      <c r="G836" s="2" t="s">
        <v>2374</v>
      </c>
      <c r="H836" s="2" t="s">
        <v>277</v>
      </c>
      <c r="I836" s="2" t="str">
        <f>IFERROR(__xludf.DUMMYFUNCTION("GOOGLETRANSLATE(C836,""fr"",""en"")"),"To flee. My wife and I had a life insurance contract each. By bad advice we have decided to put an end. It took us 1.5 months to recover our funds, without explanations none despite our requests. And fill we end up with costs of a deposit monthly payment "&amp;"on each account. Without our being informed. So flee because big smiles to drop money but that inertia without communication to recover your money")</f>
        <v>To flee. My wife and I had a life insurance contract each. By bad advice we have decided to put an end. It took us 1.5 months to recover our funds, without explanations none despite our requests. And fill we end up with costs of a deposit monthly payment on each account. Without our being informed. So flee because big smiles to drop money but that inertia without communication to recover your money</v>
      </c>
    </row>
    <row r="837" ht="15.75" customHeight="1">
      <c r="B837" s="2" t="s">
        <v>2375</v>
      </c>
      <c r="C837" s="2" t="s">
        <v>2376</v>
      </c>
      <c r="D837" s="2" t="s">
        <v>2350</v>
      </c>
      <c r="E837" s="2" t="s">
        <v>2007</v>
      </c>
      <c r="F837" s="2" t="s">
        <v>15</v>
      </c>
      <c r="G837" s="2" t="s">
        <v>2377</v>
      </c>
      <c r="H837" s="2" t="s">
        <v>277</v>
      </c>
      <c r="I837" s="2" t="str">
        <f>IFERROR(__xludf.DUMMYFUNCTION("GOOGLETRANSLATE(C837,""fr"",""en"")"),"hello
Too bad we can't put less than a star
null customer service and do not respond to letters
I received an email telling me that my mail would get an answer within 3 months it's 5 months !!
And when you get an answer it is unrelated to the question"&amp;" asked
I only have the mediator or the lawyer to obtain concrete answers
Maybe there is an ""elite"" of advisers reserve to respond to lawyers")</f>
        <v>hello
Too bad we can't put less than a star
null customer service and do not respond to letters
I received an email telling me that my mail would get an answer within 3 months it's 5 months !!
And when you get an answer it is unrelated to the question asked
I only have the mediator or the lawyer to obtain concrete answers
Maybe there is an "elite" of advisers reserve to respond to lawyers</v>
      </c>
    </row>
    <row r="838" ht="15.75" customHeight="1">
      <c r="B838" s="2" t="s">
        <v>2378</v>
      </c>
      <c r="C838" s="2" t="s">
        <v>2379</v>
      </c>
      <c r="D838" s="2" t="s">
        <v>2350</v>
      </c>
      <c r="E838" s="2" t="s">
        <v>2007</v>
      </c>
      <c r="F838" s="2" t="s">
        <v>15</v>
      </c>
      <c r="G838" s="2" t="s">
        <v>2380</v>
      </c>
      <c r="H838" s="2" t="s">
        <v>277</v>
      </c>
      <c r="I838" s="2" t="str">
        <f>IFERROR(__xludf.DUMMYFUNCTION("GOOGLETRANSLATE(C838,""fr"",""en"")"),"My contract has never been followed by problems for more than 10 years nothing to say negative for this contract")</f>
        <v>My contract has never been followed by problems for more than 10 years nothing to say negative for this contract</v>
      </c>
    </row>
    <row r="839" ht="15.75" customHeight="1">
      <c r="B839" s="2" t="s">
        <v>2381</v>
      </c>
      <c r="C839" s="2" t="s">
        <v>2382</v>
      </c>
      <c r="D839" s="2" t="s">
        <v>2350</v>
      </c>
      <c r="E839" s="2" t="s">
        <v>2007</v>
      </c>
      <c r="F839" s="2" t="s">
        <v>15</v>
      </c>
      <c r="G839" s="2" t="s">
        <v>2383</v>
      </c>
      <c r="H839" s="2" t="s">
        <v>307</v>
      </c>
      <c r="I839" s="2" t="str">
        <f>IFERROR(__xludf.DUMMYFUNCTION("GOOGLETRANSLATE(C839,""fr"",""en"")"),"Following a request for a lifetime annuity, it is impossible to have details on the samples that should be taken. Stereotypical responses.")</f>
        <v>Following a request for a lifetime annuity, it is impossible to have details on the samples that should be taken. Stereotypical responses.</v>
      </c>
    </row>
    <row r="840" ht="15.75" customHeight="1">
      <c r="B840" s="2" t="s">
        <v>2384</v>
      </c>
      <c r="C840" s="2" t="s">
        <v>2385</v>
      </c>
      <c r="D840" s="2" t="s">
        <v>2350</v>
      </c>
      <c r="E840" s="2" t="s">
        <v>2007</v>
      </c>
      <c r="F840" s="2" t="s">
        <v>15</v>
      </c>
      <c r="G840" s="2" t="s">
        <v>2386</v>
      </c>
      <c r="H840" s="2" t="s">
        <v>317</v>
      </c>
      <c r="I840" s="2" t="str">
        <f>IFERROR(__xludf.DUMMYFUNCTION("GOOGLETRANSLATE(C840,""fr"",""en"")"),"Insurer with curious and irresponsible operation: when you wish to recover your funds, they are unpleasant on the phone, then then do not answer you at all!")</f>
        <v>Insurer with curious and irresponsible operation: when you wish to recover your funds, they are unpleasant on the phone, then then do not answer you at all!</v>
      </c>
    </row>
    <row r="841" ht="15.75" customHeight="1">
      <c r="B841" s="2" t="s">
        <v>2387</v>
      </c>
      <c r="C841" s="2" t="s">
        <v>2388</v>
      </c>
      <c r="D841" s="2" t="s">
        <v>2350</v>
      </c>
      <c r="E841" s="2" t="s">
        <v>2007</v>
      </c>
      <c r="F841" s="2" t="s">
        <v>15</v>
      </c>
      <c r="G841" s="2" t="s">
        <v>746</v>
      </c>
      <c r="H841" s="2" t="s">
        <v>17</v>
      </c>
      <c r="I841" s="2" t="str">
        <f>IFERROR(__xludf.DUMMYFUNCTION("GOOGLETRANSLATE(C841,""fr"",""en"")"),"Lamentable! To flee!
For more than 10 years we have contributed to Swisslife, as part of life insurance, in order to provide the coverage of funeral fees when we have to face the death of my dad, holder of this contract. Died since January 24, my dad is "&amp;"buried. And despite our many reminders, we are still waiting for the transfer of death capital to pay us funeral directors. Here is 8 weeks during which each of our tephonic interlocutors applies to repeating the same song to us: everything is in order an"&amp;"d the transfer should be used within 1 to 2 weeks. But from one week to the next we are invited to wait more without really engaging on a button date. See at Swisslife it's normal. It takes them more than 8 weeks to prevail the guarantees of their contrac"&amp;"t, and probably ""everything is in order""! My patience is tested, and results in this annoying feeling of feeling ""wandered"". When we subscribe to such a contract, it is precisely to obtain the guarantee of a certain financial tranquility linked to the"&amp;" costs generated during this unfortunate event. To the pain of the loss of a loved one is added today a annoyance of which I would have gone well and an invoice of the funeral pumps not acquired! The management of the files is all the more deplorable beca"&amp;"use on the death of my dad, although we have completed and returned in good shape the requested documents, the contract, for him was not closed and we continued to be taken! It's really not serious. And surely I don't recommend Swisslife.
")</f>
        <v>Lamentable! To flee!
For more than 10 years we have contributed to Swisslife, as part of life insurance, in order to provide the coverage of funeral fees when we have to face the death of my dad, holder of this contract. Died since January 24, my dad is buried. And despite our many reminders, we are still waiting for the transfer of death capital to pay us funeral directors. Here is 8 weeks during which each of our tephonic interlocutors applies to repeating the same song to us: everything is in order and the transfer should be used within 1 to 2 weeks. But from one week to the next we are invited to wait more without really engaging on a button date. See at Swisslife it's normal. It takes them more than 8 weeks to prevail the guarantees of their contract, and probably "everything is in order"! My patience is tested, and results in this annoying feeling of feeling "wandered". When we subscribe to such a contract, it is precisely to obtain the guarantee of a certain financial tranquility linked to the costs generated during this unfortunate event. To the pain of the loss of a loved one is added today a annoyance of which I would have gone well and an invoice of the funeral pumps not acquired! The management of the files is all the more deplorable because on the death of my dad, although we have completed and returned in good shape the requested documents, the contract, for him was not closed and we continued to be taken! It's really not serious. And surely I don't recommend Swisslife.
</v>
      </c>
    </row>
    <row r="842" ht="15.75" customHeight="1">
      <c r="B842" s="2" t="s">
        <v>2389</v>
      </c>
      <c r="C842" s="2" t="s">
        <v>2390</v>
      </c>
      <c r="D842" s="2" t="s">
        <v>2350</v>
      </c>
      <c r="E842" s="2" t="s">
        <v>2007</v>
      </c>
      <c r="F842" s="2" t="s">
        <v>15</v>
      </c>
      <c r="G842" s="2" t="s">
        <v>746</v>
      </c>
      <c r="H842" s="2" t="s">
        <v>17</v>
      </c>
      <c r="I842" s="2" t="str">
        <f>IFERROR(__xludf.DUMMYFUNCTION("GOOGLETRANSLATE(C842,""fr"",""en"")"),"Lamentable! To flee!
For more than 10 years we have contributed to Swisslife, as part of life insurance, in order to provide the coverage of funeral fees when we have to face the death of my dad, holder of this contract. Died since January 24, my dad is "&amp;"buried. And despite our many reminders, we are still waiting for the transfer of death capital to pay us funeral directors. Here is 8 weeks during which each of our telephone interlocutors applies to repeat the same song to us: everything is in order and "&amp;"the transfer should be used within 1 to 2 weeks. But from one week to the next we are invited to wait more without really engaging on a button date. See at Swisslife it's normal. It takes them more than 8 weeks to prevail the guarantees of their contract,"&amp;" and probably ""everything is in order""! My patience is tested, and results in this annoying feeling of feeling ""wandered"". When we subscribe to such a contract, it is precisely to obtain the guarantee of a certain financial tranquility linked to the c"&amp;"osts generated during this unfortunate event. To the pain of the loss of a loved one is added today a annoyance of which I would have gone well and an invoice of the unpaid funeral pumps! The management of the files is all the more deplorable because on t"&amp;"he death of my dad, although we have completed and returned in good shape the requested documents, the contract, for him was not closed and we continued to be taken! It's really not serious. And surely I don't recommend Swisslife.")</f>
        <v>Lamentable! To flee!
For more than 10 years we have contributed to Swisslife, as part of life insurance, in order to provide the coverage of funeral fees when we have to face the death of my dad, holder of this contract. Died since January 24, my dad is buried. And despite our many reminders, we are still waiting for the transfer of death capital to pay us funeral directors. Here is 8 weeks during which each of our telephone interlocutors applies to repeat the same song to us: everything is in order and the transfer should be used within 1 to 2 weeks. But from one week to the next we are invited to wait more without really engaging on a button date. See at Swisslife it's normal. It takes them more than 8 weeks to prevail the guarantees of their contract, and probably "everything is in order"! My patience is tested, and results in this annoying feeling of feeling "wandered". When we subscribe to such a contract, it is precisely to obtain the guarantee of a certain financial tranquility linked to the costs generated during this unfortunate event. To the pain of the loss of a loved one is added today a annoyance of which I would have gone well and an invoice of the unpaid funeral pumps! The management of the files is all the more deplorable because on the death of my dad, although we have completed and returned in good shape the requested documents, the contract, for him was not closed and we continued to be taken! It's really not serious. And surely I don't recommend Swisslife.</v>
      </c>
    </row>
    <row r="843" ht="15.75" customHeight="1">
      <c r="B843" s="2" t="s">
        <v>2391</v>
      </c>
      <c r="C843" s="2" t="s">
        <v>2392</v>
      </c>
      <c r="D843" s="2" t="s">
        <v>2350</v>
      </c>
      <c r="E843" s="2" t="s">
        <v>2007</v>
      </c>
      <c r="F843" s="2" t="s">
        <v>15</v>
      </c>
      <c r="G843" s="2" t="s">
        <v>2393</v>
      </c>
      <c r="H843" s="2" t="s">
        <v>349</v>
      </c>
      <c r="I843" s="2" t="str">
        <f>IFERROR(__xludf.DUMMYFUNCTION("GOOGLETRANSLATE(C843,""fr"",""en"")"),"Pending for several months of the payment of my mother's life insurance following her death, how can I force Swisslife to pay me what is me?")</f>
        <v>Pending for several months of the payment of my mother's life insurance following her death, how can I force Swisslife to pay me what is me?</v>
      </c>
    </row>
    <row r="844" ht="15.75" customHeight="1">
      <c r="B844" s="2" t="s">
        <v>2394</v>
      </c>
      <c r="C844" s="2" t="s">
        <v>2395</v>
      </c>
      <c r="D844" s="2" t="s">
        <v>2350</v>
      </c>
      <c r="E844" s="2" t="s">
        <v>2007</v>
      </c>
      <c r="F844" s="2" t="s">
        <v>15</v>
      </c>
      <c r="G844" s="2" t="s">
        <v>2396</v>
      </c>
      <c r="H844" s="2" t="s">
        <v>349</v>
      </c>
      <c r="I844" s="2" t="str">
        <f>IFERROR(__xludf.DUMMYFUNCTION("GOOGLETRANSLATE(C844,""fr"",""en"")"),"We felt confident, because Swisslife had a storefront. The salesperson sold us the alleged excellence of services and funds. In the end, in the long term, we lose hundreds of euros on all our contracts. Management costs and payment commissions cancel any "&amp;"potential gain. We are in deficit in all of the recommended funds, whether in account units or in the background euros. Beware of yields displayed in large and do the calculation by integrating management fees and commissions. Once accumulated, they can r"&amp;"epresent 6%!!! In other words, if your background is positive by 4% that is a nice perf, you are actually losing 2% compared to the sum you have paid. If you are a customer at Swisslife, do the calculation urgently: you accumulate the raw sums paid and yo"&amp;"u measure the valuation gap of your count over the same period. You risk discovering a gain close to zero, or more likely a deficit. You have to pay to give them your money.")</f>
        <v>We felt confident, because Swisslife had a storefront. The salesperson sold us the alleged excellence of services and funds. In the end, in the long term, we lose hundreds of euros on all our contracts. Management costs and payment commissions cancel any potential gain. We are in deficit in all of the recommended funds, whether in account units or in the background euros. Beware of yields displayed in large and do the calculation by integrating management fees and commissions. Once accumulated, they can represent 6%!!! In other words, if your background is positive by 4% that is a nice perf, you are actually losing 2% compared to the sum you have paid. If you are a customer at Swisslife, do the calculation urgently: you accumulate the raw sums paid and you measure the valuation gap of your count over the same period. You risk discovering a gain close to zero, or more likely a deficit. You have to pay to give them your money.</v>
      </c>
    </row>
    <row r="845" ht="15.75" customHeight="1">
      <c r="B845" s="2" t="s">
        <v>2397</v>
      </c>
      <c r="C845" s="2" t="s">
        <v>2398</v>
      </c>
      <c r="D845" s="2" t="s">
        <v>2350</v>
      </c>
      <c r="E845" s="2" t="s">
        <v>2007</v>
      </c>
      <c r="F845" s="2" t="s">
        <v>15</v>
      </c>
      <c r="G845" s="2" t="s">
        <v>2399</v>
      </c>
      <c r="H845" s="2" t="s">
        <v>70</v>
      </c>
      <c r="I845" s="2" t="str">
        <f>IFERROR(__xludf.DUMMYFUNCTION("GOOGLETRANSLATE(C845,""fr"",""en"")"),"Despite a request for buyout on February 22 of a Madelin plan, today July 24 ... still nothing. After yet another registered letter for the buyout, they tell me that they have received my duplicate request.Ios answer next to that every time! I am not talk"&amp;"ing about the commercial sector 33 which made false by retaining the electronic signatures. I filed a complaint against them and I assign them in the court to recover my cash")</f>
        <v>Despite a request for buyout on February 22 of a Madelin plan, today July 24 ... still nothing. After yet another registered letter for the buyout, they tell me that they have received my duplicate request.Ios answer next to that every time! I am not talking about the commercial sector 33 which made false by retaining the electronic signatures. I filed a complaint against them and I assign them in the court to recover my cash</v>
      </c>
    </row>
    <row r="846" ht="15.75" customHeight="1">
      <c r="B846" s="2" t="s">
        <v>2400</v>
      </c>
      <c r="C846" s="2" t="s">
        <v>2401</v>
      </c>
      <c r="D846" s="2" t="s">
        <v>2350</v>
      </c>
      <c r="E846" s="2" t="s">
        <v>2007</v>
      </c>
      <c r="F846" s="2" t="s">
        <v>15</v>
      </c>
      <c r="G846" s="2" t="s">
        <v>2402</v>
      </c>
      <c r="H846" s="2" t="s">
        <v>81</v>
      </c>
      <c r="I846" s="2" t="str">
        <f>IFERROR(__xludf.DUMMYFUNCTION("GOOGLETRANSLATE(C846,""fr"",""en"")"),"The contractual general conditions on the payment of the death capital to the beneficiaries are not respected !!! Since March I have been waiting for the settlement of the death capital of my father who died in February !!! The file is complete I sent all"&amp;" the documents by email as well as by mail with AR. Still no answer to date or any payment !!! It's a shame!!!")</f>
        <v>The contractual general conditions on the payment of the death capital to the beneficiaries are not respected !!! Since March I have been waiting for the settlement of the death capital of my father who died in February !!! The file is complete I sent all the documents by email as well as by mail with AR. Still no answer to date or any payment !!! It's a shame!!!</v>
      </c>
    </row>
    <row r="847" ht="15.75" customHeight="1">
      <c r="B847" s="2" t="s">
        <v>2403</v>
      </c>
      <c r="C847" s="2" t="s">
        <v>2404</v>
      </c>
      <c r="D847" s="2" t="s">
        <v>2350</v>
      </c>
      <c r="E847" s="2" t="s">
        <v>2007</v>
      </c>
      <c r="F847" s="2" t="s">
        <v>15</v>
      </c>
      <c r="G847" s="2" t="s">
        <v>2405</v>
      </c>
      <c r="H847" s="2" t="s">
        <v>391</v>
      </c>
      <c r="I847" s="2" t="str">
        <f>IFERROR(__xludf.DUMMYFUNCTION("GOOGLETRANSLATE(C847,""fr"",""en"")"),"Today, Swisslife has ended up paying life insurance after Casi a year of perseverance.
We were informed in May 2017 of this life insurance of our grandmother who died in 2002, so still 15 years after ... our mother, and due to her great age, no longer wi"&amp;"shing to manage money, decided to 'Give it up.
There, Swisslife, out of 2 written refusals, told us that we were not beneficiaries (with the practical side for them that the law allows them not to disclose the beneficiary clauses), and that our grandmo"&amp;"ther, among other justification, had died before such law, etc ...
We therefore started our complaints, insurance mediator, emails, recommended to the insurer, etc. (a total of 2 over 4 months when they have the obligation to answer within 2 months ..."&amp;"), with over the way Time in front of silent people, a certain ignorance, and with this same difficulty that all the people who testify here, not to have an interlocutor, to be ballad to finally, in our case, to have in the end, Casi a year after persever"&amp;"ance, a charming and competent interlocutor with her direct email, her direct such.
Although we have been told that the file was complete, after a long and tortuous telephone course on the last straight line and a vague recognition of our rights, this "&amp;"charming lady reminds us of (well that no) complete he does not 'is not but that, and good news, they recognize us, in writing, that we are therefore well beneficiaries.
Finally all that to say that you really have to be persevering. I think Swisslife "&amp;"plays a lot on time, patience and that at the end the abandonment of the approach is very good. (Take the Swiss Ovomaltine accent to read it)
The fact of leaving an opinion-assurance testimony has also been trigger so that they move a little more and I"&amp;" thank them in passing to give us this possibility.
As a general rule, never let go of the song, be confident, everything is done in front so that you drop, exhaust you impatience, on the one hand I thank of course Swisslife for having finally paid but"&amp;" on the other hand, I do not give them back for all this lost energy, these heads on things that are of the transmission, inheritance, with the ethics and responsibility which returns to them.
Having also read a lot of other testimonies, and of course "&amp;"from my experience with them, it is to be recognized that Swisslife is a little light on certain situations, sometimes even more problematic, and we wonder where we are when we have affair to them. What planet pro live?")</f>
        <v>Today, Swisslife has ended up paying life insurance after Casi a year of perseverance.
We were informed in May 2017 of this life insurance of our grandmother who died in 2002, so still 15 years after ... our mother, and due to her great age, no longer wishing to manage money, decided to 'Give it up.
There, Swisslife, out of 2 written refusals, told us that we were not beneficiaries (with the practical side for them that the law allows them not to disclose the beneficiary clauses), and that our grandmother, among other justification, had died before such law, etc ...
We therefore started our complaints, insurance mediator, emails, recommended to the insurer, etc. (a total of 2 over 4 months when they have the obligation to answer within 2 months ...), with over the way Time in front of silent people, a certain ignorance, and with this same difficulty that all the people who testify here, not to have an interlocutor, to be ballad to finally, in our case, to have in the end, Casi a year after perseverance, a charming and competent interlocutor with her direct email, her direct such.
Although we have been told that the file was complete, after a long and tortuous telephone course on the last straight line and a vague recognition of our rights, this charming lady reminds us of (well that no) complete he does not 'is not but that, and good news, they recognize us, in writing, that we are therefore well beneficiaries.
Finally all that to say that you really have to be persevering. I think Swisslife plays a lot on time, patience and that at the end the abandonment of the approach is very good. (Take the Swiss Ovomaltine accent to read it)
The fact of leaving an opinion-assurance testimony has also been trigger so that they move a little more and I thank them in passing to give us this possibility.
As a general rule, never let go of the song, be confident, everything is done in front so that you drop, exhaust you impatience, on the one hand I thank of course Swisslife for having finally paid but on the other hand, I do not give them back for all this lost energy, these heads on things that are of the transmission, inheritance, with the ethics and responsibility which returns to them.
Having also read a lot of other testimonies, and of course from my experience with them, it is to be recognized that Swisslife is a little light on certain situations, sometimes even more problematic, and we wonder where we are when we have affair to them. What planet pro live?</v>
      </c>
    </row>
    <row r="848" ht="15.75" customHeight="1">
      <c r="B848" s="2" t="s">
        <v>2406</v>
      </c>
      <c r="C848" s="2" t="s">
        <v>2407</v>
      </c>
      <c r="D848" s="2" t="s">
        <v>2350</v>
      </c>
      <c r="E848" s="2" t="s">
        <v>2007</v>
      </c>
      <c r="F848" s="2" t="s">
        <v>15</v>
      </c>
      <c r="G848" s="2" t="s">
        <v>2408</v>
      </c>
      <c r="H848" s="2" t="s">
        <v>391</v>
      </c>
      <c r="I848" s="2" t="str">
        <f>IFERROR(__xludf.DUMMYFUNCTION("GOOGLETRANSLATE(C848,""fr"",""en"")"),"I have life insurance and I can't get my money back. No matter how many emails I have, I have no answer. There is no phone number to reach them. I no longer have contact with an advisor. It's shameful to take the money no worries but to make it it is the "&amp;"hassle. I will contact my legal assistance if I have nothing within 3 days. I live in Guadeloupe -6 time of time difference.")</f>
        <v>I have life insurance and I can't get my money back. No matter how many emails I have, I have no answer. There is no phone number to reach them. I no longer have contact with an advisor. It's shameful to take the money no worries but to make it it is the hassle. I will contact my legal assistance if I have nothing within 3 days. I live in Guadeloupe -6 time of time difference.</v>
      </c>
    </row>
    <row r="849" ht="15.75" customHeight="1">
      <c r="B849" s="2" t="s">
        <v>2409</v>
      </c>
      <c r="C849" s="2" t="s">
        <v>2410</v>
      </c>
      <c r="D849" s="2" t="s">
        <v>2350</v>
      </c>
      <c r="E849" s="2" t="s">
        <v>2007</v>
      </c>
      <c r="F849" s="2" t="s">
        <v>15</v>
      </c>
      <c r="G849" s="2" t="s">
        <v>1922</v>
      </c>
      <c r="H849" s="2" t="s">
        <v>395</v>
      </c>
      <c r="I849" s="2" t="str">
        <f>IFERROR(__xludf.DUMMYFUNCTION("GOOGLETRANSLATE(C849,""fr"",""en"")"),"Swisslife ... a whole mystery !!
We received a letter in early January 2018 that asked us for information following my father who occurred almost 7 years ago. We have provided this information the same day by email since nothing more new and impossible t"&amp;"o reach it! The two telephone numbers registered on the mail unreachable, we have returned an email and nothing either! It is incomprehensible that this kind of insurance organization is unreachable especially when it is the deceased of a loved one!")</f>
        <v>Swisslife ... a whole mystery !!
We received a letter in early January 2018 that asked us for information following my father who occurred almost 7 years ago. We have provided this information the same day by email since nothing more new and impossible to reach it! The two telephone numbers registered on the mail unreachable, we have returned an email and nothing either! It is incomprehensible that this kind of insurance organization is unreachable especially when it is the deceased of a loved one!</v>
      </c>
    </row>
    <row r="850" ht="15.75" customHeight="1">
      <c r="B850" s="2" t="s">
        <v>2411</v>
      </c>
      <c r="C850" s="2" t="s">
        <v>2412</v>
      </c>
      <c r="D850" s="2" t="s">
        <v>2350</v>
      </c>
      <c r="E850" s="2" t="s">
        <v>2007</v>
      </c>
      <c r="F850" s="2" t="s">
        <v>15</v>
      </c>
      <c r="G850" s="2" t="s">
        <v>2413</v>
      </c>
      <c r="H850" s="2" t="s">
        <v>402</v>
      </c>
      <c r="I850" s="2" t="str">
        <f>IFERROR(__xludf.DUMMYFUNCTION("GOOGLETRANSLATE(C850,""fr"",""en"")"),"Disrespectful company towards its customers. No response to the recommended letters following malfunctions in the bank samples. Does not fulfill his insurer role. Avoid")</f>
        <v>Disrespectful company towards its customers. No response to the recommended letters following malfunctions in the bank samples. Does not fulfill his insurer role. Avoid</v>
      </c>
    </row>
    <row r="851" ht="15.75" customHeight="1">
      <c r="B851" s="2" t="s">
        <v>2414</v>
      </c>
      <c r="C851" s="2" t="s">
        <v>2415</v>
      </c>
      <c r="D851" s="2" t="s">
        <v>2350</v>
      </c>
      <c r="E851" s="2" t="s">
        <v>2007</v>
      </c>
      <c r="F851" s="2" t="s">
        <v>15</v>
      </c>
      <c r="G851" s="2" t="s">
        <v>815</v>
      </c>
      <c r="H851" s="2" t="s">
        <v>106</v>
      </c>
      <c r="I851" s="2" t="str">
        <f>IFERROR(__xludf.DUMMYFUNCTION("GOOGLETRANSLATE(C851,""fr"",""en"")"),"Insurer to avoid absolutely. Impossible to have the guarantees which are exactly covered. Refuse all communications with its customers. Above all, do not take the products from this company. To flee...")</f>
        <v>Insurer to avoid absolutely. Impossible to have the guarantees which are exactly covered. Refuse all communications with its customers. Above all, do not take the products from this company. To flee...</v>
      </c>
    </row>
    <row r="852" ht="15.75" customHeight="1">
      <c r="B852" s="2" t="s">
        <v>2416</v>
      </c>
      <c r="C852" s="2" t="s">
        <v>2417</v>
      </c>
      <c r="D852" s="2" t="s">
        <v>2350</v>
      </c>
      <c r="E852" s="2" t="s">
        <v>2007</v>
      </c>
      <c r="F852" s="2" t="s">
        <v>15</v>
      </c>
      <c r="G852" s="2" t="s">
        <v>141</v>
      </c>
      <c r="H852" s="2" t="s">
        <v>138</v>
      </c>
      <c r="I852" s="2" t="str">
        <f>IFERROR(__xludf.DUMMYFUNCTION("GOOGLETRANSLATE(C852,""fr"",""en"")"),"Archi dissatisfied, he does not care about us, incorrect, 2 letters recommended several emails, and telephone call no answer, since December 30, 2016 following the deceased of my husband, contract subscribed in 1998 whole life plan. 9,000 F, no reimbursem"&amp;"ent I paid for 18 years, and they do not reimburse, does not answer, it is shameful, I had 2 contracts for me and my husband, so I just canceled, I am waiting for a response and above all the capital returning me and the reimbursement of the buyout for th"&amp;"e 2nd termination contract")</f>
        <v>Archi dissatisfied, he does not care about us, incorrect, 2 letters recommended several emails, and telephone call no answer, since December 30, 2016 following the deceased of my husband, contract subscribed in 1998 whole life plan. 9,000 F, no reimbursement I paid for 18 years, and they do not reimburse, does not answer, it is shameful, I had 2 contracts for me and my husband, so I just canceled, I am waiting for a response and above all the capital returning me and the reimbursement of the buyout for the 2nd termination contract</v>
      </c>
    </row>
    <row r="853" ht="15.75" customHeight="1">
      <c r="B853" s="2" t="s">
        <v>2418</v>
      </c>
      <c r="C853" s="2" t="s">
        <v>2419</v>
      </c>
      <c r="D853" s="2" t="s">
        <v>2350</v>
      </c>
      <c r="E853" s="2" t="s">
        <v>2007</v>
      </c>
      <c r="F853" s="2" t="s">
        <v>15</v>
      </c>
      <c r="G853" s="2" t="s">
        <v>839</v>
      </c>
      <c r="H853" s="2" t="s">
        <v>469</v>
      </c>
      <c r="I853" s="2" t="str">
        <f>IFERROR(__xludf.DUMMYFUNCTION("GOOGLETRANSLATE(C853,""fr"",""en"")"),"You have to fight to recover your capital at the end of the contract 2 recommended lettering and still nothing
Contrad subscribed in 1998 to TRME 2003 and in 2017 no refund in view ... Impossible to reach the management service
!")</f>
        <v>You have to fight to recover your capital at the end of the contract 2 recommended lettering and still nothing
Contrad subscribed in 1998 to TRME 2003 and in 2017 no refund in view ... Impossible to reach the management service
!</v>
      </c>
    </row>
    <row r="854" ht="15.75" customHeight="1">
      <c r="B854" s="2" t="s">
        <v>2420</v>
      </c>
      <c r="C854" s="2" t="s">
        <v>2421</v>
      </c>
      <c r="D854" s="2" t="s">
        <v>2350</v>
      </c>
      <c r="E854" s="2" t="s">
        <v>2007</v>
      </c>
      <c r="F854" s="2" t="s">
        <v>15</v>
      </c>
      <c r="G854" s="2" t="s">
        <v>471</v>
      </c>
      <c r="H854" s="2" t="s">
        <v>145</v>
      </c>
      <c r="I854" s="2" t="str">
        <f>IFERROR(__xludf.DUMMYFUNCTION("GOOGLETRANSLATE(C854,""fr"",""en"")"),"Papa left us on December 02, 2016. We contacted Swisslife on December 05, 2016. Following our call the advisor by email requests supporting documents. Done immediately. I was announced a processing time at that time of 3 weeks. I have no news dated Decemb"&amp;"er 21, 2016 I phone so ... I am announced that the documents sent by email on December 05 have just arrived in the management department !!!!! ????? Or more than 2 weeks to pass from one service to another .... I am hanging up on the nose because I get an"&amp;"gry but does not insult anyone ... but hey .... my mother who is the beneficiary of Contract (I help him in his efforts) telephone Tuesday, December 27, 2016 to have news there we announce that a document is missing (document never requested in the reques"&amp;"t of December 05, 2016 by email) but that we expected. ..trop easy .... she phone me panicked, telling me it is missing a swisslife paper send the request by mail .... I remind you that this request for paper be sent to me by email..I receive The email im"&amp;"mediately ... I look at the missing documents on the file ... It is 5 new documents that we are asked ... in short ... in this request for a document we are asked: a certificate of absence of registration of Provisions of last wishes .... I contact a nota"&amp;"ry to know a little what it means ... and there the notary is very surprised by the request of Apart from swisslife he tells me that this document has nothing to do with a request for unlocking life insurance or funeral that this kind of document is reque"&amp;"sted by a notary and not by insurance and that it is when there are success Immobilières ..... I remind Swisslife I come across a person who makes fun of my request ... I still explain what the notary answered me the person from Swisslife tells me that it"&amp;" is my problem if I want Not to provide this part to the file ... knowing that this document which it asks costs 18 € and that Swisslife will not reimburse me .... in short the conversation quickly turns to good day Madame and I am hanging up on the nose "&amp;".... Before clarifying to me that the processing period of the file is 30 days upon receipt of the last documents ... in the contract that dad had signed article 8 we read payment within 48 hours upon receipt of the documents ... Here I can take it A lawy"&amp;"er because I think I came across people who make fun of n It is however a drop of water the capital that we expect it does not concern millions of euros ... but as I say to take from the account the monthly payments there are people but when it is necessa"&amp;"ry to give in the other Sense there is no one anymore ... from where Papa is today it must be very disappointed with the turn that it takes!")</f>
        <v>Papa left us on December 02, 2016. We contacted Swisslife on December 05, 2016. Following our call the advisor by email requests supporting documents. Done immediately. I was announced a processing time at that time of 3 weeks. I have no news dated December 21, 2016 I phone so ... I am announced that the documents sent by email on December 05 have just arrived in the management department !!!!! ????? Or more than 2 weeks to pass from one service to another .... I am hanging up on the nose because I get angry but does not insult anyone ... but hey .... my mother who is the beneficiary of Contract (I help him in his efforts) telephone Tuesday, December 27, 2016 to have news there we announce that a document is missing (document never requested in the request of December 05, 2016 by email) but that we expected. ..trop easy .... she phone me panicked, telling me it is missing a swisslife paper send the request by mail .... I remind you that this request for paper be sent to me by email..I receive The email immediately ... I look at the missing documents on the file ... It is 5 new documents that we are asked ... in short ... in this request for a document we are asked: a certificate of absence of registration of Provisions of last wishes .... I contact a notary to know a little what it means ... and there the notary is very surprised by the request of Apart from swisslife he tells me that this document has nothing to do with a request for unlocking life insurance or funeral that this kind of document is requested by a notary and not by insurance and that it is when there are success Immobilières ..... I remind Swisslife I come across a person who makes fun of my request ... I still explain what the notary answered me the person from Swisslife tells me that it is my problem if I want Not to provide this part to the file ... knowing that this document which it asks costs 18 € and that Swisslife will not reimburse me .... in short the conversation quickly turns to good day Madame and I am hanging up on the nose .... Before clarifying to me that the processing period of the file is 30 days upon receipt of the last documents ... in the contract that dad had signed article 8 we read payment within 48 hours upon receipt of the documents ... Here I can take it A lawyer because I think I came across people who make fun of n It is however a drop of water the capital that we expect it does not concern millions of euros ... but as I say to take from the account the monthly payments there are people but when it is necessary to give in the other Sense there is no one anymore ... from where Papa is today it must be very disappointed with the turn that it takes!</v>
      </c>
    </row>
    <row r="855" ht="15.75" customHeight="1">
      <c r="B855" s="2" t="s">
        <v>2422</v>
      </c>
      <c r="C855" s="2" t="s">
        <v>2423</v>
      </c>
      <c r="D855" s="2" t="s">
        <v>1192</v>
      </c>
      <c r="E855" s="2" t="s">
        <v>2007</v>
      </c>
      <c r="F855" s="2" t="s">
        <v>15</v>
      </c>
      <c r="G855" s="2" t="s">
        <v>2424</v>
      </c>
      <c r="H855" s="2" t="s">
        <v>160</v>
      </c>
      <c r="I855" s="2" t="str">
        <f>IFERROR(__xludf.DUMMYFUNCTION("GOOGLETRANSLATE(C855,""fr"",""en"")"),"No problem when you pay money on the other hand what slowness when it comes to paying life insurance to heirs, all the excuses are good (especially when does not subscribe to another contract)")</f>
        <v>No problem when you pay money on the other hand what slowness when it comes to paying life insurance to heirs, all the excuses are good (especially when does not subscribe to another contract)</v>
      </c>
    </row>
    <row r="856" ht="15.75" customHeight="1">
      <c r="B856" s="2" t="s">
        <v>2425</v>
      </c>
      <c r="C856" s="2" t="s">
        <v>2426</v>
      </c>
      <c r="D856" s="2" t="s">
        <v>1192</v>
      </c>
      <c r="E856" s="2" t="s">
        <v>2007</v>
      </c>
      <c r="F856" s="2" t="s">
        <v>15</v>
      </c>
      <c r="G856" s="2" t="s">
        <v>1358</v>
      </c>
      <c r="H856" s="2" t="s">
        <v>481</v>
      </c>
      <c r="I856" s="2" t="str">
        <f>IFERROR(__xludf.DUMMYFUNCTION("GOOGLETRANSLATE(C856,""fr"",""en"")"),"Hello,
I come to highlight the speed with which Allianz will deal with your partial buy -back request on 1 life insurance contract knowing that the usual period is 10 days.
On 07/12/21, I address 1 letter with 1 partial buy -back request on my life insu"&amp;"rance contract subscribed in 2004.
I am asked to return 1 letter signed due to 1 difference between the initial signature ... Safety measurement obliges, I therefore once again address my handwritten request with signature, all that in the 19/07/21 (noti"&amp;"ce receipt received 3 days later).
Since July 20, 2021, my partial redemption request in order to transmit to my children, as part of the Sarkosy law the amount of 31865th is still not settled.
I invite all readers to take note of these inconveniences t"&amp;"hat I suffer.
I share my dissatisfaction via this forum and for information .... 33 days that I am waiting for, I am answered daily treatment ongoing daily.")</f>
        <v>Hello,
I come to highlight the speed with which Allianz will deal with your partial buy -back request on 1 life insurance contract knowing that the usual period is 10 days.
On 07/12/21, I address 1 letter with 1 partial buy -back request on my life insurance contract subscribed in 2004.
I am asked to return 1 letter signed due to 1 difference between the initial signature ... Safety measurement obliges, I therefore once again address my handwritten request with signature, all that in the 19/07/21 (notice receipt received 3 days later).
Since July 20, 2021, my partial redemption request in order to transmit to my children, as part of the Sarkosy law the amount of 31865th is still not settled.
I invite all readers to take note of these inconveniences that I suffer.
I share my dissatisfaction via this forum and for information .... 33 days that I am waiting for, I am answered daily treatment ongoing daily.</v>
      </c>
    </row>
    <row r="857" ht="15.75" customHeight="1">
      <c r="B857" s="2" t="s">
        <v>2427</v>
      </c>
      <c r="C857" s="2" t="s">
        <v>2428</v>
      </c>
      <c r="D857" s="2" t="s">
        <v>1192</v>
      </c>
      <c r="E857" s="2" t="s">
        <v>2007</v>
      </c>
      <c r="F857" s="2" t="s">
        <v>15</v>
      </c>
      <c r="G857" s="2" t="s">
        <v>2429</v>
      </c>
      <c r="H857" s="2" t="s">
        <v>194</v>
      </c>
      <c r="I857" s="2" t="str">
        <f>IFERROR(__xludf.DUMMYFUNCTION("GOOGLETRANSLATE(C857,""fr"",""en"")"),"Zero, Zero, Zero ... beneficiary appointed life insurance, following the death of the holder, the death certificate is sent on December 20 ,2020. On February 2 I managed to have an interlocutor who tells me that I will be recalled within 5 days. (Article "&amp;"L132-23-1 Insurance code stipulates that the insurer has 15 days to request the supporting documents from the beneficiaries When he is aware of the death certificate!)
Surprise I receive an email a few hours later for a request for supporting documents w"&amp;"hich have nothing to do with the contract a request for parentage ... while I am appointed in the contract clauses. On the other hand, I am not even asked to justify my identity ... in short Allianz wants to drag. I don't want to fight. To flee ! To flee!"&amp;" To flee !
I will activate my legal protection which will process the file with more convincing arguments.
I am a beneficiary on several contracts, Crédit Agricole, Groupama Vie, and Allianz and this insurer is the only one to act like this.")</f>
        <v>Zero, Zero, Zero ... beneficiary appointed life insurance, following the death of the holder, the death certificate is sent on December 20 ,2020. On February 2 I managed to have an interlocutor who tells me that I will be recalled within 5 days. (Article L132-23-1 Insurance code stipulates that the insurer has 15 days to request the supporting documents from the beneficiaries When he is aware of the death certificate!)
Surprise I receive an email a few hours later for a request for supporting documents which have nothing to do with the contract a request for parentage ... while I am appointed in the contract clauses. On the other hand, I am not even asked to justify my identity ... in short Allianz wants to drag. I don't want to fight. To flee ! To flee! To flee !
I will activate my legal protection which will process the file with more convincing arguments.
I am a beneficiary on several contracts, Crédit Agricole, Groupama Vie, and Allianz and this insurer is the only one to act like this.</v>
      </c>
    </row>
    <row r="858" ht="15.75" customHeight="1">
      <c r="B858" s="2" t="s">
        <v>2430</v>
      </c>
      <c r="C858" s="2" t="s">
        <v>2431</v>
      </c>
      <c r="D858" s="2" t="s">
        <v>1192</v>
      </c>
      <c r="E858" s="2" t="s">
        <v>2007</v>
      </c>
      <c r="F858" s="2" t="s">
        <v>15</v>
      </c>
      <c r="G858" s="2" t="s">
        <v>890</v>
      </c>
      <c r="H858" s="2" t="s">
        <v>242</v>
      </c>
      <c r="I858" s="2" t="str">
        <f>IFERROR(__xludf.DUMMYFUNCTION("GOOGLETRANSLATE(C858,""fr"",""en"")"),"lamentable
Since the death of my spouse (4/05/2020), the payment of the sums due is still not complete.
There is always a piece missing even if they have been sent, they do not know the laws on marriage contracts, they do not answer on the phone etc ..."&amp;"
Lamentable and shameful")</f>
        <v>lamentable
Since the death of my spouse (4/05/2020), the payment of the sums due is still not complete.
There is always a piece missing even if they have been sent, they do not know the laws on marriage contracts, they do not answer on the phone etc ...
Lamentable and shameful</v>
      </c>
    </row>
    <row r="859" ht="15.75" customHeight="1">
      <c r="B859" s="2" t="s">
        <v>2432</v>
      </c>
      <c r="C859" s="2" t="s">
        <v>2433</v>
      </c>
      <c r="D859" s="2" t="s">
        <v>1192</v>
      </c>
      <c r="E859" s="2" t="s">
        <v>2007</v>
      </c>
      <c r="F859" s="2" t="s">
        <v>15</v>
      </c>
      <c r="G859" s="2" t="s">
        <v>675</v>
      </c>
      <c r="H859" s="2" t="s">
        <v>246</v>
      </c>
      <c r="I859" s="2" t="str">
        <f>IFERROR(__xludf.DUMMYFUNCTION("GOOGLETRANSLATE(C859,""fr"",""en"")"),"This insurance, I confirm is faithful to its reputation, characterized deception. The lobbying of this insurance means that it is untouchable, makes fun of the insurance code, justice, medical expertise is often on file. We must not forget the genesis of "&amp;"this German insurance. No confidence in Allianz, this company is necessary to flee a small tour by the Court of Auditors should submit the services of Allianz in accordance with others! We are not all pigeons. After my unfortunate experience lived there, "&amp;"it is clear that I will not recommend this insurer around me !! on the contrary to flee if you want to sleep quietly
")</f>
        <v>This insurance, I confirm is faithful to its reputation, characterized deception. The lobbying of this insurance means that it is untouchable, makes fun of the insurance code, justice, medical expertise is often on file. We must not forget the genesis of this German insurance. No confidence in Allianz, this company is necessary to flee a small tour by the Court of Auditors should submit the services of Allianz in accordance with others! We are not all pigeons. After my unfortunate experience lived there, it is clear that I will not recommend this insurer around me !! on the contrary to flee if you want to sleep quietly
</v>
      </c>
    </row>
    <row r="860" ht="15.75" customHeight="1">
      <c r="B860" s="2" t="s">
        <v>2434</v>
      </c>
      <c r="C860" s="2" t="s">
        <v>2435</v>
      </c>
      <c r="D860" s="2" t="s">
        <v>1192</v>
      </c>
      <c r="E860" s="2" t="s">
        <v>2007</v>
      </c>
      <c r="F860" s="2" t="s">
        <v>15</v>
      </c>
      <c r="G860" s="2" t="s">
        <v>2371</v>
      </c>
      <c r="H860" s="2" t="s">
        <v>257</v>
      </c>
      <c r="I860" s="2" t="str">
        <f>IFERROR(__xludf.DUMMYFUNCTION("GOOGLETRANSLATE(C860,""fr"",""en"")"),"Hello, I cannot obtain the general conditions concerning ideal life insurance subscribed in 1992. It is to know if there is a limit for the duration of engagement of the insurer because until now spent 8 Years it has been renewed by tacit renewal which wo"&amp;"uld mean that it is in life-long and always valid even if we exceed 90 years. If the CGs are explained in this regard I am interested in being aware of it.")</f>
        <v>Hello, I cannot obtain the general conditions concerning ideal life insurance subscribed in 1992. It is to know if there is a limit for the duration of engagement of the insurer because until now spent 8 Years it has been renewed by tacit renewal which would mean that it is in life-long and always valid even if we exceed 90 years. If the CGs are explained in this regard I am interested in being aware of it.</v>
      </c>
    </row>
    <row r="861" ht="15.75" customHeight="1">
      <c r="B861" s="2" t="s">
        <v>2436</v>
      </c>
      <c r="C861" s="2" t="s">
        <v>2437</v>
      </c>
      <c r="D861" s="2" t="s">
        <v>1192</v>
      </c>
      <c r="E861" s="2" t="s">
        <v>2007</v>
      </c>
      <c r="F861" s="2" t="s">
        <v>15</v>
      </c>
      <c r="G861" s="2" t="s">
        <v>2438</v>
      </c>
      <c r="H861" s="2" t="s">
        <v>273</v>
      </c>
      <c r="I861" s="2" t="str">
        <f>IFERROR(__xludf.DUMMYFUNCTION("GOOGLETRANSLATE(C861,""fr"",""en"")"),"No empathy no responsiveness")</f>
        <v>No empathy no responsiveness</v>
      </c>
    </row>
    <row r="862" ht="15.75" customHeight="1">
      <c r="B862" s="2" t="s">
        <v>2439</v>
      </c>
      <c r="C862" s="2" t="s">
        <v>2440</v>
      </c>
      <c r="D862" s="2" t="s">
        <v>1192</v>
      </c>
      <c r="E862" s="2" t="s">
        <v>2007</v>
      </c>
      <c r="F862" s="2" t="s">
        <v>15</v>
      </c>
      <c r="G862" s="2" t="s">
        <v>2441</v>
      </c>
      <c r="H862" s="2" t="s">
        <v>554</v>
      </c>
      <c r="I862" s="2" t="str">
        <f>IFERROR(__xludf.DUMMYFUNCTION("GOOGLETRANSLATE(C862,""fr"",""en"")"),"No interest to take out this opaque contract. Pass your path. Paid arbitration, zero website, managing fees on high UC. You will have no difficulty in finding better ...")</f>
        <v>No interest to take out this opaque contract. Pass your path. Paid arbitration, zero website, managing fees on high UC. You will have no difficulty in finding better ...</v>
      </c>
    </row>
    <row r="863" ht="15.75" customHeight="1">
      <c r="B863" s="2" t="s">
        <v>2442</v>
      </c>
      <c r="C863" s="2" t="s">
        <v>2443</v>
      </c>
      <c r="D863" s="2" t="s">
        <v>1192</v>
      </c>
      <c r="E863" s="2" t="s">
        <v>2007</v>
      </c>
      <c r="F863" s="2" t="s">
        <v>15</v>
      </c>
      <c r="G863" s="2" t="s">
        <v>1840</v>
      </c>
      <c r="H863" s="2" t="s">
        <v>307</v>
      </c>
      <c r="I863" s="2" t="str">
        <f>IFERROR(__xludf.DUMMYFUNCTION("GOOGLETRANSLATE(C863,""fr"",""en"")"),"I will never have thought of one day being able to say evil of Allianz. But clearly I hallucinate how they treat their customers. It is incredible as a single blows they decide not to answer you anymore. To believe that soon I will have to put them in not"&amp;"ice to answer me and/or take care of my file correctly. The worst part is that you can never reach the supposed person by phone. No, we prefer to let you call the standard so that the advisers can systematically explain that they are incompetent and that "&amp;"they cannot access the file. But tell me, how long do you think I will stay wise to wait until you can do your job ??? There is a moment I will lose my politeness formulas and I will decide to adjust this other than by email.")</f>
        <v>I will never have thought of one day being able to say evil of Allianz. But clearly I hallucinate how they treat their customers. It is incredible as a single blows they decide not to answer you anymore. To believe that soon I will have to put them in notice to answer me and/or take care of my file correctly. The worst part is that you can never reach the supposed person by phone. No, we prefer to let you call the standard so that the advisers can systematically explain that they are incompetent and that they cannot access the file. But tell me, how long do you think I will stay wise to wait until you can do your job ??? There is a moment I will lose my politeness formulas and I will decide to adjust this other than by email.</v>
      </c>
    </row>
    <row r="864" ht="15.75" customHeight="1">
      <c r="B864" s="2" t="s">
        <v>2444</v>
      </c>
      <c r="C864" s="2" t="s">
        <v>2445</v>
      </c>
      <c r="D864" s="2" t="s">
        <v>1192</v>
      </c>
      <c r="E864" s="2" t="s">
        <v>2007</v>
      </c>
      <c r="F864" s="2" t="s">
        <v>15</v>
      </c>
      <c r="G864" s="2" t="s">
        <v>2446</v>
      </c>
      <c r="H864" s="2" t="s">
        <v>328</v>
      </c>
      <c r="I864" s="2" t="str">
        <f>IFERROR(__xludf.DUMMYFUNCTION("GOOGLETRANSLATE(C864,""fr"",""en"")"),"Savings internal contract is a contract to avoid.
")</f>
        <v>Savings internal contract is a contract to avoid.
</v>
      </c>
    </row>
    <row r="865" ht="15.75" customHeight="1">
      <c r="B865" s="2" t="s">
        <v>2447</v>
      </c>
      <c r="C865" s="2" t="s">
        <v>2448</v>
      </c>
      <c r="D865" s="2" t="s">
        <v>1192</v>
      </c>
      <c r="E865" s="2" t="s">
        <v>2007</v>
      </c>
      <c r="F865" s="2" t="s">
        <v>15</v>
      </c>
      <c r="G865" s="2" t="s">
        <v>2449</v>
      </c>
      <c r="H865" s="2" t="s">
        <v>339</v>
      </c>
      <c r="I865" s="2" t="str">
        <f>IFERROR(__xludf.DUMMYFUNCTION("GOOGLETRANSLATE(C865,""fr"",""en"")"),"Still at the top of life insurance contracts in desherence ... This insurance does not seek life insurance beneficiaries, and when we point out to them thanks to a relative of the deceased who did all the research to find us and without which we do not 'w"&amp;"ould never have been informed of being a beneficiary, insurance does not do the work ... I've been waiting to be contacted on the said contract and the procedure to be followed .... and always nothing! Very courteous telephone reception but nothing is beh"&amp;"ind ... I see myself forced to write this opinion because very disappointed by this behavior ... The family of the deceased managed to find me after more than a year of research ... And it was however simple for insurance, it is scandalous because a law e"&amp;"xists, they must seek the benfects.")</f>
        <v>Still at the top of life insurance contracts in desherence ... This insurance does not seek life insurance beneficiaries, and when we point out to them thanks to a relative of the deceased who did all the research to find us and without which we do not 'would never have been informed of being a beneficiary, insurance does not do the work ... I've been waiting to be contacted on the said contract and the procedure to be followed .... and always nothing! Very courteous telephone reception but nothing is behind ... I see myself forced to write this opinion because very disappointed by this behavior ... The family of the deceased managed to find me after more than a year of research ... And it was however simple for insurance, it is scandalous because a law exists, they must seek the benfects.</v>
      </c>
    </row>
    <row r="866" ht="15.75" customHeight="1">
      <c r="B866" s="2" t="s">
        <v>2450</v>
      </c>
      <c r="C866" s="2" t="s">
        <v>2451</v>
      </c>
      <c r="D866" s="2" t="s">
        <v>1192</v>
      </c>
      <c r="E866" s="2" t="s">
        <v>2007</v>
      </c>
      <c r="F866" s="2" t="s">
        <v>15</v>
      </c>
      <c r="G866" s="2" t="s">
        <v>2452</v>
      </c>
      <c r="H866" s="2" t="s">
        <v>339</v>
      </c>
      <c r="I866" s="2" t="str">
        <f>IFERROR(__xludf.DUMMYFUNCTION("GOOGLETRANSLATE(C866,""fr"",""en"")"),"AGF INDEPENDENCE ASSURANCE CONTRACT for my mother over 30 years ago monthly levy of approximately 55 euros and currently in EHPAD Alzeimer and 6 Stents since 8/2018 not sufficient to receive as expected the dependence annuity and abolition of the subscrip"&amp;"tion as planned. Aberration and shameful. Watch his death so as not to pay anything.")</f>
        <v>AGF INDEPENDENCE ASSURANCE CONTRACT for my mother over 30 years ago monthly levy of approximately 55 euros and currently in EHPAD Alzeimer and 6 Stents since 8/2018 not sufficient to receive as expected the dependence annuity and abolition of the subscription as planned. Aberration and shameful. Watch his death so as not to pay anything.</v>
      </c>
    </row>
    <row r="867" ht="15.75" customHeight="1">
      <c r="B867" s="2" t="s">
        <v>2453</v>
      </c>
      <c r="C867" s="2" t="s">
        <v>2454</v>
      </c>
      <c r="D867" s="2" t="s">
        <v>1192</v>
      </c>
      <c r="E867" s="2" t="s">
        <v>2007</v>
      </c>
      <c r="F867" s="2" t="s">
        <v>15</v>
      </c>
      <c r="G867" s="2" t="s">
        <v>349</v>
      </c>
      <c r="H867" s="2" t="s">
        <v>349</v>
      </c>
      <c r="I867" s="2" t="str">
        <f>IFERROR(__xludf.DUMMYFUNCTION("GOOGLETRANSLATE(C867,""fr"",""en"")"),"Lack of information from the insured. The documents given to the customer only contain favorable conditions and do not appear there the very unfavorable elements there. We discover the financial disaster some time later. The buy -back conditions are delib"&amp;"erately specified and for good reason.")</f>
        <v>Lack of information from the insured. The documents given to the customer only contain favorable conditions and do not appear there the very unfavorable elements there. We discover the financial disaster some time later. The buy -back conditions are deliberately specified and for good reason.</v>
      </c>
    </row>
    <row r="868" ht="15.75" customHeight="1">
      <c r="B868" s="2" t="s">
        <v>2455</v>
      </c>
      <c r="C868" s="2" t="s">
        <v>2456</v>
      </c>
      <c r="D868" s="2" t="s">
        <v>1192</v>
      </c>
      <c r="E868" s="2" t="s">
        <v>2007</v>
      </c>
      <c r="F868" s="2" t="s">
        <v>15</v>
      </c>
      <c r="G868" s="2" t="s">
        <v>760</v>
      </c>
      <c r="H868" s="2" t="s">
        <v>27</v>
      </c>
      <c r="I868" s="2" t="str">
        <f>IFERROR(__xludf.DUMMYFUNCTION("GOOGLETRANSLATE(C868,""fr"",""en"")"),"Announcements not respects ... After 3 years, my capital has melted instead of progressing.
I therefore decide to withdraw everything. Their site and their customer service announces a payment between 5 and 10 days .. it's been more than a month and stil"&amp;"l nothing")</f>
        <v>Announcements not respects ... After 3 years, my capital has melted instead of progressing.
I therefore decide to withdraw everything. Their site and their customer service announces a payment between 5 and 10 days .. it's been more than a month and still nothing</v>
      </c>
    </row>
    <row r="869" ht="15.75" customHeight="1">
      <c r="B869" s="2" t="s">
        <v>2457</v>
      </c>
      <c r="C869" s="2" t="s">
        <v>2458</v>
      </c>
      <c r="D869" s="2" t="s">
        <v>1192</v>
      </c>
      <c r="E869" s="2" t="s">
        <v>2007</v>
      </c>
      <c r="F869" s="2" t="s">
        <v>15</v>
      </c>
      <c r="G869" s="2" t="s">
        <v>2459</v>
      </c>
      <c r="H869" s="2" t="s">
        <v>66</v>
      </c>
      <c r="I869" s="2" t="str">
        <f>IFERROR(__xludf.DUMMYFUNCTION("GOOGLETRANSLATE(C869,""fr"",""en"")"),"I have been waiting for 4 months for an answer concerning a reversion for my mother. I sent 5 emails, 2 recommended letters, I called, I have no answer and no payment has yet been made.
I think I grab a lawyer because I can't do anything anymore.
")</f>
        <v>I have been waiting for 4 months for an answer concerning a reversion for my mother. I sent 5 emails, 2 recommended letters, I called, I have no answer and no payment has yet been made.
I think I grab a lawyer because I can't do anything anymore.
</v>
      </c>
    </row>
    <row r="870" ht="15.75" customHeight="1">
      <c r="B870" s="2" t="s">
        <v>2432</v>
      </c>
      <c r="C870" s="2" t="s">
        <v>2460</v>
      </c>
      <c r="D870" s="2" t="s">
        <v>1192</v>
      </c>
      <c r="E870" s="2" t="s">
        <v>2007</v>
      </c>
      <c r="F870" s="2" t="s">
        <v>15</v>
      </c>
      <c r="G870" s="2" t="s">
        <v>2461</v>
      </c>
      <c r="H870" s="2" t="s">
        <v>70</v>
      </c>
      <c r="I870" s="2" t="str">
        <f>IFERROR(__xludf.DUMMYFUNCTION("GOOGLETRANSLATE(C870,""fr"",""en"")"),". This insurance, I confirm is faithful to its reputation, characterized deception. The lobbying of this insurance means that it is untouchable, makes fun of the insurance code, justice, medical expertise is often on file. We must not forget the genesis o"&amp;"f this German insurance. No confidence in Allianz, this company is necessary to flee a small tour by the Court of Auditors should submit the services of Allianz in accordance with others! We are not all pigeons. After my unfortunate experience lived there"&amp;", it is clear that I will not recommend this insurer around me !! on the contrary to flee if you want to sleep quietly")</f>
        <v>. This insurance, I confirm is faithful to its reputation, characterized deception. The lobbying of this insurance means that it is untouchable, makes fun of the insurance code, justice, medical expertise is often on file. We must not forget the genesis of this German insurance. No confidence in Allianz, this company is necessary to flee a small tour by the Court of Auditors should submit the services of Allianz in accordance with others! We are not all pigeons. After my unfortunate experience lived there, it is clear that I will not recommend this insurer around me !! on the contrary to flee if you want to sleep quietly</v>
      </c>
    </row>
    <row r="871" ht="15.75" customHeight="1">
      <c r="B871" s="2" t="s">
        <v>2462</v>
      </c>
      <c r="C871" s="2" t="s">
        <v>2463</v>
      </c>
      <c r="D871" s="2" t="s">
        <v>1192</v>
      </c>
      <c r="E871" s="2" t="s">
        <v>2007</v>
      </c>
      <c r="F871" s="2" t="s">
        <v>15</v>
      </c>
      <c r="G871" s="2" t="s">
        <v>796</v>
      </c>
      <c r="H871" s="2" t="s">
        <v>81</v>
      </c>
      <c r="I871" s="2" t="str">
        <f>IFERROR(__xludf.DUMMYFUNCTION("GOOGLETRANSLATE(C871,""fr"",""en"")"),"My father had life insurance at Allianz on his death occurring on 16Fern 2018 a Demachage at my mother aged 83 years by an Allianz insurer had him signed a request for membership on a Yearling contract (. Unit of account) Le worst Placement for her The me"&amp;"mbership form never been sent We have sent a letter of renunciation in money no response and today we receive a letter announcing the placement of money on this contract. We will file a complaint for abuse weakness and will not let go of such practices")</f>
        <v>My father had life insurance at Allianz on his death occurring on 16Fern 2018 a Demachage at my mother aged 83 years by an Allianz insurer had him signed a request for membership on a Yearling contract (. Unit of account) Le worst Placement for her The membership form never been sent We have sent a letter of renunciation in money no response and today we receive a letter announcing the placement of money on this contract. We will file a complaint for abuse weakness and will not let go of such practices</v>
      </c>
    </row>
    <row r="872" ht="15.75" customHeight="1">
      <c r="B872" s="2" t="s">
        <v>2464</v>
      </c>
      <c r="C872" s="2" t="s">
        <v>2465</v>
      </c>
      <c r="D872" s="2" t="s">
        <v>1192</v>
      </c>
      <c r="E872" s="2" t="s">
        <v>2007</v>
      </c>
      <c r="F872" s="2" t="s">
        <v>15</v>
      </c>
      <c r="G872" s="2" t="s">
        <v>2466</v>
      </c>
      <c r="H872" s="2" t="s">
        <v>81</v>
      </c>
      <c r="I872" s="2" t="str">
        <f>IFERROR(__xludf.DUMMYFUNCTION("GOOGLETRANSLATE(C872,""fr"",""en"")"),"Allianz is really a company with whom I would never subscribe. Already 2 years to recover life insurance, when I phone they wander from post to post and impossible to have someone for explanations. Allianz a shame")</f>
        <v>Allianz is really a company with whom I would never subscribe. Already 2 years to recover life insurance, when I phone they wander from post to post and impossible to have someone for explanations. Allianz a shame</v>
      </c>
    </row>
    <row r="873" ht="15.75" customHeight="1">
      <c r="B873" s="2" t="s">
        <v>2467</v>
      </c>
      <c r="C873" s="2" t="s">
        <v>2468</v>
      </c>
      <c r="D873" s="2" t="s">
        <v>1192</v>
      </c>
      <c r="E873" s="2" t="s">
        <v>2007</v>
      </c>
      <c r="F873" s="2" t="s">
        <v>15</v>
      </c>
      <c r="G873" s="2" t="s">
        <v>2469</v>
      </c>
      <c r="H873" s="2" t="s">
        <v>402</v>
      </c>
      <c r="I873" s="2" t="str">
        <f>IFERROR(__xludf.DUMMYFUNCTION("GOOGLETRANSLATE(C873,""fr"",""en"")"),"that problems with Allianz of real balls when you give them an order it is never taken into account ... follows a dialogue of deaf !! You could say about them your money belongs to me and I do what I want !!!!")</f>
        <v>that problems with Allianz of real balls when you give them an order it is never taken into account ... follows a dialogue of deaf !! You could say about them your money belongs to me and I do what I want !!!!</v>
      </c>
    </row>
    <row r="874" ht="15.75" customHeight="1">
      <c r="B874" s="2" t="s">
        <v>2470</v>
      </c>
      <c r="C874" s="2" t="s">
        <v>2471</v>
      </c>
      <c r="D874" s="2" t="s">
        <v>1192</v>
      </c>
      <c r="E874" s="2" t="s">
        <v>2007</v>
      </c>
      <c r="F874" s="2" t="s">
        <v>15</v>
      </c>
      <c r="G874" s="2" t="s">
        <v>1692</v>
      </c>
      <c r="H874" s="2" t="s">
        <v>92</v>
      </c>
      <c r="I874" s="2" t="str">
        <f>IFERROR(__xludf.DUMMYFUNCTION("GOOGLETRANSLATE(C874,""fr"",""en"")"),"Allianz behaves like a machine: does not respect the will of the one who has subscribed to contracts
Bad advisor
7 months to make a regulation
Thanks to them we pay twice taxes
To escape absolutely if we want her heritage to be transmitted according"&amp;" to our wills")</f>
        <v>Allianz behaves like a machine: does not respect the will of the one who has subscribed to contracts
Bad advisor
7 months to make a regulation
Thanks to them we pay twice taxes
To escape absolutely if we want her heritage to be transmitted according to our wills</v>
      </c>
    </row>
    <row r="875" ht="15.75" customHeight="1">
      <c r="B875" s="2" t="s">
        <v>2472</v>
      </c>
      <c r="C875" s="2" t="s">
        <v>2473</v>
      </c>
      <c r="D875" s="2" t="s">
        <v>1192</v>
      </c>
      <c r="E875" s="2" t="s">
        <v>2007</v>
      </c>
      <c r="F875" s="2" t="s">
        <v>15</v>
      </c>
      <c r="G875" s="2" t="s">
        <v>2474</v>
      </c>
      <c r="H875" s="2" t="s">
        <v>106</v>
      </c>
      <c r="I875" s="2" t="str">
        <f>IFERROR(__xludf.DUMMYFUNCTION("GOOGLETRANSLATE(C875,""fr"",""en"")"),"Having subscribed to insurance for daily compensation at the meadows of Allianz in 2011, and not having had a long -term sick leave until April of this year, I thought it was serious insurance but no. Because apart from taking, with regard to giving the a"&amp;"llowances I am still waiting! I am very unhappy with this insurance company. Today I am in financial difficulty because Allianz did not keep his commitments and that I had taken out this insurance so as not to have a cash problem in the event of long -ter"&amp;"m sick leave, but in fact I would not have Not this insurance would be the same!")</f>
        <v>Having subscribed to insurance for daily compensation at the meadows of Allianz in 2011, and not having had a long -term sick leave until April of this year, I thought it was serious insurance but no. Because apart from taking, with regard to giving the allowances I am still waiting! I am very unhappy with this insurance company. Today I am in financial difficulty because Allianz did not keep his commitments and that I had taken out this insurance so as not to have a cash problem in the event of long -term sick leave, but in fact I would not have Not this insurance would be the same!</v>
      </c>
    </row>
    <row r="876" ht="15.75" customHeight="1">
      <c r="B876" s="2" t="s">
        <v>2475</v>
      </c>
      <c r="C876" s="2" t="s">
        <v>2476</v>
      </c>
      <c r="D876" s="2" t="s">
        <v>1192</v>
      </c>
      <c r="E876" s="2" t="s">
        <v>2007</v>
      </c>
      <c r="F876" s="2" t="s">
        <v>15</v>
      </c>
      <c r="G876" s="2" t="s">
        <v>2474</v>
      </c>
      <c r="H876" s="2" t="s">
        <v>106</v>
      </c>
      <c r="I876" s="2" t="str">
        <f>IFERROR(__xludf.DUMMYFUNCTION("GOOGLETRANSLATE(C876,""fr"",""en"")"),"Impossible to recover our mother's life insurance deceased over a year ago. Yet my brother and I provided all the documents requested by registered mail almost two months ago. Since then, no response from Allianz! In addition we only have the contract mai"&amp;"l address, no telephone number, nor email ... This is what my mother wanted for her children by subscribing to this life insurance!")</f>
        <v>Impossible to recover our mother's life insurance deceased over a year ago. Yet my brother and I provided all the documents requested by registered mail almost two months ago. Since then, no response from Allianz! In addition we only have the contract mail address, no telephone number, nor email ... This is what my mother wanted for her children by subscribing to this life insurance!</v>
      </c>
    </row>
    <row r="877" ht="15.75" customHeight="1">
      <c r="B877" s="2" t="s">
        <v>2477</v>
      </c>
      <c r="C877" s="2" t="s">
        <v>2478</v>
      </c>
      <c r="D877" s="2" t="s">
        <v>1192</v>
      </c>
      <c r="E877" s="2" t="s">
        <v>2007</v>
      </c>
      <c r="F877" s="2" t="s">
        <v>15</v>
      </c>
      <c r="G877" s="2" t="s">
        <v>2479</v>
      </c>
      <c r="H877" s="2" t="s">
        <v>127</v>
      </c>
      <c r="I877" s="2" t="str">
        <f>IFERROR(__xludf.DUMMYFUNCTION("GOOGLETRANSLATE(C877,""fr"",""en"")"),"Having untied a life insurance contract on April 1 and found that its value was lower than on January 1 previous (which is not possible given the characteristics of the Modul'Apargne contract), I addressed myself by TPH in customer service who unable to i"&amp;"nform me communicated to me a mobile number of a so -called connoisseur of the subject; Unreachable I left him my contact details and in addition I wrote. To date still not the slightest sign of life.
I must add that previously I had to go through the in"&amp;"surance mediator to obtain other clarifications after almost a year.
So you understood this is a triple zero that I give to Allianz for its customer relationship and transparency")</f>
        <v>Having untied a life insurance contract on April 1 and found that its value was lower than on January 1 previous (which is not possible given the characteristics of the Modul'Apargne contract), I addressed myself by TPH in customer service who unable to inform me communicated to me a mobile number of a so -called connoisseur of the subject; Unreachable I left him my contact details and in addition I wrote. To date still not the slightest sign of life.
I must add that previously I had to go through the insurance mediator to obtain other clarifications after almost a year.
So you understood this is a triple zero that I give to Allianz for its customer relationship and transparency</v>
      </c>
    </row>
    <row r="878" ht="15.75" customHeight="1">
      <c r="B878" s="2" t="s">
        <v>2480</v>
      </c>
      <c r="C878" s="2" t="s">
        <v>2481</v>
      </c>
      <c r="D878" s="2" t="s">
        <v>1192</v>
      </c>
      <c r="E878" s="2" t="s">
        <v>2007</v>
      </c>
      <c r="F878" s="2" t="s">
        <v>15</v>
      </c>
      <c r="G878" s="2" t="s">
        <v>2482</v>
      </c>
      <c r="H878" s="2" t="s">
        <v>460</v>
      </c>
      <c r="I878" s="2" t="str">
        <f>IFERROR(__xludf.DUMMYFUNCTION("GOOGLETRANSLATE(C878,""fr"",""en"")"),"Impossible to obtain the payment of my mother's life insurance deceased 2 months ago. File sent 1 and a half months ago. 3 phone calls. They must remind me. But never nothing. To flee.")</f>
        <v>Impossible to obtain the payment of my mother's life insurance deceased 2 months ago. File sent 1 and a half months ago. 3 phone calls. They must remind me. But never nothing. To flee.</v>
      </c>
    </row>
    <row r="879" ht="15.75" customHeight="1">
      <c r="B879" s="2" t="s">
        <v>2483</v>
      </c>
      <c r="C879" s="2" t="s">
        <v>2484</v>
      </c>
      <c r="D879" s="2" t="s">
        <v>1786</v>
      </c>
      <c r="E879" s="2" t="s">
        <v>2007</v>
      </c>
      <c r="F879" s="2" t="s">
        <v>15</v>
      </c>
      <c r="G879" s="2" t="s">
        <v>2485</v>
      </c>
      <c r="H879" s="2" t="s">
        <v>2009</v>
      </c>
      <c r="I879" s="2" t="str">
        <f>IFERROR(__xludf.DUMMYFUNCTION("GOOGLETRANSLATE(C879,""fr"",""en"")"),"I have just called BNP to recover my cardif Multiplacements 2 life insurance, for the steps to follow. Now that I am retired. This is what was planned, for my retirement, it is written in my contract. The person told me that BNP would take me 17.2 % from "&amp;"my life insurance, and I hope for an error. My last BNP advisers have certified me that I will have no fees if I close my life insurance. The contract was opened in 2010 and after 8 years I put an end to the samples. I am extremely losing because to withd"&amp;"raw 17.2 % of costs over my whole money, seems to exaggerate so it is huge. So out of 19,382.96 € when it is removed 17.2 % I lose a quarter, about my money. I don't call it savings. I intend to recover all of my money which had been certified to me, conf"&amp;"irmed again this year (no fees) by BNP advisers. Hope this is an error.
 The person told me that I will lose 17.2 % of my money. Honestly I hope to an error of my interlocutor that I had today on 08/11/2021.")</f>
        <v>I have just called BNP to recover my cardif Multiplacements 2 life insurance, for the steps to follow. Now that I am retired. This is what was planned, for my retirement, it is written in my contract. The person told me that BNP would take me 17.2 % from my life insurance, and I hope for an error. My last BNP advisers have certified me that I will have no fees if I close my life insurance. The contract was opened in 2010 and after 8 years I put an end to the samples. I am extremely losing because to withdraw 17.2 % of costs over my whole money, seems to exaggerate so it is huge. So out of 19,382.96 € when it is removed 17.2 % I lose a quarter, about my money. I don't call it savings. I intend to recover all of my money which had been certified to me, confirmed again this year (no fees) by BNP advisers. Hope this is an error.
 The person told me that I will lose 17.2 % of my money. Honestly I hope to an error of my interlocutor that I had today on 08/11/2021.</v>
      </c>
    </row>
    <row r="880" ht="15.75" customHeight="1">
      <c r="B880" s="2" t="s">
        <v>2486</v>
      </c>
      <c r="C880" s="2" t="s">
        <v>2487</v>
      </c>
      <c r="D880" s="2" t="s">
        <v>1786</v>
      </c>
      <c r="E880" s="2" t="s">
        <v>2007</v>
      </c>
      <c r="F880" s="2" t="s">
        <v>15</v>
      </c>
      <c r="G880" s="2" t="s">
        <v>2488</v>
      </c>
      <c r="H880" s="2" t="s">
        <v>160</v>
      </c>
      <c r="I880" s="2" t="str">
        <f>IFERROR(__xludf.DUMMYFUNCTION("GOOGLETRANSLATE(C880,""fr"",""en"")"),"Very great difficulty in transmitting documents on the secure site. Very dry and not followed up responses during telephone contacts (except today, 14/10/21). No telephone reminder despite the commitment made to do so within 48 hours. The answer could hav"&amp;"e been given from our first call by simple verification of the file.")</f>
        <v>Very great difficulty in transmitting documents on the secure site. Very dry and not followed up responses during telephone contacts (except today, 14/10/21). No telephone reminder despite the commitment made to do so within 48 hours. The answer could have been given from our first call by simple verification of the file.</v>
      </c>
    </row>
    <row r="881" ht="15.75" customHeight="1">
      <c r="B881" s="2" t="s">
        <v>2489</v>
      </c>
      <c r="C881" s="2" t="s">
        <v>2490</v>
      </c>
      <c r="D881" s="2" t="s">
        <v>1786</v>
      </c>
      <c r="E881" s="2" t="s">
        <v>2007</v>
      </c>
      <c r="F881" s="2" t="s">
        <v>15</v>
      </c>
      <c r="G881" s="2" t="s">
        <v>1069</v>
      </c>
      <c r="H881" s="2" t="s">
        <v>164</v>
      </c>
      <c r="I881" s="2" t="str">
        <f>IFERROR(__xludf.DUMMYFUNCTION("GOOGLETRANSLATE(C881,""fr"",""en"")"),"I asked for a bnp partial buyout for 10 days to unlock the funds it's been 1 month and nothing really zero. Always in the process of being unacceptable that you can not recover your own money.")</f>
        <v>I asked for a bnp partial buyout for 10 days to unlock the funds it's been 1 month and nothing really zero. Always in the process of being unacceptable that you can not recover your own money.</v>
      </c>
    </row>
    <row r="882" ht="15.75" customHeight="1">
      <c r="B882" s="2" t="s">
        <v>2491</v>
      </c>
      <c r="C882" s="2" t="s">
        <v>2492</v>
      </c>
      <c r="D882" s="2" t="s">
        <v>1786</v>
      </c>
      <c r="E882" s="2" t="s">
        <v>2007</v>
      </c>
      <c r="F882" s="2" t="s">
        <v>15</v>
      </c>
      <c r="G882" s="2" t="s">
        <v>649</v>
      </c>
      <c r="H882" s="2" t="s">
        <v>496</v>
      </c>
      <c r="I882" s="2" t="str">
        <f>IFERROR(__xludf.DUMMYFUNCTION("GOOGLETRANSLATE(C882,""fr"",""en"")"),"A real shame.
We want to unlock my husband's business savings account and for 10 days we have been waiting for the liquidation email.
We are lying by telling us that he is in our spam.
Last appeal, registered letter and prosecution before the courts if"&amp;" necessary and rolling up on LinkedIn to publicize their scandalous practices.")</f>
        <v>A real shame.
We want to unlock my husband's business savings account and for 10 days we have been waiting for the liquidation email.
We are lying by telling us that he is in our spam.
Last appeal, registered letter and prosecution before the courts if necessary and rolling up on LinkedIn to publicize their scandalous practices.</v>
      </c>
    </row>
    <row r="883" ht="15.75" customHeight="1">
      <c r="B883" s="2" t="s">
        <v>2493</v>
      </c>
      <c r="C883" s="2" t="s">
        <v>2494</v>
      </c>
      <c r="D883" s="2" t="s">
        <v>1786</v>
      </c>
      <c r="E883" s="2" t="s">
        <v>2007</v>
      </c>
      <c r="F883" s="2" t="s">
        <v>15</v>
      </c>
      <c r="G883" s="2" t="s">
        <v>2030</v>
      </c>
      <c r="H883" s="2" t="s">
        <v>204</v>
      </c>
      <c r="I883" s="2" t="str">
        <f>IFERROR(__xludf.DUMMYFUNCTION("GOOGLETRANSLATE(C883,""fr"",""en"")"),"Hello to all beneficiaries,
I confirm, Cardif is one of the worst.
If your file is complete and the legal deadline is not respected, do not even go through the mediator. Transmit your supporting documents by registered letter with AR then a final reviva"&amp;"l by registered letter, threatening to prosecute before the courts.
You are your law, and they will be sentenced with article 700 and interest damages.
This procedure will even make your file be released before the time.
Only the constraint works with "&amp;"this body in bad faith, which does everything to run your money. Lobbying is essential to make the balance of power and compensate for these financial companies to pay your due under penalty of automatic penalty .... ....
The laconic and tasteless answer"&amp;" of the Cardif robot is eagerly awaited. That Cardif rather deals with the file than its @reputation which already seems to be ready -made.")</f>
        <v>Hello to all beneficiaries,
I confirm, Cardif is one of the worst.
If your file is complete and the legal deadline is not respected, do not even go through the mediator. Transmit your supporting documents by registered letter with AR then a final revival by registered letter, threatening to prosecute before the courts.
You are your law, and they will be sentenced with article 700 and interest damages.
This procedure will even make your file be released before the time.
Only the constraint works with this body in bad faith, which does everything to run your money. Lobbying is essential to make the balance of power and compensate for these financial companies to pay your due under penalty of automatic penalty .... ....
The laconic and tasteless answer of the Cardif robot is eagerly awaited. That Cardif rather deals with the file than its @reputation which already seems to be ready -made.</v>
      </c>
    </row>
    <row r="884" ht="15.75" customHeight="1">
      <c r="B884" s="2" t="s">
        <v>2495</v>
      </c>
      <c r="C884" s="2" t="s">
        <v>2496</v>
      </c>
      <c r="D884" s="2" t="s">
        <v>1786</v>
      </c>
      <c r="E884" s="2" t="s">
        <v>2007</v>
      </c>
      <c r="F884" s="2" t="s">
        <v>15</v>
      </c>
      <c r="G884" s="2" t="s">
        <v>207</v>
      </c>
      <c r="H884" s="2" t="s">
        <v>204</v>
      </c>
      <c r="I884" s="2" t="str">
        <f>IFERROR(__xludf.DUMMYFUNCTION("GOOGLETRANSLATE(C884,""fr"",""en"")"),"Calamitteer services of this banking company !!!
My request for reimbursement and account fence, pending since the month of August is still not finalized.
The first telephonic contacts were gears by a visibly limited and uncompromising service
The mang"&amp;"es by emails of a slowness desperant led me to ask for the help of my lawyer
Three months of waiting for the calculation of the liberating sets
Payment without any information or detail of an approximate sum a month ago and still no detail or informatio"&amp;"n")</f>
        <v>Calamitteer services of this banking company !!!
My request for reimbursement and account fence, pending since the month of August is still not finalized.
The first telephonic contacts were gears by a visibly limited and uncompromising service
The manges by emails of a slowness desperant led me to ask for the help of my lawyer
Three months of waiting for the calculation of the liberating sets
Payment without any information or detail of an approximate sum a month ago and still no detail or information</v>
      </c>
    </row>
    <row r="885" ht="15.75" customHeight="1">
      <c r="B885" s="2" t="s">
        <v>2497</v>
      </c>
      <c r="C885" s="2" t="s">
        <v>2498</v>
      </c>
      <c r="D885" s="2" t="s">
        <v>1786</v>
      </c>
      <c r="E885" s="2" t="s">
        <v>2007</v>
      </c>
      <c r="F885" s="2" t="s">
        <v>15</v>
      </c>
      <c r="G885" s="2" t="s">
        <v>2499</v>
      </c>
      <c r="H885" s="2" t="s">
        <v>230</v>
      </c>
      <c r="I885" s="2" t="str">
        <f>IFERROR(__xludf.DUMMYFUNCTION("GOOGLETRANSLATE(C885,""fr"",""en"")"),"It has been 3 months now, I have been waiting for a virment from Cardif, for lack of strike from their part since the radio silence 3 months that we walk around me relaunch my file, the cardif advisers a true catastrophe no knowledge incapable of answerin"&amp;"g you concretely.
I strongly advise against this cardif life insurance insurance.
I don't plan to stay there !!!")</f>
        <v>It has been 3 months now, I have been waiting for a virment from Cardif, for lack of strike from their part since the radio silence 3 months that we walk around me relaunch my file, the cardif advisers a true catastrophe no knowledge incapable of answering you concretely.
I strongly advise against this cardif life insurance insurance.
I don't plan to stay there !!!</v>
      </c>
    </row>
    <row r="886" ht="15.75" customHeight="1">
      <c r="B886" s="2" t="s">
        <v>2500</v>
      </c>
      <c r="C886" s="2" t="s">
        <v>2501</v>
      </c>
      <c r="D886" s="2" t="s">
        <v>1786</v>
      </c>
      <c r="E886" s="2" t="s">
        <v>2007</v>
      </c>
      <c r="F886" s="2" t="s">
        <v>15</v>
      </c>
      <c r="G886" s="2" t="s">
        <v>2041</v>
      </c>
      <c r="H886" s="2" t="s">
        <v>230</v>
      </c>
      <c r="I886" s="2" t="str">
        <f>IFERROR(__xludf.DUMMYFUNCTION("GOOGLETRANSLATE(C886,""fr"",""en"")"),"Astonishing as the comments gathered on cardif life insurance can correspond to my situation.
I am only at the beginning of what seems to be a ""obstacle course"" to recover a life insurance capital and already, the same situation is looming. A beneficia"&amp;"ry identified, I have still not received a letter from this insurer. I contacted AGIRA and I recommend that all people who are unhappy with cardiff services report this insurer: https://signal.conso.gouv.fr/
I think it is important to force by contributi"&amp;"on to these described situations which are revolted. We do not expect that a communication service soothes us. We are waiting for commitments promised to our families to be held and that the professionalism that we are entitled to demand is revealed.")</f>
        <v>Astonishing as the comments gathered on cardif life insurance can correspond to my situation.
I am only at the beginning of what seems to be a "obstacle course" to recover a life insurance capital and already, the same situation is looming. A beneficiary identified, I have still not received a letter from this insurer. I contacted AGIRA and I recommend that all people who are unhappy with cardiff services report this insurer: https://signal.conso.gouv.fr/
I think it is important to force by contribution to these described situations which are revolted. We do not expect that a communication service soothes us. We are waiting for commitments promised to our families to be held and that the professionalism that we are entitled to demand is revealed.</v>
      </c>
    </row>
    <row r="887" ht="15.75" customHeight="1">
      <c r="B887" s="2" t="s">
        <v>2502</v>
      </c>
      <c r="C887" s="2" t="s">
        <v>2503</v>
      </c>
      <c r="D887" s="2" t="s">
        <v>1786</v>
      </c>
      <c r="E887" s="2" t="s">
        <v>2007</v>
      </c>
      <c r="F887" s="2" t="s">
        <v>15</v>
      </c>
      <c r="G887" s="2" t="s">
        <v>2504</v>
      </c>
      <c r="H887" s="2" t="s">
        <v>242</v>
      </c>
      <c r="I887" s="2" t="str">
        <f>IFERROR(__xludf.DUMMYFUNCTION("GOOGLETRANSLATE(C887,""fr"",""en"")"),"A calamity. Unable to manage or find a file. Suitable for a bank change, and send a new SEPA, for which we had not registered the account without joining a RIB, and after having sent a check accompanied by the RIB, sent to the August 15 I am asked for a n"&amp;"ew RIB and a new check to settle on October 5
")</f>
        <v>A calamity. Unable to manage or find a file. Suitable for a bank change, and send a new SEPA, for which we had not registered the account without joining a RIB, and after having sent a check accompanied by the RIB, sent to the August 15 I am asked for a new RIB and a new check to settle on October 5
</v>
      </c>
    </row>
    <row r="888" ht="15.75" customHeight="1">
      <c r="B888" s="2" t="s">
        <v>2505</v>
      </c>
      <c r="C888" s="2" t="s">
        <v>2506</v>
      </c>
      <c r="D888" s="2" t="s">
        <v>1786</v>
      </c>
      <c r="E888" s="2" t="s">
        <v>2007</v>
      </c>
      <c r="F888" s="2" t="s">
        <v>15</v>
      </c>
      <c r="G888" s="2" t="s">
        <v>2507</v>
      </c>
      <c r="H888" s="2" t="s">
        <v>550</v>
      </c>
      <c r="I888" s="2" t="str">
        <f>IFERROR(__xludf.DUMMYFUNCTION("GOOGLETRANSLATE(C888,""fr"",""en"")"),"Our father died in March 2019. After many adventures and a real obstacle course, we managed to have an interlocutor who informs us on February 11, 2020 that the file was complete for the release of our father's life insurance and we specifies that the pay"&amp;"ment will be made the following week.
Without any news we are sending an email on March 5, 2020 and we are told that the latter is on vacation until March 10 and that it will contact us on his return.
To date on April 27, 2020 the file is still on stand"&amp;"-by and we inform you that we have decided to get closer to a lawyer to assert our rights and the implementation of article L132-23-1 Insurance code.
")</f>
        <v>Our father died in March 2019. After many adventures and a real obstacle course, we managed to have an interlocutor who informs us on February 11, 2020 that the file was complete for the release of our father's life insurance and we specifies that the payment will be made the following week.
Without any news we are sending an email on March 5, 2020 and we are told that the latter is on vacation until March 10 and that it will contact us on his return.
To date on April 27, 2020 the file is still on stand-by and we inform you that we have decided to get closer to a lawyer to assert our rights and the implementation of article L132-23-1 Insurance code.
</v>
      </c>
    </row>
    <row r="889" ht="15.75" customHeight="1">
      <c r="B889" s="2" t="s">
        <v>2508</v>
      </c>
      <c r="C889" s="2" t="s">
        <v>2509</v>
      </c>
      <c r="D889" s="2" t="s">
        <v>1786</v>
      </c>
      <c r="E889" s="2" t="s">
        <v>2007</v>
      </c>
      <c r="F889" s="2" t="s">
        <v>15</v>
      </c>
      <c r="G889" s="2" t="s">
        <v>2510</v>
      </c>
      <c r="H889" s="2" t="s">
        <v>550</v>
      </c>
      <c r="I889" s="2" t="str">
        <f>IFERROR(__xludf.DUMMYFUNCTION("GOOGLETRANSLATE(C889,""fr"",""en"")"),"The death of my stepfather was declared on February 27 to the BNP agency which managed its accounts and life insurance, with the supply of a death certificate, as recommended on the Cardif site. An indicative period of 3 weeks is given for the payment of "&amp;"capital by Cardif. On March 16 I relaunch Cardif by phone who tells me not knowing anything about the file, but will send me an email immediately with an address where to send documents. Never received anything. From the beginning of confinement, no more "&amp;"possibility of telephone contact. 04/04 recovery by message on their site. Answer: ""Send a death certificate to the following email address:"", but no address mentioned. Everything is done to save time and delay as much as possible the payment of capital"&amp;" ... Confainment will have a good back, as if telework did not exist in banks and insurance. Disgusting!!")</f>
        <v>The death of my stepfather was declared on February 27 to the BNP agency which managed its accounts and life insurance, with the supply of a death certificate, as recommended on the Cardif site. An indicative period of 3 weeks is given for the payment of capital by Cardif. On March 16 I relaunch Cardif by phone who tells me not knowing anything about the file, but will send me an email immediately with an address where to send documents. Never received anything. From the beginning of confinement, no more possibility of telephone contact. 04/04 recovery by message on their site. Answer: "Send a death certificate to the following email address:", but no address mentioned. Everything is done to save time and delay as much as possible the payment of capital ... Confainment will have a good back, as if telework did not exist in banks and insurance. Disgusting!!</v>
      </c>
    </row>
    <row r="890" ht="15.75" customHeight="1">
      <c r="B890" s="2" t="s">
        <v>2098</v>
      </c>
      <c r="C890" s="2" t="s">
        <v>2511</v>
      </c>
      <c r="D890" s="2" t="s">
        <v>1786</v>
      </c>
      <c r="E890" s="2" t="s">
        <v>2007</v>
      </c>
      <c r="F890" s="2" t="s">
        <v>15</v>
      </c>
      <c r="G890" s="2" t="s">
        <v>2095</v>
      </c>
      <c r="H890" s="2" t="s">
        <v>273</v>
      </c>
      <c r="I890" s="2" t="str">
        <f>IFERROR(__xludf.DUMMYFUNCTION("GOOGLETRANSLATE(C890,""fr"",""en"")"),"Flee bnp and bnp cardif in the event of a succession they have no communication between service, because indeed when you subscribe for our case a capitalization account at the BNP it is BNP Cadif which manages it among other things during a succession wit"&amp;"hout any Communication of the BNP succession service ... Clearly if you do not know the placements of the deceased you will never have the money !!! Small clarification These accounts were managed in BNP private banking for supposedly exemplary follow -up"&amp;" ... I dare not imagine in ""standard"" BNP agency")</f>
        <v>Flee bnp and bnp cardif in the event of a succession they have no communication between service, because indeed when you subscribe for our case a capitalization account at the BNP it is BNP Cadif which manages it among other things during a succession without any Communication of the BNP succession service ... Clearly if you do not know the placements of the deceased you will never have the money !!! Small clarification These accounts were managed in BNP private banking for supposedly exemplary follow -up ... I dare not imagine in "standard" BNP agency</v>
      </c>
    </row>
    <row r="891" ht="15.75" customHeight="1">
      <c r="B891" s="2" t="s">
        <v>2512</v>
      </c>
      <c r="C891" s="2" t="s">
        <v>2513</v>
      </c>
      <c r="D891" s="2" t="s">
        <v>1786</v>
      </c>
      <c r="E891" s="2" t="s">
        <v>2007</v>
      </c>
      <c r="F891" s="2" t="s">
        <v>15</v>
      </c>
      <c r="G891" s="2" t="s">
        <v>1677</v>
      </c>
      <c r="H891" s="2" t="s">
        <v>554</v>
      </c>
      <c r="I891" s="2" t="str">
        <f>IFERROR(__xludf.DUMMYFUNCTION("GOOGLETRANSLATE(C891,""fr"",""en"")"),"Hello my mother died on October 13, 2019 and I informed the BNP on October 15, 2019 of the death of this one. I contacted cardif succession life insurance several times and I still have different versions. They confirmed to me that they received all the e"&amp;"lements on February 7, 2020. I should receive the mail at the latest on February 21, 2020 to build the file. I called on February 25, 2020 and I was told that my file was still pending. Inadmissible but we are dependent on these people there. Even to pay "&amp;"my mother's current account to the notary, they told me that it took 6 to 8 weeks of delay. They really don't care about us. My notary told me that it was the longest BNP to pay money. I do not recommend this bank at all.")</f>
        <v>Hello my mother died on October 13, 2019 and I informed the BNP on October 15, 2019 of the death of this one. I contacted cardif succession life insurance several times and I still have different versions. They confirmed to me that they received all the elements on February 7, 2020. I should receive the mail at the latest on February 21, 2020 to build the file. I called on February 25, 2020 and I was told that my file was still pending. Inadmissible but we are dependent on these people there. Even to pay my mother's current account to the notary, they told me that it took 6 to 8 weeks of delay. They really don't care about us. My notary told me that it was the longest BNP to pay money. I do not recommend this bank at all.</v>
      </c>
    </row>
    <row r="892" ht="15.75" customHeight="1">
      <c r="B892" s="2" t="s">
        <v>2514</v>
      </c>
      <c r="C892" s="2" t="s">
        <v>2515</v>
      </c>
      <c r="D892" s="2" t="s">
        <v>1786</v>
      </c>
      <c r="E892" s="2" t="s">
        <v>2007</v>
      </c>
      <c r="F892" s="2" t="s">
        <v>15</v>
      </c>
      <c r="G892" s="2" t="s">
        <v>2516</v>
      </c>
      <c r="H892" s="2" t="s">
        <v>554</v>
      </c>
      <c r="I892" s="2" t="str">
        <f>IFERROR(__xludf.DUMMYFUNCTION("GOOGLETRANSLATE(C892,""fr"",""en"")"),"A real obstacle course 5 months to unlock life insurance following the death of my mother
Too long file processing
A real hassle
Only satisfaction the fairly courteous reception on the phone
Rare incompetence.")</f>
        <v>A real obstacle course 5 months to unlock life insurance following the death of my mother
Too long file processing
A real hassle
Only satisfaction the fairly courteous reception on the phone
Rare incompetence.</v>
      </c>
    </row>
    <row r="893" ht="15.75" customHeight="1">
      <c r="B893" s="2" t="s">
        <v>2517</v>
      </c>
      <c r="C893" s="2" t="s">
        <v>2518</v>
      </c>
      <c r="D893" s="2" t="s">
        <v>1786</v>
      </c>
      <c r="E893" s="2" t="s">
        <v>2007</v>
      </c>
      <c r="F893" s="2" t="s">
        <v>15</v>
      </c>
      <c r="G893" s="2" t="s">
        <v>2519</v>
      </c>
      <c r="H893" s="2" t="s">
        <v>307</v>
      </c>
      <c r="I893" s="2" t="str">
        <f>IFERROR(__xludf.DUMMYFUNCTION("GOOGLETRANSLATE(C893,""fr"",""en"")"),"It's been more than a month since I expect the payment of the partial redemption of my life insurance, cardif having lost attachments, what am I saying, stapled at my order request! After calls and a recommended, I am at the same point: no payment and no "&amp;"idea of ​​what has become of the parts that I transmitted which are all the same sensitive")</f>
        <v>It's been more than a month since I expect the payment of the partial redemption of my life insurance, cardif having lost attachments, what am I saying, stapled at my order request! After calls and a recommended, I am at the same point: no payment and no idea of ​​what has become of the parts that I transmitted which are all the same sensitive</v>
      </c>
    </row>
    <row r="894" ht="15.75" customHeight="1">
      <c r="B894" s="2" t="s">
        <v>2520</v>
      </c>
      <c r="C894" s="2" t="s">
        <v>2521</v>
      </c>
      <c r="D894" s="2" t="s">
        <v>1786</v>
      </c>
      <c r="E894" s="2" t="s">
        <v>2007</v>
      </c>
      <c r="F894" s="2" t="s">
        <v>15</v>
      </c>
      <c r="G894" s="2" t="s">
        <v>1106</v>
      </c>
      <c r="H894" s="2" t="s">
        <v>307</v>
      </c>
      <c r="I894" s="2" t="str">
        <f>IFERROR(__xludf.DUMMYFUNCTION("GOOGLETRANSLATE(C894,""fr"",""en"")"),"Hello, my father who died on July 27, 2019, had taken out life insurance at Cardif BNP, all the documents for the regulations have been transmitted and broadcast .... no regulations to date. When we phone the service given very little information or inacc"&amp;"uracies, the service does not accuse reception even if it is they who ask you to transfer the documents to accelerate the process.Par Coirrier with AR, no better")</f>
        <v>Hello, my father who died on July 27, 2019, had taken out life insurance at Cardif BNP, all the documents for the regulations have been transmitted and broadcast .... no regulations to date. When we phone the service given very little information or inaccuracies, the service does not accuse reception even if it is they who ask you to transfer the documents to accelerate the process.Par Coirrier with AR, no better</v>
      </c>
    </row>
    <row r="895" ht="15.75" customHeight="1">
      <c r="B895" s="2" t="s">
        <v>2522</v>
      </c>
      <c r="C895" s="2" t="s">
        <v>2523</v>
      </c>
      <c r="D895" s="2" t="s">
        <v>1786</v>
      </c>
      <c r="E895" s="2" t="s">
        <v>2007</v>
      </c>
      <c r="F895" s="2" t="s">
        <v>15</v>
      </c>
      <c r="G895" s="2" t="s">
        <v>2524</v>
      </c>
      <c r="H895" s="2" t="s">
        <v>324</v>
      </c>
      <c r="I895" s="2" t="str">
        <f>IFERROR(__xludf.DUMMYFUNCTION("GOOGLETRANSLATE(C895,""fr"",""en"")"),"Hello, I am very unhappy with the service. I sent a recommended requesting the total repurchase of my life insurance received on July 2. Since then, some exchanges with my bank, but no procedure in progress.
Between the lost recommended, the slowness of "&amp;"the file, I am not satisfied with the service.")</f>
        <v>Hello, I am very unhappy with the service. I sent a recommended requesting the total repurchase of my life insurance received on July 2. Since then, some exchanges with my bank, but no procedure in progress.
Between the lost recommended, the slowness of the file, I am not satisfied with the service.</v>
      </c>
    </row>
    <row r="896" ht="15.75" customHeight="1">
      <c r="B896" s="2" t="s">
        <v>2525</v>
      </c>
      <c r="C896" s="2" t="s">
        <v>2526</v>
      </c>
      <c r="D896" s="2" t="s">
        <v>1786</v>
      </c>
      <c r="E896" s="2" t="s">
        <v>2007</v>
      </c>
      <c r="F896" s="2" t="s">
        <v>15</v>
      </c>
      <c r="G896" s="2" t="s">
        <v>2527</v>
      </c>
      <c r="H896" s="2" t="s">
        <v>324</v>
      </c>
      <c r="I896" s="2" t="str">
        <f>IFERROR(__xludf.DUMMYFUNCTION("GOOGLETRANSLATE(C896,""fr"",""en"")"),"To be fleeing absolutely since June 29, 2019 I await a contract buyback. The file is complete but apparently to turn the funds it looks very complicated for this bnpp subsidiary")</f>
        <v>To be fleeing absolutely since June 29, 2019 I await a contract buyback. The file is complete but apparently to turn the funds it looks very complicated for this bnpp subsidiary</v>
      </c>
    </row>
    <row r="897" ht="15.75" customHeight="1">
      <c r="B897" s="2" t="s">
        <v>2528</v>
      </c>
      <c r="C897" s="2" t="s">
        <v>2529</v>
      </c>
      <c r="D897" s="2" t="s">
        <v>1786</v>
      </c>
      <c r="E897" s="2" t="s">
        <v>2007</v>
      </c>
      <c r="F897" s="2" t="s">
        <v>15</v>
      </c>
      <c r="G897" s="2" t="s">
        <v>327</v>
      </c>
      <c r="H897" s="2" t="s">
        <v>328</v>
      </c>
      <c r="I897" s="2" t="str">
        <f>IFERROR(__xludf.DUMMYFUNCTION("GOOGLETRANSLATE(C897,""fr"",""en"")"),"Hello, last summer 2018 I subscribed to my bank the BNP Paribas a life insurance contract with the Cardif. On June 6 for various personal reasons, I asked my BNP advisor to make a total acquisition of my cardif life insurance (therefore to permanently sus"&amp;"pend the monthly payments !!), but at the time of today I still have Nothing from them !!!!! My advisor has stood them up repeatedly (including the last time on July 4 in my presence !!), sent emails and me too and I still have nothing !! They even had th"&amp;"e cheek to speak to me recently (on July 12, 2019) a registered letter AR asking me to pay them the last monthly payment. But what is this shabby life insurance that never pays attention to what their client tells them ??? It is a shame to have people dra"&amp;"gged like this, it is also a shame that we should wait for weeks to have answers from them !!!!! Know that I have urgently need the money that I have already paid you since the year so stopped hanging things like that is shabby and for once do things corr"&amp;"ectly by quickly pouring what you Must !!!! I am really unhappy with your services and if I had known last year I would never have subscribed to life insurance at home !!!!!! Cardif is to be fleeing absolutely, shabby customer service, shabby insurance !!"&amp;"!!!!!")</f>
        <v>Hello, last summer 2018 I subscribed to my bank the BNP Paribas a life insurance contract with the Cardif. On June 6 for various personal reasons, I asked my BNP advisor to make a total acquisition of my cardif life insurance (therefore to permanently suspend the monthly payments !!), but at the time of today I still have Nothing from them !!!!! My advisor has stood them up repeatedly (including the last time on July 4 in my presence !!), sent emails and me too and I still have nothing !! They even had the cheek to speak to me recently (on July 12, 2019) a registered letter AR asking me to pay them the last monthly payment. But what is this shabby life insurance that never pays attention to what their client tells them ??? It is a shame to have people dragged like this, it is also a shame that we should wait for weeks to have answers from them !!!!! Know that I have urgently need the money that I have already paid you since the year so stopped hanging things like that is shabby and for once do things correctly by quickly pouring what you Must !!!! I am really unhappy with your services and if I had known last year I would never have subscribed to life insurance at home !!!!!! Cardif is to be fleeing absolutely, shabby customer service, shabby insurance !!!!!!!</v>
      </c>
    </row>
    <row r="898" ht="15.75" customHeight="1">
      <c r="B898" s="2" t="s">
        <v>2530</v>
      </c>
      <c r="C898" s="2" t="s">
        <v>2531</v>
      </c>
      <c r="D898" s="2" t="s">
        <v>1786</v>
      </c>
      <c r="E898" s="2" t="s">
        <v>2007</v>
      </c>
      <c r="F898" s="2" t="s">
        <v>15</v>
      </c>
      <c r="G898" s="2" t="s">
        <v>342</v>
      </c>
      <c r="H898" s="2" t="s">
        <v>339</v>
      </c>
      <c r="I898" s="2" t="str">
        <f>IFERROR(__xludf.DUMMYFUNCTION("GOOGLETRANSLATE(C898,""fr"",""en"")"),"Request for total buyout of my life insurance contract sent on 04/18/2019, received on 04/19/2019 by Cardif. Cardif chose as a value date for account units the date of 05/13/2019! (as by chance after a 5% correction of the steps) In addition cardif contin"&amp;"ued to take the costs from the units of account after the date of receipt of the buyout letter! I made a request to their customer service to obtain an explanation. I look forward to the answer to position myself on this insurer.")</f>
        <v>Request for total buyout of my life insurance contract sent on 04/18/2019, received on 04/19/2019 by Cardif. Cardif chose as a value date for account units the date of 05/13/2019! (as by chance after a 5% correction of the steps) In addition cardif continued to take the costs from the units of account after the date of receipt of the buyout letter! I made a request to their customer service to obtain an explanation. I look forward to the answer to position myself on this insurer.</v>
      </c>
    </row>
    <row r="899" ht="15.75" customHeight="1">
      <c r="B899" s="2" t="s">
        <v>2532</v>
      </c>
      <c r="C899" s="2" t="s">
        <v>2533</v>
      </c>
      <c r="D899" s="2" t="s">
        <v>1786</v>
      </c>
      <c r="E899" s="2" t="s">
        <v>2007</v>
      </c>
      <c r="F899" s="2" t="s">
        <v>15</v>
      </c>
      <c r="G899" s="2" t="s">
        <v>2534</v>
      </c>
      <c r="H899" s="2" t="s">
        <v>572</v>
      </c>
      <c r="I899" s="2" t="str">
        <f>IFERROR(__xludf.DUMMYFUNCTION("GOOGLETRANSLATE(C899,""fr"",""en"")"),"Request for buyout sent on April 16, on April 30, the file is still not under treatment, to believe that the company remained in the 19th century!")</f>
        <v>Request for buyout sent on April 16, on April 30, the file is still not under treatment, to believe that the company remained in the 19th century!</v>
      </c>
    </row>
    <row r="900" ht="15.75" customHeight="1">
      <c r="B900" s="2" t="s">
        <v>2535</v>
      </c>
      <c r="C900" s="2" t="s">
        <v>2536</v>
      </c>
      <c r="D900" s="2" t="s">
        <v>1786</v>
      </c>
      <c r="E900" s="2" t="s">
        <v>2007</v>
      </c>
      <c r="F900" s="2" t="s">
        <v>15</v>
      </c>
      <c r="G900" s="2" t="s">
        <v>1857</v>
      </c>
      <c r="H900" s="2" t="s">
        <v>572</v>
      </c>
      <c r="I900" s="2" t="str">
        <f>IFERROR(__xludf.DUMMYFUNCTION("GOOGLETRANSLATE(C900,""fr"",""en"")"),"Unbearable insurance company related to my former BNPPARIBAS bank")</f>
        <v>Unbearable insurance company related to my former BNPPARIBAS bank</v>
      </c>
    </row>
    <row r="901" ht="15.75" customHeight="1">
      <c r="B901" s="2" t="s">
        <v>2537</v>
      </c>
      <c r="C901" s="2" t="s">
        <v>2538</v>
      </c>
      <c r="D901" s="2" t="s">
        <v>1786</v>
      </c>
      <c r="E901" s="2" t="s">
        <v>2007</v>
      </c>
      <c r="F901" s="2" t="s">
        <v>15</v>
      </c>
      <c r="G901" s="2" t="s">
        <v>2539</v>
      </c>
      <c r="H901" s="2" t="s">
        <v>21</v>
      </c>
      <c r="I901" s="2" t="str">
        <f>IFERROR(__xludf.DUMMYFUNCTION("GOOGLETRANSLATE(C901,""fr"",""en"")"),"Last year I had to have information on my contract. Evasive response and I am hung on the nose. I renoiulelle my request by mail, no answer. New mail 3 months more, no answer. I send an email to the complaint service which kindly contacted me but did not "&amp;"find a trace of my letters.")</f>
        <v>Last year I had to have information on my contract. Evasive response and I am hung on the nose. I renoiulelle my request by mail, no answer. New mail 3 months more, no answer. I send an email to the complaint service which kindly contacted me but did not find a trace of my letters.</v>
      </c>
    </row>
    <row r="902" ht="15.75" customHeight="1">
      <c r="B902" s="2" t="s">
        <v>2540</v>
      </c>
      <c r="C902" s="2" t="s">
        <v>2541</v>
      </c>
      <c r="D902" s="2" t="s">
        <v>1786</v>
      </c>
      <c r="E902" s="2" t="s">
        <v>2007</v>
      </c>
      <c r="F902" s="2" t="s">
        <v>15</v>
      </c>
      <c r="G902" s="2" t="s">
        <v>955</v>
      </c>
      <c r="H902" s="2" t="s">
        <v>31</v>
      </c>
      <c r="I902" s="2" t="str">
        <f>IFERROR(__xludf.DUMMYFUNCTION("GOOGLETRANSLATE(C902,""fr"",""en"")"),"Another very negative opinion on Cardif.
My great mother has taken out life insurance with them.
She died on 05/30/2018 and since we are deadlocked. After a registered letter, the sending in multiple copies of the act of notoriety and even of the hologr"&amp;"aph they wanted to have, it is nothingness.
It seems that the problem is on the death of my mother. They hang around for that. They refuse to communicate the beneficiary clauses both to the notary and to the heir.
I seized the Agira and I asked them to "&amp;"refer to the insurance mediator, see the insurance control committee.
Nothing stops them to keep the funds.
To flee.
In the same success, we were dealing with AFER and there as soon as they had the act of notoriety, the funds were paid in 3 weeks.
Car"&amp;"dif, I will seize justice, I do not see any other choice before such negligence, even incompetence.")</f>
        <v>Another very negative opinion on Cardif.
My great mother has taken out life insurance with them.
She died on 05/30/2018 and since we are deadlocked. After a registered letter, the sending in multiple copies of the act of notoriety and even of the holograph they wanted to have, it is nothingness.
It seems that the problem is on the death of my mother. They hang around for that. They refuse to communicate the beneficiary clauses both to the notary and to the heir.
I seized the Agira and I asked them to refer to the insurance mediator, see the insurance control committee.
Nothing stops them to keep the funds.
To flee.
In the same success, we were dealing with AFER and there as soon as they had the act of notoriety, the funds were paid in 3 weeks.
Cardif, I will seize justice, I do not see any other choice before such negligence, even incompetence.</v>
      </c>
    </row>
    <row r="903" ht="15.75" customHeight="1">
      <c r="B903" s="2" t="s">
        <v>2542</v>
      </c>
      <c r="C903" s="2" t="s">
        <v>2543</v>
      </c>
      <c r="D903" s="2" t="s">
        <v>1786</v>
      </c>
      <c r="E903" s="2" t="s">
        <v>2007</v>
      </c>
      <c r="F903" s="2" t="s">
        <v>15</v>
      </c>
      <c r="G903" s="2" t="s">
        <v>1889</v>
      </c>
      <c r="H903" s="2" t="s">
        <v>46</v>
      </c>
      <c r="I903" s="2" t="str">
        <f>IFERROR(__xludf.DUMMYFUNCTION("GOOGLETRANSLATE(C903,""fr"",""en"")"),"Unable to make a total redemption of my cardif insurance ""BNP Paribas Plan Growth Liberty"".
I call the advisor to request the terms of a total withdrawal request.
And sends a registered mail with the supporting documents requested on 30/7/2018.
R"&amp;"esponse by mail 3 months later (i.e. 10/26/2018):
Incomplete file: ""Signature on the different request from the initial signature of the contract"".
We return to you all of your file.
Scandalous.
I will contact a legal service to find out how to "&amp;"follow up such a fomistry.")</f>
        <v>Unable to make a total redemption of my cardif insurance "BNP Paribas Plan Growth Liberty".
I call the advisor to request the terms of a total withdrawal request.
And sends a registered mail with the supporting documents requested on 30/7/2018.
Response by mail 3 months later (i.e. 10/26/2018):
Incomplete file: "Signature on the different request from the initial signature of the contract".
We return to you all of your file.
Scandalous.
I will contact a legal service to find out how to follow up such a fomistry.</v>
      </c>
    </row>
    <row r="904" ht="15.75" customHeight="1">
      <c r="B904" s="2" t="s">
        <v>2544</v>
      </c>
      <c r="C904" s="2" t="s">
        <v>2545</v>
      </c>
      <c r="D904" s="2" t="s">
        <v>1786</v>
      </c>
      <c r="E904" s="2" t="s">
        <v>2007</v>
      </c>
      <c r="F904" s="2" t="s">
        <v>15</v>
      </c>
      <c r="G904" s="2" t="s">
        <v>2546</v>
      </c>
      <c r="H904" s="2" t="s">
        <v>59</v>
      </c>
      <c r="I904" s="2" t="str">
        <f>IFERROR(__xludf.DUMMYFUNCTION("GOOGLETRANSLATE(C904,""fr"",""en"")"),"Cardif to flee absolutely. I lost my father who had insurance for ten years. It is already a difficult situation but in addition customer service is catastrophic and of an unacceptable slowness.")</f>
        <v>Cardif to flee absolutely. I lost my father who had insurance for ten years. It is already a difficult situation but in addition customer service is catastrophic and of an unacceptable slowness.</v>
      </c>
    </row>
    <row r="905" ht="15.75" customHeight="1">
      <c r="B905" s="2" t="s">
        <v>2547</v>
      </c>
      <c r="C905" s="2" t="s">
        <v>2548</v>
      </c>
      <c r="D905" s="2" t="s">
        <v>1786</v>
      </c>
      <c r="E905" s="2" t="s">
        <v>2007</v>
      </c>
      <c r="F905" s="2" t="s">
        <v>15</v>
      </c>
      <c r="G905" s="2" t="s">
        <v>1290</v>
      </c>
      <c r="H905" s="2" t="s">
        <v>70</v>
      </c>
      <c r="I905" s="2" t="str">
        <f>IFERROR(__xludf.DUMMYFUNCTION("GOOGLETRANSLATE(C905,""fr"",""en"")"),"Application for requests")</f>
        <v>Application for requests</v>
      </c>
    </row>
    <row r="906" ht="15.75" customHeight="1">
      <c r="B906" s="2" t="s">
        <v>2549</v>
      </c>
      <c r="C906" s="2" t="s">
        <v>2550</v>
      </c>
      <c r="D906" s="2" t="s">
        <v>1786</v>
      </c>
      <c r="E906" s="2" t="s">
        <v>2007</v>
      </c>
      <c r="F906" s="2" t="s">
        <v>15</v>
      </c>
      <c r="G906" s="2" t="s">
        <v>2551</v>
      </c>
      <c r="H906" s="2" t="s">
        <v>70</v>
      </c>
      <c r="I906" s="2" t="str">
        <f>IFERROR(__xludf.DUMMYFUNCTION("GOOGLETRANSLATE(C906,""fr"",""en"")"),"I had taken out a provident insurance paying capital in the event of death.
I send letters change of bank details, never action on their part.
Finally, I send a termination letter, and presto, withdrawal the following month on my closed account ...
Fed"&amp;" up.")</f>
        <v>I had taken out a provident insurance paying capital in the event of death.
I send letters change of bank details, never action on their part.
Finally, I send a termination letter, and presto, withdrawal the following month on my closed account ...
Fed up.</v>
      </c>
    </row>
    <row r="907" ht="15.75" customHeight="1">
      <c r="B907" s="2" t="s">
        <v>2552</v>
      </c>
      <c r="C907" s="2" t="s">
        <v>2553</v>
      </c>
      <c r="D907" s="2" t="s">
        <v>1786</v>
      </c>
      <c r="E907" s="2" t="s">
        <v>2007</v>
      </c>
      <c r="F907" s="2" t="s">
        <v>15</v>
      </c>
      <c r="G907" s="2" t="s">
        <v>2402</v>
      </c>
      <c r="H907" s="2" t="s">
        <v>81</v>
      </c>
      <c r="I907" s="2" t="str">
        <f>IFERROR(__xludf.DUMMYFUNCTION("GOOGLETRANSLATE(C907,""fr"",""en"")"),"Hello everyone and all a little life insurance reminder The BNP flee quickly 7 months to have the life insurance of my deceased spouse also they are placed in another bank more here and to recover your money and that you have a conflict as they have the b"&amp;"ank CTLM You died for a credit which just happened to me fortunately I could have my credit by another bank but really they are real jackal when I had a credit at home")</f>
        <v>Hello everyone and all a little life insurance reminder The BNP flee quickly 7 months to have the life insurance of my deceased spouse also they are placed in another bank more here and to recover your money and that you have a conflict as they have the bank CTLM You died for a credit which just happened to me fortunately I could have my credit by another bank but really they are real jackal when I had a credit at home</v>
      </c>
    </row>
    <row r="908" ht="15.75" customHeight="1">
      <c r="B908" s="2" t="s">
        <v>2554</v>
      </c>
      <c r="C908" s="2" t="s">
        <v>2555</v>
      </c>
      <c r="D908" s="2" t="s">
        <v>1786</v>
      </c>
      <c r="E908" s="2" t="s">
        <v>2007</v>
      </c>
      <c r="F908" s="2" t="s">
        <v>15</v>
      </c>
      <c r="G908" s="2" t="s">
        <v>2556</v>
      </c>
      <c r="H908" s="2" t="s">
        <v>81</v>
      </c>
      <c r="I908" s="2" t="str">
        <f>IFERROR(__xludf.DUMMYFUNCTION("GOOGLETRANSLATE(C908,""fr"",""en"")"),"succession service below everything. big difficulties in recovering the capital due")</f>
        <v>succession service below everything. big difficulties in recovering the capital due</v>
      </c>
    </row>
    <row r="909" ht="15.75" customHeight="1">
      <c r="B909" s="2" t="s">
        <v>2557</v>
      </c>
      <c r="C909" s="2" t="s">
        <v>2558</v>
      </c>
      <c r="D909" s="2" t="s">
        <v>1786</v>
      </c>
      <c r="E909" s="2" t="s">
        <v>2007</v>
      </c>
      <c r="F909" s="2" t="s">
        <v>15</v>
      </c>
      <c r="G909" s="2" t="s">
        <v>2559</v>
      </c>
      <c r="H909" s="2" t="s">
        <v>391</v>
      </c>
      <c r="I909" s="2" t="str">
        <f>IFERROR(__xludf.DUMMYFUNCTION("GOOGLETRANSLATE(C909,""fr"",""en"")"),"I made a request from Cardif on 27/12/2017 concerning life insurance contracted in the name of my mother dated 02/12/1995 in order to know if the amount of this insurance had been paid to my father (that -CI being the beneficiary) when the death of this o"&amp;"ne on 25/02/2010. I have in hand all the supporting documents and the transmitted them in Cardif. Not having received a response I sent a registered letter on 02/03/2018.
To date, no answer.
I have already dealt with Cardif concerning home insurance on "&amp;"a building belonging to my parents and I had to involve the mediator for winning. So I know their way of acting.
I will not hesitate, again, to call on it if necessary.")</f>
        <v>I made a request from Cardif on 27/12/2017 concerning life insurance contracted in the name of my mother dated 02/12/1995 in order to know if the amount of this insurance had been paid to my father (that -CI being the beneficiary) when the death of this one on 25/02/2010. I have in hand all the supporting documents and the transmitted them in Cardif. Not having received a response I sent a registered letter on 02/03/2018.
To date, no answer.
I have already dealt with Cardif concerning home insurance on a building belonging to my parents and I had to involve the mediator for winning. So I know their way of acting.
I will not hesitate, again, to call on it if necessary.</v>
      </c>
    </row>
    <row r="910" ht="15.75" customHeight="1">
      <c r="B910" s="2" t="s">
        <v>2560</v>
      </c>
      <c r="C910" s="2" t="s">
        <v>2561</v>
      </c>
      <c r="D910" s="2" t="s">
        <v>1786</v>
      </c>
      <c r="E910" s="2" t="s">
        <v>2007</v>
      </c>
      <c r="F910" s="2" t="s">
        <v>15</v>
      </c>
      <c r="G910" s="2" t="s">
        <v>2562</v>
      </c>
      <c r="H910" s="2" t="s">
        <v>409</v>
      </c>
      <c r="I910" s="2" t="str">
        <f>IFERROR(__xludf.DUMMYFUNCTION("GOOGLETRANSLATE(C910,""fr"",""en"")"),"I asked for the closure of my life insurance contract (multiplus perspective), 2 months ago, in order to make a real estate purchase. To date, after multiple telephone and written contacts, I am told that I will not be able to have the reimbursement of my"&amp;" money before mid January, because the reimbursements of December are closed ..... you only have to better Read your contract .... Dixit the Strasbourg Customer Advisor who is of kindness to be scared and a doubtful professionalism .... can be normal at t"&amp;"he end of the year and the allocation of premiums.
Yes I am angry because I entrust my money, to this company and in return no consideration except only a form of unacceptable casualness.
Still, it is that Cardif used all forms of artifications (custome"&amp;"r document supposedly poorly filled, not received ...) so as not to make my refund.
In view of the other opinions that I could read on this blog, I have a big fear on the refund within the legal deadlines (2 months, and there are 2 days left) of my contr"&amp;"act .... this way of doing A name that I will not pronounce today ....
There is a big risk that my real estate purchase will not be done because of BNP Cardif ..... but they do not care and today they put me in the kneader .... but there too it is not th"&amp;"eir problem and especially not that of their pseudo hyper zealous customer advisor.
 A word of advice, run away from this business ....")</f>
        <v>I asked for the closure of my life insurance contract (multiplus perspective), 2 months ago, in order to make a real estate purchase. To date, after multiple telephone and written contacts, I am told that I will not be able to have the reimbursement of my money before mid January, because the reimbursements of December are closed ..... you only have to better Read your contract .... Dixit the Strasbourg Customer Advisor who is of kindness to be scared and a doubtful professionalism .... can be normal at the end of the year and the allocation of premiums.
Yes I am angry because I entrust my money, to this company and in return no consideration except only a form of unacceptable casualness.
Still, it is that Cardif used all forms of artifications (customer document supposedly poorly filled, not received ...) so as not to make my refund.
In view of the other opinions that I could read on this blog, I have a big fear on the refund within the legal deadlines (2 months, and there are 2 days left) of my contract .... this way of doing A name that I will not pronounce today ....
There is a big risk that my real estate purchase will not be done because of BNP Cardif ..... but they do not care and today they put me in the kneader .... but there too it is not their problem and especially not that of their pseudo hyper zealous customer advisor.
 A word of advice, run away from this business ....</v>
      </c>
    </row>
    <row r="911" ht="15.75" customHeight="1">
      <c r="B911" s="2" t="s">
        <v>2563</v>
      </c>
      <c r="C911" s="2" t="s">
        <v>2564</v>
      </c>
      <c r="D911" s="2" t="s">
        <v>1786</v>
      </c>
      <c r="E911" s="2" t="s">
        <v>2007</v>
      </c>
      <c r="F911" s="2" t="s">
        <v>15</v>
      </c>
      <c r="G911" s="2" t="s">
        <v>409</v>
      </c>
      <c r="H911" s="2" t="s">
        <v>409</v>
      </c>
      <c r="I911" s="2" t="str">
        <f>IFERROR(__xludf.DUMMYFUNCTION("GOOGLETRANSLATE(C911,""fr"",""en"")"),"Death in July 2016. Act of notoriety in December 2016. Still not today a very simple succession settlement.
We are scandalized by the attitude of Cardif which provides no explanation, no accounting document, no state of accounts and which benefits from t"&amp;"he money of the deceased illegally. And does not deign to respond to the Lotary who established the succession. We are not ready to advertise the BNP. Their mode of operation is shameful.")</f>
        <v>Death in July 2016. Act of notoriety in December 2016. Still not today a very simple succession settlement.
We are scandalized by the attitude of Cardif which provides no explanation, no accounting document, no state of accounts and which benefits from the money of the deceased illegally. And does not deign to respond to the Lotary who established the succession. We are not ready to advertise the BNP. Their mode of operation is shameful.</v>
      </c>
    </row>
    <row r="912" ht="15.75" customHeight="1">
      <c r="B912" s="2" t="s">
        <v>2565</v>
      </c>
      <c r="C912" s="2" t="s">
        <v>2566</v>
      </c>
      <c r="D912" s="2" t="s">
        <v>1786</v>
      </c>
      <c r="E912" s="2" t="s">
        <v>2007</v>
      </c>
      <c r="F912" s="2" t="s">
        <v>15</v>
      </c>
      <c r="G912" s="2" t="s">
        <v>806</v>
      </c>
      <c r="H912" s="2" t="s">
        <v>92</v>
      </c>
      <c r="I912" s="2" t="str">
        <f>IFERROR(__xludf.DUMMYFUNCTION("GOOGLETRANSLATE(C912,""fr"",""en"")"),"My mom died on January 1 of this year. The contract has been liquidated with a raw capital that is undergoing 1000 euros to that indicated on the 2016 newsletter. Despite my multiple letters and telephone calls, to date, no answer to this question.")</f>
        <v>My mom died on January 1 of this year. The contract has been liquidated with a raw capital that is undergoing 1000 euros to that indicated on the 2016 newsletter. Despite my multiple letters and telephone calls, to date, no answer to this question.</v>
      </c>
    </row>
    <row r="913" ht="15.75" customHeight="1">
      <c r="B913" s="2" t="s">
        <v>2567</v>
      </c>
      <c r="C913" s="2" t="s">
        <v>2568</v>
      </c>
      <c r="D913" s="2" t="s">
        <v>1786</v>
      </c>
      <c r="E913" s="2" t="s">
        <v>2007</v>
      </c>
      <c r="F913" s="2" t="s">
        <v>15</v>
      </c>
      <c r="G913" s="2" t="s">
        <v>2569</v>
      </c>
      <c r="H913" s="2" t="s">
        <v>110</v>
      </c>
      <c r="I913" s="2" t="str">
        <f>IFERROR(__xludf.DUMMYFUNCTION("GOOGLETRANSLATE(C913,""fr"",""en"")"),"It is a shame for the settlement of successions be careful no competence. I had to wait three months to be settled they are unable to establish a separate transfer on the European Union they lie by affirming that the regulations are made everything happen"&amp;"s with the Standard . Finally after recommended I received the money on a French account I made myself the transfer on Spain on Saturday and Monday I was credited. They therefore enjoyed 3 months more than this money illegally. Do not recommend cardif")</f>
        <v>It is a shame for the settlement of successions be careful no competence. I had to wait three months to be settled they are unable to establish a separate transfer on the European Union they lie by affirming that the regulations are made everything happens with the Standard . Finally after recommended I received the money on a French account I made myself the transfer on Spain on Saturday and Monday I was credited. They therefore enjoyed 3 months more than this money illegally. Do not recommend cardif</v>
      </c>
    </row>
    <row r="914" ht="15.75" customHeight="1">
      <c r="B914" s="2" t="s">
        <v>2570</v>
      </c>
      <c r="C914" s="2" t="s">
        <v>2571</v>
      </c>
      <c r="D914" s="2" t="s">
        <v>1786</v>
      </c>
      <c r="E914" s="2" t="s">
        <v>2007</v>
      </c>
      <c r="F914" s="2" t="s">
        <v>15</v>
      </c>
      <c r="G914" s="2" t="s">
        <v>2572</v>
      </c>
      <c r="H914" s="2" t="s">
        <v>120</v>
      </c>
      <c r="I914" s="2" t="str">
        <f>IFERROR(__xludf.DUMMYFUNCTION("GOOGLETRANSLATE(C914,""fr"",""en"")"),"Hello my mom has subscribed to a cardif life insurance through a loan in 2004 in the name of my daddy my mom to date having died my father would like to terminate his contract they replied that he would not receive money following to termination of contra"&amp;"ct")</f>
        <v>Hello my mom has subscribed to a cardif life insurance through a loan in 2004 in the name of my daddy my mom to date having died my father would like to terminate his contract they replied that he would not receive money following to termination of contract</v>
      </c>
    </row>
    <row r="915" ht="15.75" customHeight="1">
      <c r="B915" s="2" t="s">
        <v>2573</v>
      </c>
      <c r="C915" s="2" t="s">
        <v>2574</v>
      </c>
      <c r="D915" s="2" t="s">
        <v>1786</v>
      </c>
      <c r="E915" s="2" t="s">
        <v>2007</v>
      </c>
      <c r="F915" s="2" t="s">
        <v>15</v>
      </c>
      <c r="G915" s="2" t="s">
        <v>2575</v>
      </c>
      <c r="H915" s="2" t="s">
        <v>127</v>
      </c>
      <c r="I915" s="2" t="str">
        <f>IFERROR(__xludf.DUMMYFUNCTION("GOOGLETRANSLATE(C915,""fr"",""en"")"),"More quick to take your money than to restore it and notorious incompetence.
Go your way and choose banks with real professionals.")</f>
        <v>More quick to take your money than to restore it and notorious incompetence.
Go your way and choose banks with real professionals.</v>
      </c>
    </row>
    <row r="916" ht="15.75" customHeight="1">
      <c r="B916" s="2" t="s">
        <v>2576</v>
      </c>
      <c r="C916" s="2" t="s">
        <v>2577</v>
      </c>
      <c r="D916" s="2" t="s">
        <v>1786</v>
      </c>
      <c r="E916" s="2" t="s">
        <v>2007</v>
      </c>
      <c r="F916" s="2" t="s">
        <v>15</v>
      </c>
      <c r="G916" s="2" t="s">
        <v>2482</v>
      </c>
      <c r="H916" s="2" t="s">
        <v>460</v>
      </c>
      <c r="I916" s="2" t="str">
        <f>IFERROR(__xludf.DUMMYFUNCTION("GOOGLETRANSLATE(C916,""fr"",""en"")"),"Hello, I sent my request for a closing of my Perp Cardif in February because I retired on March 1. To date, the PERP has disappeared from my BNP accounts but I have not received any payment, or payment calculation, or even accused of reception. The adviso"&amp;"r contacted on the phone today could not say that ""your file is being processed without any other details"". Already that the performance of the perp is disastrous, if in addition you have to fight to obtain the payment of the rent!")</f>
        <v>Hello, I sent my request for a closing of my Perp Cardif in February because I retired on March 1. To date, the PERP has disappeared from my BNP accounts but I have not received any payment, or payment calculation, or even accused of reception. The advisor contacted on the phone today could not say that "your file is being processed without any other details". Already that the performance of the perp is disastrous, if in addition you have to fight to obtain the payment of the rent!</v>
      </c>
    </row>
    <row r="917" ht="15.75" customHeight="1">
      <c r="B917" s="2" t="s">
        <v>2578</v>
      </c>
      <c r="C917" s="2" t="s">
        <v>2579</v>
      </c>
      <c r="D917" s="2" t="s">
        <v>1786</v>
      </c>
      <c r="E917" s="2" t="s">
        <v>2007</v>
      </c>
      <c r="F917" s="2" t="s">
        <v>15</v>
      </c>
      <c r="G917" s="2" t="s">
        <v>2482</v>
      </c>
      <c r="H917" s="2" t="s">
        <v>460</v>
      </c>
      <c r="I917" s="2" t="str">
        <f>IFERROR(__xludf.DUMMYFUNCTION("GOOGLETRANSLATE(C917,""fr"",""en"")"),"I am unfortunately to be beneficial following the deces of my mother of two life insurance at Cardif. I read lots of bad comments on refund. To believe that people cannot complain that it does not work and that nobody can say when it works.
My file was p"&amp;"rocessed in less than one self. I just had to give the reclaimed parts. I was advised and listened to. Customer service is super professional and rare kindness. WELL DONE")</f>
        <v>I am unfortunately to be beneficial following the deces of my mother of two life insurance at Cardif. I read lots of bad comments on refund. To believe that people cannot complain that it does not work and that nobody can say when it works.
My file was processed in less than one self. I just had to give the reclaimed parts. I was advised and listened to. Customer service is super professional and rare kindness. WELL DONE</v>
      </c>
    </row>
    <row r="918" ht="15.75" customHeight="1">
      <c r="B918" s="2" t="s">
        <v>2580</v>
      </c>
      <c r="C918" s="2" t="s">
        <v>2581</v>
      </c>
      <c r="D918" s="2" t="s">
        <v>1786</v>
      </c>
      <c r="E918" s="2" t="s">
        <v>2007</v>
      </c>
      <c r="F918" s="2" t="s">
        <v>15</v>
      </c>
      <c r="G918" s="2" t="s">
        <v>460</v>
      </c>
      <c r="H918" s="2" t="s">
        <v>460</v>
      </c>
      <c r="I918" s="2" t="str">
        <f>IFERROR(__xludf.DUMMYFUNCTION("GOOGLETRANSLATE(C918,""fr"",""en"")"),"My mother being death since March 3, 2017, Cardif hangs out for the reimbursement of this life insurance, moreover the BNP endorses because it continues to have you signed life insurance and I do not understand why this bank (which does not will never be "&amp;"mine they say) does nothing.
I have received documents with errors in my last name and my notary asks me to make the corrections which are necessary on the file I received.
 Flee this life insurance and the BNP
")</f>
        <v>My mother being death since March 3, 2017, Cardif hangs out for the reimbursement of this life insurance, moreover the BNP endorses because it continues to have you signed life insurance and I do not understand why this bank (which does not will never be mine they say) does nothing.
I have received documents with errors in my last name and my notary asks me to make the corrections which are necessary on the file I received.
 Flee this life insurance and the BNP
</v>
      </c>
    </row>
    <row r="919" ht="15.75" customHeight="1">
      <c r="B919" s="2" t="s">
        <v>2582</v>
      </c>
      <c r="C919" s="2" t="s">
        <v>2583</v>
      </c>
      <c r="D919" s="2" t="s">
        <v>1786</v>
      </c>
      <c r="E919" s="2" t="s">
        <v>2007</v>
      </c>
      <c r="F919" s="2" t="s">
        <v>15</v>
      </c>
      <c r="G919" s="2" t="s">
        <v>2584</v>
      </c>
      <c r="H919" s="2" t="s">
        <v>836</v>
      </c>
      <c r="I919" s="2" t="str">
        <f>IFERROR(__xludf.DUMMYFUNCTION("GOOGLETRANSLATE(C919,""fr"",""en"")"),"TO FLEE...
I have a life insurance for which I accompanied my mother during the subscription 17 years ago. Died since Sep 2016 Cardif walks us, the notary like us (2 heirs). Despite the proxy given to the notary, Cardif does not answer him and persists i"&amp;"n asking us for the same documents. In addition to the deplorable performance of placement for 17 years and the exasperating slowness of treatment, this ""company"" refuses the slightest answer on the file and pay attention to not communicating anything o"&amp;"n its processing times to be expected.")</f>
        <v>TO FLEE...
I have a life insurance for which I accompanied my mother during the subscription 17 years ago. Died since Sep 2016 Cardif walks us, the notary like us (2 heirs). Despite the proxy given to the notary, Cardif does not answer him and persists in asking us for the same documents. In addition to the deplorable performance of placement for 17 years and the exasperating slowness of treatment, this "company" refuses the slightest answer on the file and pay attention to not communicating anything on its processing times to be expected.</v>
      </c>
    </row>
    <row r="920" ht="15.75" customHeight="1">
      <c r="B920" s="2" t="s">
        <v>2585</v>
      </c>
      <c r="C920" s="2" t="s">
        <v>2586</v>
      </c>
      <c r="D920" s="2" t="s">
        <v>1786</v>
      </c>
      <c r="E920" s="2" t="s">
        <v>2007</v>
      </c>
      <c r="F920" s="2" t="s">
        <v>15</v>
      </c>
      <c r="G920" s="2" t="s">
        <v>2587</v>
      </c>
      <c r="H920" s="2" t="s">
        <v>836</v>
      </c>
      <c r="I920" s="2" t="str">
        <f>IFERROR(__xludf.DUMMYFUNCTION("GOOGLETRANSLATE(C920,""fr"",""en"")"),"To flee ... The deadline for partial buyouts of life insurance is completely scandalous, this drags, no information, multiplication of letters, no respect for customers ... While the debts of people accumulate because the buyouts n ' Do not arrive ... A t"&amp;"otal contempt for the insured.")</f>
        <v>To flee ... The deadline for partial buyouts of life insurance is completely scandalous, this drags, no information, multiplication of letters, no respect for customers ... While the debts of people accumulate because the buyouts n ' Do not arrive ... A total contempt for the insured.</v>
      </c>
    </row>
    <row r="921" ht="15.75" customHeight="1">
      <c r="B921" s="2" t="s">
        <v>2588</v>
      </c>
      <c r="C921" s="2" t="s">
        <v>2589</v>
      </c>
      <c r="D921" s="2" t="s">
        <v>1786</v>
      </c>
      <c r="E921" s="2" t="s">
        <v>2007</v>
      </c>
      <c r="F921" s="2" t="s">
        <v>15</v>
      </c>
      <c r="G921" s="2" t="s">
        <v>2590</v>
      </c>
      <c r="H921" s="2" t="s">
        <v>138</v>
      </c>
      <c r="I921" s="2" t="str">
        <f>IFERROR(__xludf.DUMMYFUNCTION("GOOGLETRANSLATE(C921,""fr"",""en"")"),"Scandal in the treatment of a liquidation of Perp
My mother has died for 1 year, and it's been 1 year since I was fighting to recover the sums due. First they lose letters and ask to send them back, which we do with my brother. It's been 4/5 months now t"&amp;"hat we are promised to soon pay the sums due, that I am told that I will be reminded without doing it. In short, a scandal, I have never seen such a lack of respect in the treatment of the customer. I am on the verge of making a legal appeal.")</f>
        <v>Scandal in the treatment of a liquidation of Perp
My mother has died for 1 year, and it's been 1 year since I was fighting to recover the sums due. First they lose letters and ask to send them back, which we do with my brother. It's been 4/5 months now that we are promised to soon pay the sums due, that I am told that I will be reminded without doing it. In short, a scandal, I have never seen such a lack of respect in the treatment of the customer. I am on the verge of making a legal appeal.</v>
      </c>
    </row>
    <row r="922" ht="15.75" customHeight="1">
      <c r="B922" s="2" t="s">
        <v>2591</v>
      </c>
      <c r="C922" s="2" t="s">
        <v>2592</v>
      </c>
      <c r="D922" s="2" t="s">
        <v>1786</v>
      </c>
      <c r="E922" s="2" t="s">
        <v>2007</v>
      </c>
      <c r="F922" s="2" t="s">
        <v>15</v>
      </c>
      <c r="G922" s="2" t="s">
        <v>2593</v>
      </c>
      <c r="H922" s="2" t="s">
        <v>145</v>
      </c>
      <c r="I922" s="2" t="str">
        <f>IFERROR(__xludf.DUMMYFUNCTION("GOOGLETRANSLATE(C922,""fr"",""en"")"),"Cardiff Life Insurance Demanding the phone pretext not being cardiff set without authorization signed")</f>
        <v>Cardiff Life Insurance Demanding the phone pretext not being cardiff set without authorization signed</v>
      </c>
    </row>
    <row r="923" ht="15.75" customHeight="1">
      <c r="B923" s="2" t="s">
        <v>2594</v>
      </c>
      <c r="C923" s="2" t="s">
        <v>2595</v>
      </c>
      <c r="D923" s="2" t="s">
        <v>1569</v>
      </c>
      <c r="E923" s="2" t="s">
        <v>2007</v>
      </c>
      <c r="F923" s="2" t="s">
        <v>15</v>
      </c>
      <c r="G923" s="2" t="s">
        <v>1700</v>
      </c>
      <c r="H923" s="2" t="s">
        <v>153</v>
      </c>
      <c r="I923" s="2" t="str">
        <f>IFERROR(__xludf.DUMMYFUNCTION("GOOGLETRANSLATE(C923,""fr"",""en"")"),"Worse group, 2 months that I am in procedure for total buyout and it's still in progress! No responsiveness, it is impossible to have quick answers even with the help of a advice. I was dealing with several groups and this one is by far the worst of all.")</f>
        <v>Worse group, 2 months that I am in procedure for total buyout and it's still in progress! No responsiveness, it is impossible to have quick answers even with the help of a advice. I was dealing with several groups and this one is by far the worst of all.</v>
      </c>
    </row>
    <row r="924" ht="15.75" customHeight="1">
      <c r="B924" s="2" t="s">
        <v>2596</v>
      </c>
      <c r="C924" s="2" t="s">
        <v>2597</v>
      </c>
      <c r="D924" s="2" t="s">
        <v>1569</v>
      </c>
      <c r="E924" s="2" t="s">
        <v>2007</v>
      </c>
      <c r="F924" s="2" t="s">
        <v>15</v>
      </c>
      <c r="G924" s="2" t="s">
        <v>1066</v>
      </c>
      <c r="H924" s="2" t="s">
        <v>481</v>
      </c>
      <c r="I924" s="2" t="str">
        <f>IFERROR(__xludf.DUMMYFUNCTION("GOOGLETRANSLATE(C924,""fr"",""en"")"),"Having been a possessor of 3 contracts (77 years) originally contracts France nearly 30 years old buyer 1 then 2nd partial and August total acquisition xaelidia euros (changed in progress by 'commercial' commercial 'of Limoges, never reviewed or manifeste"&amp;"d)) Announced by Altaprofits 15J recommended followed up, after numerous emails to the manager and general customers, only this day, comes to having email of the amount, not funds on my account announced on Monday or 6 weeks later, Agios at the bank I pas"&amp;"s you on and the best (email evidence etc ... kept warm) while waiting for answers, because I have already asked for a commercial gesture in view of the prejudices suffered. D Renaudie")</f>
        <v>Having been a possessor of 3 contracts (77 years) originally contracts France nearly 30 years old buyer 1 then 2nd partial and August total acquisition xaelidia euros (changed in progress by 'commercial' commercial 'of Limoges, never reviewed or manifested)) Announced by Altaprofits 15J recommended followed up, after numerous emails to the manager and general customers, only this day, comes to having email of the amount, not funds on my account announced on Monday or 6 weeks later, Agios at the bank I pass you on and the best (email evidence etc ... kept warm) while waiting for answers, because I have already asked for a commercial gesture in view of the prejudices suffered. D Renaudie</v>
      </c>
    </row>
    <row r="925" ht="15.75" customHeight="1">
      <c r="B925" s="2" t="s">
        <v>2598</v>
      </c>
      <c r="C925" s="2" t="s">
        <v>2599</v>
      </c>
      <c r="D925" s="2" t="s">
        <v>1569</v>
      </c>
      <c r="E925" s="2" t="s">
        <v>2007</v>
      </c>
      <c r="F925" s="2" t="s">
        <v>15</v>
      </c>
      <c r="G925" s="2" t="s">
        <v>200</v>
      </c>
      <c r="H925" s="2" t="s">
        <v>194</v>
      </c>
      <c r="I925" s="2" t="str">
        <f>IFERROR(__xludf.DUMMYFUNCTION("GOOGLETRANSLATE(C925,""fr"",""en"")"),"Over 6 years with 6 different contracts than problems and disdain in the face of their concealations in mixed contracts at a very opaque and unfavorable pre -fitted fresh for customers ^^")</f>
        <v>Over 6 years with 6 different contracts than problems and disdain in the face of their concealations in mixed contracts at a very opaque and unfavorable pre -fitted fresh for customers ^^</v>
      </c>
    </row>
    <row r="926" ht="15.75" customHeight="1">
      <c r="B926" s="2" t="s">
        <v>2600</v>
      </c>
      <c r="C926" s="2" t="s">
        <v>2601</v>
      </c>
      <c r="D926" s="2" t="s">
        <v>1569</v>
      </c>
      <c r="E926" s="2" t="s">
        <v>2007</v>
      </c>
      <c r="F926" s="2" t="s">
        <v>15</v>
      </c>
      <c r="G926" s="2" t="s">
        <v>2602</v>
      </c>
      <c r="H926" s="2" t="s">
        <v>204</v>
      </c>
      <c r="I926" s="2" t="str">
        <f>IFERROR(__xludf.DUMMYFUNCTION("GOOGLETRANSLATE(C926,""fr"",""en"")"),"They were trained to cheat on contract dates and guarantee effect to prevent withdrawal and also to sign contracts by another person from the husband or wife with joint account The concubine concubin can sign for the other not common account is prohibited"&amp;" that choosing told me")</f>
        <v>They were trained to cheat on contract dates and guarantee effect to prevent withdrawal and also to sign contracts by another person from the husband or wife with joint account The concubine concubin can sign for the other not common account is prohibited that choosing told me</v>
      </c>
    </row>
    <row r="927" ht="15.75" customHeight="1">
      <c r="B927" s="2" t="s">
        <v>2603</v>
      </c>
      <c r="C927" s="2" t="s">
        <v>2604</v>
      </c>
      <c r="D927" s="2" t="s">
        <v>1569</v>
      </c>
      <c r="E927" s="2" t="s">
        <v>2007</v>
      </c>
      <c r="F927" s="2" t="s">
        <v>15</v>
      </c>
      <c r="G927" s="2" t="s">
        <v>1215</v>
      </c>
      <c r="H927" s="2" t="s">
        <v>214</v>
      </c>
      <c r="I927" s="2" t="str">
        <f>IFERROR(__xludf.DUMMYFUNCTION("GOOGLETRANSLATE(C927,""fr"",""en"")"),"What to say about this insurance, nothing good ... After having contributed for 8 years, the repurchase of my contract is disastrous, with a loss of € 2,000. I got caught in style, I did not
Nothing seen coming ... I sent them a complaint letter and of c"&amp;"ourse they have answers to everything. I blame myself for putting it so. I was looking forward to having my capital, because having a small retirement, I counted a lot on it, alas very disappointed when I received the mail with the amount ...
I can only "&amp;"say, flee general !!!")</f>
        <v>What to say about this insurance, nothing good ... After having contributed for 8 years, the repurchase of my contract is disastrous, with a loss of € 2,000. I got caught in style, I did not
Nothing seen coming ... I sent them a complaint letter and of course they have answers to everything. I blame myself for putting it so. I was looking forward to having my capital, because having a small retirement, I counted a lot on it, alas very disappointed when I received the mail with the amount ...
I can only say, flee general !!!</v>
      </c>
    </row>
    <row r="928" ht="15.75" customHeight="1">
      <c r="B928" s="2" t="s">
        <v>2605</v>
      </c>
      <c r="C928" s="2" t="s">
        <v>2606</v>
      </c>
      <c r="D928" s="2" t="s">
        <v>1569</v>
      </c>
      <c r="E928" s="2" t="s">
        <v>2007</v>
      </c>
      <c r="F928" s="2" t="s">
        <v>15</v>
      </c>
      <c r="G928" s="2" t="s">
        <v>652</v>
      </c>
      <c r="H928" s="2" t="s">
        <v>214</v>
      </c>
      <c r="I928" s="2" t="str">
        <f>IFERROR(__xludf.DUMMYFUNCTION("GOOGLETRANSLATE(C928,""fr"",""en"")"),"Contact the Paris insurance mediator in the event of conflicts with Generali The contact details are on the internet Send everything by registered conflict the contract and all the written traces that you sent with Generali and their answers (photocopies)"&amp;" to the mediator To avoid loss of TPS and which is beneficial for this insurance company")</f>
        <v>Contact the Paris insurance mediator in the event of conflicts with Generali The contact details are on the internet Send everything by registered conflict the contract and all the written traces that you sent with Generali and their answers (photocopies) to the mediator To avoid loss of TPS and which is beneficial for this insurance company</v>
      </c>
    </row>
    <row r="929" ht="15.75" customHeight="1">
      <c r="B929" s="2" t="s">
        <v>2607</v>
      </c>
      <c r="C929" s="2" t="s">
        <v>2608</v>
      </c>
      <c r="D929" s="2" t="s">
        <v>1569</v>
      </c>
      <c r="E929" s="2" t="s">
        <v>2007</v>
      </c>
      <c r="F929" s="2" t="s">
        <v>15</v>
      </c>
      <c r="G929" s="2" t="s">
        <v>1090</v>
      </c>
      <c r="H929" s="2" t="s">
        <v>230</v>
      </c>
      <c r="I929" s="2" t="str">
        <f>IFERROR(__xludf.DUMMYFUNCTION("GOOGLETRANSLATE(C929,""fr"",""en"")"),"My sick and disabled mother on the death of my father had the visit of a general agent, she signed 6 contracts, housing, life, retirement, pension, death ... on the death of our mother in early March the agent and Ironed to have documents signed to recove"&amp;"r the money placed, 8 months after still nothing except letters of recovery of collection companies with threat of wage seizure if you do not pay!
 Already the death insurance was linked to an ignoble funeral provider who tried to take from the bank all "&amp;"the funeral while 90% was taken care of!
 Now we have no information on the sums paid by my mother, no knowledge of losses or a date to close this dark story when my mother thought of doing the best!
The house having been sold still no reimbursement of "&amp;"the too perceived!
Really to flee !!")</f>
        <v>My sick and disabled mother on the death of my father had the visit of a general agent, she signed 6 contracts, housing, life, retirement, pension, death ... on the death of our mother in early March the agent and Ironed to have documents signed to recover the money placed, 8 months after still nothing except letters of recovery of collection companies with threat of wage seizure if you do not pay!
 Already the death insurance was linked to an ignoble funeral provider who tried to take from the bank all the funeral while 90% was taken care of!
 Now we have no information on the sums paid by my mother, no knowledge of losses or a date to close this dark story when my mother thought of doing the best!
The house having been sold still no reimbursement of the too perceived!
Really to flee !!</v>
      </c>
    </row>
    <row r="930" ht="15.75" customHeight="1">
      <c r="B930" s="2" t="s">
        <v>2609</v>
      </c>
      <c r="C930" s="2" t="s">
        <v>2610</v>
      </c>
      <c r="D930" s="2" t="s">
        <v>1569</v>
      </c>
      <c r="E930" s="2" t="s">
        <v>2007</v>
      </c>
      <c r="F930" s="2" t="s">
        <v>15</v>
      </c>
      <c r="G930" s="2" t="s">
        <v>2611</v>
      </c>
      <c r="H930" s="2" t="s">
        <v>269</v>
      </c>
      <c r="I930" s="2" t="str">
        <f>IFERROR(__xludf.DUMMYFUNCTION("GOOGLETRANSLATE(C930,""fr"",""en"")"),"To tell certain truth disturb,
To say today that life insurance does not bring anything more is to be of service to consumers is as dangerous as playing on the stock market. To say that it will take at least 5 years to recover the loss of capital. that i"&amp;"s to tell the truth")</f>
        <v>To tell certain truth disturb,
To say today that life insurance does not bring anything more is to be of service to consumers is as dangerous as playing on the stock market. To say that it will take at least 5 years to recover the loss of capital. that is to tell the truth</v>
      </c>
    </row>
    <row r="931" ht="15.75" customHeight="1">
      <c r="B931" s="2" t="s">
        <v>2612</v>
      </c>
      <c r="C931" s="2" t="s">
        <v>2613</v>
      </c>
      <c r="D931" s="2" t="s">
        <v>1569</v>
      </c>
      <c r="E931" s="2" t="s">
        <v>2007</v>
      </c>
      <c r="F931" s="2" t="s">
        <v>15</v>
      </c>
      <c r="G931" s="2" t="s">
        <v>2614</v>
      </c>
      <c r="H931" s="2" t="s">
        <v>550</v>
      </c>
      <c r="I931" s="2" t="str">
        <f>IFERROR(__xludf.DUMMYFUNCTION("GOOGLETRANSLATE(C931,""fr"",""en"")"),"A star has the absence of 0 star
To flee
To sell the advisor can be talkative and very kind but once the contract signed, he disappears in the wild.
")</f>
        <v>A star has the absence of 0 star
To flee
To sell the advisor can be talkative and very kind but once the contract signed, he disappears in the wild.
</v>
      </c>
    </row>
    <row r="932" ht="15.75" customHeight="1">
      <c r="B932" s="2" t="s">
        <v>2615</v>
      </c>
      <c r="C932" s="2" t="s">
        <v>2616</v>
      </c>
      <c r="D932" s="2" t="s">
        <v>1569</v>
      </c>
      <c r="E932" s="2" t="s">
        <v>2007</v>
      </c>
      <c r="F932" s="2" t="s">
        <v>15</v>
      </c>
      <c r="G932" s="2" t="s">
        <v>2617</v>
      </c>
      <c r="H932" s="2" t="s">
        <v>554</v>
      </c>
      <c r="I932" s="2" t="str">
        <f>IFERROR(__xludf.DUMMYFUNCTION("GOOGLETRANSLATE(C932,""fr"",""en"")"),"They do not answer anything.")</f>
        <v>They do not answer anything.</v>
      </c>
    </row>
    <row r="933" ht="15.75" customHeight="1">
      <c r="B933" s="2" t="s">
        <v>2618</v>
      </c>
      <c r="C933" s="2" t="s">
        <v>2619</v>
      </c>
      <c r="D933" s="2" t="s">
        <v>1569</v>
      </c>
      <c r="E933" s="2" t="s">
        <v>2007</v>
      </c>
      <c r="F933" s="2" t="s">
        <v>15</v>
      </c>
      <c r="G933" s="2" t="s">
        <v>1103</v>
      </c>
      <c r="H933" s="2" t="s">
        <v>284</v>
      </c>
      <c r="I933" s="2" t="str">
        <f>IFERROR(__xludf.DUMMYFUNCTION("GOOGLETRANSLATE(C933,""fr"",""en"")"),"Customer service does not remind you despite several online requests, hostage of significant money, Eronnee customer service information, ....")</f>
        <v>Customer service does not remind you despite several online requests, hostage of significant money, Eronnee customer service information, ....</v>
      </c>
    </row>
    <row r="934" ht="15.75" customHeight="1">
      <c r="B934" s="2" t="s">
        <v>2620</v>
      </c>
      <c r="C934" s="2" t="s">
        <v>2621</v>
      </c>
      <c r="D934" s="2" t="s">
        <v>1569</v>
      </c>
      <c r="E934" s="2" t="s">
        <v>2007</v>
      </c>
      <c r="F934" s="2" t="s">
        <v>15</v>
      </c>
      <c r="G934" s="2" t="s">
        <v>297</v>
      </c>
      <c r="H934" s="2" t="s">
        <v>288</v>
      </c>
      <c r="I934" s="2" t="str">
        <f>IFERROR(__xludf.DUMMYFUNCTION("GOOGLETRANSLATE(C934,""fr"",""en"")"),"-Put of 2 months after sending a complete file, the regulation of life insurance is still not done (while with Maaf everything was done in 2 weeks for the same death)!
-The tel number is not marked on papers!
-We managed to find their number but with ea"&amp;"ch call we receive a vague response.
As a professional in the organization of large companies, I very clearly perceive that Generali is very poorly organized and does not know how to use his information system. Customer reception is quite poor, moreover.")</f>
        <v>-Put of 2 months after sending a complete file, the regulation of life insurance is still not done (while with Maaf everything was done in 2 weeks for the same death)!
-The tel number is not marked on papers!
-We managed to find their number but with each call we receive a vague response.
As a professional in the organization of large companies, I very clearly perceive that Generali is very poorly organized and does not know how to use his information system. Customer reception is quite poor, moreover.</v>
      </c>
    </row>
    <row r="935" ht="15.75" customHeight="1">
      <c r="B935" s="2" t="s">
        <v>2622</v>
      </c>
      <c r="C935" s="2" t="s">
        <v>2623</v>
      </c>
      <c r="D935" s="2" t="s">
        <v>1569</v>
      </c>
      <c r="E935" s="2" t="s">
        <v>2007</v>
      </c>
      <c r="F935" s="2" t="s">
        <v>15</v>
      </c>
      <c r="G935" s="2" t="s">
        <v>2624</v>
      </c>
      <c r="H935" s="2" t="s">
        <v>335</v>
      </c>
      <c r="I935" s="2" t="str">
        <f>IFERROR(__xludf.DUMMYFUNCTION("GOOGLETRANSLATE(C935,""fr"",""en"")"),"Just like my home has been more than 8 years old that I have life insurance savings at Generali.
When I saw my advisor yesterday at 6.30 p.m., he showed me that my savings reached was much higher than that invested. Thank you and as I promise, I put good"&amp;" opinions for you !!")</f>
        <v>Just like my home has been more than 8 years old that I have life insurance savings at Generali.
When I saw my advisor yesterday at 6.30 p.m., he showed me that my savings reached was much higher than that invested. Thank you and as I promise, I put good opinions for you !!</v>
      </c>
    </row>
    <row r="936" ht="15.75" customHeight="1">
      <c r="B936" s="2" t="s">
        <v>2625</v>
      </c>
      <c r="C936" s="2" t="s">
        <v>2626</v>
      </c>
      <c r="D936" s="2" t="s">
        <v>1569</v>
      </c>
      <c r="E936" s="2" t="s">
        <v>2007</v>
      </c>
      <c r="F936" s="2" t="s">
        <v>15</v>
      </c>
      <c r="G936" s="2" t="s">
        <v>2627</v>
      </c>
      <c r="H936" s="2" t="s">
        <v>335</v>
      </c>
      <c r="I936" s="2" t="str">
        <f>IFERROR(__xludf.DUMMYFUNCTION("GOOGLETRANSLATE(C936,""fr"",""en"")"),"I am not happy because my dad had life insurance at Generali and during his death impossible to recover this one by providing all the papers. And I can't have anyone from home. I think you are doing this to recover the insurances so as not to have to reim"&amp;"burse them.")</f>
        <v>I am not happy because my dad had life insurance at Generali and during his death impossible to recover this one by providing all the papers. And I can't have anyone from home. I think you are doing this to recover the insurances so as not to have to reimburse them.</v>
      </c>
    </row>
    <row r="937" ht="15.75" customHeight="1">
      <c r="B937" s="2" t="s">
        <v>2628</v>
      </c>
      <c r="C937" s="2" t="s">
        <v>2629</v>
      </c>
      <c r="D937" s="2" t="s">
        <v>1569</v>
      </c>
      <c r="E937" s="2" t="s">
        <v>2007</v>
      </c>
      <c r="F937" s="2" t="s">
        <v>15</v>
      </c>
      <c r="G937" s="2" t="s">
        <v>2630</v>
      </c>
      <c r="H937" s="2" t="s">
        <v>572</v>
      </c>
      <c r="I937" s="2" t="str">
        <f>IFERROR(__xludf.DUMMYFUNCTION("GOOGLETRANSLATE(C937,""fr"",""en"")"),"Incompetent, not to entrust your life insurance portfolio in management piloted in Generali and this regardless of the option chosen. Having taken ""prudent"" 70 % in account units, when the scholarship (CAC 40) loses 17 % you lose 19 %, when the CAC 40 r"&amp;"esumes 16 % you do not even win 7 %, so whatever happens you are still loser except Generali and your bank. Dummies unable to guard against a drop, and load for an increase. A tracking line on CAC 40 index (only one line) would have done better. Do not en"&amp;"trust your savings to this organization.")</f>
        <v>Incompetent, not to entrust your life insurance portfolio in management piloted in Generali and this regardless of the option chosen. Having taken "prudent" 70 % in account units, when the scholarship (CAC 40) loses 17 % you lose 19 %, when the CAC 40 resumes 16 % you do not even win 7 %, so whatever happens you are still loser except Generali and your bank. Dummies unable to guard against a drop, and load for an increase. A tracking line on CAC 40 index (only one line) would have done better. Do not entrust your savings to this organization.</v>
      </c>
    </row>
    <row r="938" ht="15.75" customHeight="1">
      <c r="B938" s="2" t="s">
        <v>2631</v>
      </c>
      <c r="C938" s="2" t="s">
        <v>2632</v>
      </c>
      <c r="D938" s="2" t="s">
        <v>1569</v>
      </c>
      <c r="E938" s="2" t="s">
        <v>2007</v>
      </c>
      <c r="F938" s="2" t="s">
        <v>15</v>
      </c>
      <c r="G938" s="2" t="s">
        <v>2633</v>
      </c>
      <c r="H938" s="2" t="s">
        <v>27</v>
      </c>
      <c r="I938" s="2" t="str">
        <f>IFERROR(__xludf.DUMMYFUNCTION("GOOGLETRANSLATE(C938,""fr"",""en"")"),"My customer area has been hacked, generally clears up completely saying that it was my mailbox that was hacked! A flaw in their system. Money is not safe.
Has anyone had this kind of problem?")</f>
        <v>My customer area has been hacked, generally clears up completely saying that it was my mailbox that was hacked! A flaw in their system. Money is not safe.
Has anyone had this kind of problem?</v>
      </c>
    </row>
    <row r="939" ht="15.75" customHeight="1">
      <c r="B939" s="2" t="s">
        <v>2634</v>
      </c>
      <c r="C939" s="2" t="s">
        <v>2635</v>
      </c>
      <c r="D939" s="2" t="s">
        <v>1569</v>
      </c>
      <c r="E939" s="2" t="s">
        <v>2007</v>
      </c>
      <c r="F939" s="2" t="s">
        <v>15</v>
      </c>
      <c r="G939" s="2" t="s">
        <v>1287</v>
      </c>
      <c r="H939" s="2" t="s">
        <v>66</v>
      </c>
      <c r="I939" s="2" t="str">
        <f>IFERROR(__xludf.DUMMYFUNCTION("GOOGLETRANSLATE(C939,""fr"",""en"")"),"Too bad there is no zero star ..... in short life insurance sold as giving the right to tax reductions in Luxembourg, with a lot of interest blah blah, in the end stock market. Not only is it bad faith but we can squarely say it is carpet merchants
I str"&amp;"ongly advise against this damn anniversary that I leave this company")</f>
        <v>Too bad there is no zero star ..... in short life insurance sold as giving the right to tax reductions in Luxembourg, with a lot of interest blah blah, in the end stock market. Not only is it bad faith but we can squarely say it is carpet merchants
I strongly advise against this damn anniversary that I leave this company</v>
      </c>
    </row>
    <row r="940" ht="15.75" customHeight="1">
      <c r="B940" s="2" t="s">
        <v>2636</v>
      </c>
      <c r="C940" s="2" t="s">
        <v>2637</v>
      </c>
      <c r="D940" s="2" t="s">
        <v>1569</v>
      </c>
      <c r="E940" s="2" t="s">
        <v>2007</v>
      </c>
      <c r="F940" s="2" t="s">
        <v>15</v>
      </c>
      <c r="G940" s="2" t="s">
        <v>2638</v>
      </c>
      <c r="H940" s="2" t="s">
        <v>81</v>
      </c>
      <c r="I940" s="2" t="str">
        <f>IFERROR(__xludf.DUMMYFUNCTION("GOOGLETRANSLATE(C940,""fr"",""en"")"),"Bad to set up the contract that had trained for several weeks, this company confirms its level by practicing exorbitant management fees and a deplorable customer service as they do not answer questions asked by email but not more orally, on the phone . Th"&amp;"e advisor is saying to follow his hierarchy the questions he does not know how to answer, but she never provides the answer. I've been going to information on the unimaginable increase in management fees for 3 months (+ 80% from 2016 to 2017). Flee this c"&amp;"ompany!")</f>
        <v>Bad to set up the contract that had trained for several weeks, this company confirms its level by practicing exorbitant management fees and a deplorable customer service as they do not answer questions asked by email but not more orally, on the phone . The advisor is saying to follow his hierarchy the questions he does not know how to answer, but she never provides the answer. I've been going to information on the unimaginable increase in management fees for 3 months (+ 80% from 2016 to 2017). Flee this company!</v>
      </c>
    </row>
    <row r="941" ht="15.75" customHeight="1">
      <c r="B941" s="2" t="s">
        <v>2639</v>
      </c>
      <c r="C941" s="2" t="s">
        <v>2640</v>
      </c>
      <c r="D941" s="2" t="s">
        <v>1569</v>
      </c>
      <c r="E941" s="2" t="s">
        <v>2007</v>
      </c>
      <c r="F941" s="2" t="s">
        <v>15</v>
      </c>
      <c r="G941" s="2" t="s">
        <v>2641</v>
      </c>
      <c r="H941" s="2" t="s">
        <v>391</v>
      </c>
      <c r="I941" s="2" t="str">
        <f>IFERROR(__xludf.DUMMYFUNCTION("GOOGLETRANSLATE(C941,""fr"",""en"")"),"Catastrophic customer services for more than 10 minutes of waiting each time. A representative has passed to close my file to recover the money.
Documents not transmitted to the headquarters. Plusters in contact with the customer services, they always la"&amp;"ck a document (never received) .... to canvass they are very strong to pay much less. advice never set foot with them")</f>
        <v>Catastrophic customer services for more than 10 minutes of waiting each time. A representative has passed to close my file to recover the money.
Documents not transmitted to the headquarters. Plusters in contact with the customer services, they always lack a document (never received) .... to canvass they are very strong to pay much less. advice never set foot with them</v>
      </c>
    </row>
    <row r="942" ht="15.75" customHeight="1">
      <c r="B942" s="2" t="s">
        <v>2642</v>
      </c>
      <c r="C942" s="2" t="s">
        <v>2643</v>
      </c>
      <c r="D942" s="2" t="s">
        <v>1569</v>
      </c>
      <c r="E942" s="2" t="s">
        <v>2007</v>
      </c>
      <c r="F942" s="2" t="s">
        <v>15</v>
      </c>
      <c r="G942" s="2" t="s">
        <v>2644</v>
      </c>
      <c r="H942" s="2" t="s">
        <v>395</v>
      </c>
      <c r="I942" s="2" t="str">
        <f>IFERROR(__xludf.DUMMYFUNCTION("GOOGLETRANSLATE(C942,""fr"",""en"")"),"Death insurance lost to the backdrop subscribed in 2005, capital: € 2,000,000, expired: € 57 monthly, today, 13 years later: Capital: € 2,40,000, bonuses: € 200 monthly, I hastened to terminate this contract advised by My agent, certainly more interested "&amp;"in commissions than by his customers and took another identical to the GMF: guarantee: € 2,50,000, bonuses: € 70 monthly, look for the error!")</f>
        <v>Death insurance lost to the backdrop subscribed in 2005, capital: € 2,000,000, expired: € 57 monthly, today, 13 years later: Capital: € 2,40,000, bonuses: € 200 monthly, I hastened to terminate this contract advised by My agent, certainly more interested in commissions than by his customers and took another identical to the GMF: guarantee: € 2,50,000, bonuses: € 70 monthly, look for the error!</v>
      </c>
    </row>
    <row r="943" ht="15.75" customHeight="1">
      <c r="B943" s="2" t="s">
        <v>2645</v>
      </c>
      <c r="C943" s="2" t="s">
        <v>2646</v>
      </c>
      <c r="D943" s="2" t="s">
        <v>1569</v>
      </c>
      <c r="E943" s="2" t="s">
        <v>2007</v>
      </c>
      <c r="F943" s="2" t="s">
        <v>15</v>
      </c>
      <c r="G943" s="2" t="s">
        <v>2647</v>
      </c>
      <c r="H943" s="2" t="s">
        <v>409</v>
      </c>
      <c r="I943" s="2" t="str">
        <f>IFERROR(__xludf.DUMMYFUNCTION("GOOGLETRANSLATE(C943,""fr"",""en"")"),"Disherence life insurance no research")</f>
        <v>Disherence life insurance no research</v>
      </c>
    </row>
    <row r="944" ht="15.75" customHeight="1">
      <c r="B944" s="2" t="s">
        <v>2648</v>
      </c>
      <c r="C944" s="2" t="s">
        <v>2649</v>
      </c>
      <c r="D944" s="2" t="s">
        <v>1569</v>
      </c>
      <c r="E944" s="2" t="s">
        <v>2007</v>
      </c>
      <c r="F944" s="2" t="s">
        <v>15</v>
      </c>
      <c r="G944" s="2" t="s">
        <v>1001</v>
      </c>
      <c r="H944" s="2" t="s">
        <v>409</v>
      </c>
      <c r="I944" s="2" t="str">
        <f>IFERROR(__xludf.DUMMYFUNCTION("GOOGLETRANSLATE(C944,""fr"",""en"")"),"I have subscribed to savings insurance at Generali, it is impossible to recover my money. After 22 years of subscription, especially do not take this insurance !!!!!!!!!!!!!!!!!
I have subscribed to savings insurance at Generali, it is impossible to reco"&amp;"ver my money. After 22 years of subscription, especially do not take this insurance !!!!!!!")</f>
        <v>I have subscribed to savings insurance at Generali, it is impossible to recover my money. After 22 years of subscription, especially do not take this insurance !!!!!!!!!!!!!!!!!
I have subscribed to savings insurance at Generali, it is impossible to recover my money. After 22 years of subscription, especially do not take this insurance !!!!!!!</v>
      </c>
    </row>
    <row r="945" ht="15.75" customHeight="1">
      <c r="B945" s="2" t="s">
        <v>2650</v>
      </c>
      <c r="C945" s="2" t="s">
        <v>2651</v>
      </c>
      <c r="D945" s="2" t="s">
        <v>1569</v>
      </c>
      <c r="E945" s="2" t="s">
        <v>2007</v>
      </c>
      <c r="F945" s="2" t="s">
        <v>15</v>
      </c>
      <c r="G945" s="2" t="s">
        <v>91</v>
      </c>
      <c r="H945" s="2" t="s">
        <v>92</v>
      </c>
      <c r="I945" s="2" t="str">
        <f>IFERROR(__xludf.DUMMYFUNCTION("GOOGLETRANSLATE(C945,""fr"",""en"")"),"Life insurance ""free capitalization"" subscribed in 1999.
Liquidation request to finance a purchase on September 19, 2017.
LRAR on October 26 Acknowledges on October 31.
Email with responses by ROBOT URN 0240 0100 5100 0014 6640 on 01/11/17.
Monday, "&amp;"November 13, still no news: neither mail, nor such., nor message.
Jacques Sempé
Ref Customer 11.703")</f>
        <v>Life insurance "free capitalization" subscribed in 1999.
Liquidation request to finance a purchase on September 19, 2017.
LRAR on October 26 Acknowledges on October 31.
Email with responses by ROBOT URN 0240 0100 5100 0014 6640 on 01/11/17.
Monday, November 13, still no news: neither mail, nor such., nor message.
Jacques Sempé
Ref Customer 11.703</v>
      </c>
    </row>
    <row r="946" ht="15.75" customHeight="1">
      <c r="B946" s="2" t="s">
        <v>2652</v>
      </c>
      <c r="C946" s="2" t="s">
        <v>2653</v>
      </c>
      <c r="D946" s="2" t="s">
        <v>1569</v>
      </c>
      <c r="E946" s="2" t="s">
        <v>2007</v>
      </c>
      <c r="F946" s="2" t="s">
        <v>15</v>
      </c>
      <c r="G946" s="2" t="s">
        <v>2654</v>
      </c>
      <c r="H946" s="2" t="s">
        <v>120</v>
      </c>
      <c r="I946" s="2" t="str">
        <f>IFERROR(__xludf.DUMMYFUNCTION("GOOGLETRANSLATE(C946,""fr"",""en"")"),"Generali: The notarial study which manages this life insurance subscribed by my mother who have been deceased for nine months is faced with systematic slowness: three months to obtain information on the dates of payments and others necessary for the proce"&amp;"ssing of the file and the obtaining of 'A person of taxes ... Then total silence, no progress of the file, the recommended letters sent by the study follow one another, then intervention of a bailiff for summation etc. No cooperation of the customer manag"&amp;"er.
Total lack of skills or bad will ...?
Do not invite to recommend, rather to contact consumer associations and to make items in newspapers. Very bad impression. We are still awaiting the payment of the sums due, to which should be added late penaltie"&amp;"s.
")</f>
        <v>Generali: The notarial study which manages this life insurance subscribed by my mother who have been deceased for nine months is faced with systematic slowness: three months to obtain information on the dates of payments and others necessary for the processing of the file and the obtaining of 'A person of taxes ... Then total silence, no progress of the file, the recommended letters sent by the study follow one another, then intervention of a bailiff for summation etc. No cooperation of the customer manager.
Total lack of skills or bad will ...?
Do not invite to recommend, rather to contact consumer associations and to make items in newspapers. Very bad impression. We are still awaiting the payment of the sums due, to which should be added late penalties.
</v>
      </c>
    </row>
    <row r="947" ht="15.75" customHeight="1">
      <c r="B947" s="2" t="s">
        <v>2655</v>
      </c>
      <c r="C947" s="2" t="s">
        <v>2656</v>
      </c>
      <c r="D947" s="2" t="s">
        <v>1569</v>
      </c>
      <c r="E947" s="2" t="s">
        <v>2007</v>
      </c>
      <c r="F947" s="2" t="s">
        <v>15</v>
      </c>
      <c r="G947" s="2" t="s">
        <v>2657</v>
      </c>
      <c r="H947" s="2" t="s">
        <v>460</v>
      </c>
      <c r="I947" s="2" t="str">
        <f>IFERROR(__xludf.DUMMYFUNCTION("GOOGLETRANSLATE(C947,""fr"",""en"")"),"A galley to make a partial withdrawal on a contract we phone we are told it is turning on Friday we look on the account no transfer we retelephone we say the transfer left Monday to be more confirmed I retelephone the same day we tell me your Transfer lea"&amp;"ves on Wednesday and in addition my insurer tells me it is necessary to count between 8 to 10 play we are far")</f>
        <v>A galley to make a partial withdrawal on a contract we phone we are told it is turning on Friday we look on the account no transfer we retelephone we say the transfer left Monday to be more confirmed I retelephone the same day we tell me your Transfer leaves on Wednesday and in addition my insurer tells me it is necessary to count between 8 to 10 play we are far</v>
      </c>
    </row>
    <row r="948" ht="15.75" customHeight="1">
      <c r="B948" s="2" t="s">
        <v>2658</v>
      </c>
      <c r="C948" s="2" t="s">
        <v>2659</v>
      </c>
      <c r="D948" s="2" t="s">
        <v>1569</v>
      </c>
      <c r="E948" s="2" t="s">
        <v>2007</v>
      </c>
      <c r="F948" s="2" t="s">
        <v>15</v>
      </c>
      <c r="G948" s="2" t="s">
        <v>2587</v>
      </c>
      <c r="H948" s="2" t="s">
        <v>836</v>
      </c>
      <c r="I948" s="2" t="str">
        <f>IFERROR(__xludf.DUMMYFUNCTION("GOOGLETRANSLATE(C948,""fr"",""en"")"),"Exorbitant costs, so I bought my contract before 8 years old and I lost a lot of money. I had a lot of contracts with them. I will remove everything")</f>
        <v>Exorbitant costs, so I bought my contract before 8 years old and I lost a lot of money. I had a lot of contracts with them. I will remove everything</v>
      </c>
    </row>
    <row r="949" ht="15.75" customHeight="1">
      <c r="B949" s="2" t="s">
        <v>2660</v>
      </c>
      <c r="C949" s="2" t="s">
        <v>2661</v>
      </c>
      <c r="D949" s="2" t="s">
        <v>1569</v>
      </c>
      <c r="E949" s="2" t="s">
        <v>2007</v>
      </c>
      <c r="F949" s="2" t="s">
        <v>15</v>
      </c>
      <c r="G949" s="2" t="s">
        <v>2662</v>
      </c>
      <c r="H949" s="2" t="s">
        <v>469</v>
      </c>
      <c r="I949" s="2" t="str">
        <f>IFERROR(__xludf.DUMMYFUNCTION("GOOGLETRANSLATE(C949,""fr"",""en"")"),"Following the death of my grandmother, I have the impression that Generali finds all the pretexts so as not to unlock the funds while the file has been complete for more than a month.")</f>
        <v>Following the death of my grandmother, I have the impression that Generali finds all the pretexts so as not to unlock the funds while the file has been complete for more than a month.</v>
      </c>
    </row>
    <row r="950" ht="15.75" customHeight="1">
      <c r="B950" s="2" t="s">
        <v>2663</v>
      </c>
      <c r="C950" s="2" t="s">
        <v>2664</v>
      </c>
      <c r="D950" s="2" t="s">
        <v>1569</v>
      </c>
      <c r="E950" s="2" t="s">
        <v>2007</v>
      </c>
      <c r="F950" s="2" t="s">
        <v>15</v>
      </c>
      <c r="G950" s="2" t="s">
        <v>145</v>
      </c>
      <c r="H950" s="2" t="s">
        <v>145</v>
      </c>
      <c r="I950" s="2" t="str">
        <f>IFERROR(__xludf.DUMMYFUNCTION("GOOGLETRANSLATE(C950,""fr"",""en"")"),"Hello, I subscribed in 2012 to the retirement contract from Generali. In October 2016 Generali sent a letter of contract modification impossible to understand.
They unilaterally decided to modify the scale of the conversion rate and of course to their ad"&amp;"vantage!
I asked by writing, by phone concrete explanations, after 40 days of waiting without any response ... I decided to transfer my contract.
It is just unacceptable to have no customer service to meet our expectations.
")</f>
        <v>Hello, I subscribed in 2012 to the retirement contract from Generali. In October 2016 Generali sent a letter of contract modification impossible to understand.
They unilaterally decided to modify the scale of the conversion rate and of course to their advantage!
I asked by writing, by phone concrete explanations, after 40 days of waiting without any response ... I decided to transfer my contract.
It is just unacceptable to have no customer service to meet our expectations.
</v>
      </c>
    </row>
    <row r="951" ht="15.75" customHeight="1">
      <c r="B951" s="2" t="s">
        <v>2665</v>
      </c>
      <c r="C951" s="2" t="s">
        <v>2666</v>
      </c>
      <c r="D951" s="2" t="s">
        <v>2667</v>
      </c>
      <c r="E951" s="2" t="s">
        <v>2668</v>
      </c>
      <c r="F951" s="2" t="s">
        <v>15</v>
      </c>
      <c r="G951" s="2" t="s">
        <v>2669</v>
      </c>
      <c r="H951" s="2" t="s">
        <v>164</v>
      </c>
      <c r="I951" s="2" t="str">
        <f>IFERROR(__xludf.DUMMYFUNCTION("GOOGLETRANSLATE(C951,""fr"",""en"")"),"The duration of the transfer of additional salary should be shorter 10/12 working days is very long, especially when you have bankruptcy deadlines cordially")</f>
        <v>The duration of the transfer of additional salary should be shorter 10/12 working days is very long, especially when you have bankruptcy deadlines cordially</v>
      </c>
    </row>
    <row r="952" ht="15.75" customHeight="1">
      <c r="B952" s="2" t="s">
        <v>2670</v>
      </c>
      <c r="C952" s="2" t="s">
        <v>2671</v>
      </c>
      <c r="D952" s="2" t="s">
        <v>2667</v>
      </c>
      <c r="E952" s="2" t="s">
        <v>2668</v>
      </c>
      <c r="F952" s="2" t="s">
        <v>15</v>
      </c>
      <c r="G952" s="2" t="s">
        <v>1978</v>
      </c>
      <c r="H952" s="2" t="s">
        <v>160</v>
      </c>
      <c r="I952" s="2" t="str">
        <f>IFERROR(__xludf.DUMMYFUNCTION("GOOGLETRANSLATE(C952,""fr"",""en"")"),"Customer service can be easily reached. He is responsive and attentive. The online procedures are fast and simple.
I recommend this insurance.
")</f>
        <v>Customer service can be easily reached. He is responsive and attentive. The online procedures are fast and simple.
I recommend this insurance.
</v>
      </c>
    </row>
    <row r="953" ht="15.75" customHeight="1">
      <c r="B953" s="2" t="s">
        <v>2672</v>
      </c>
      <c r="C953" s="2" t="s">
        <v>2673</v>
      </c>
      <c r="D953" s="2" t="s">
        <v>2667</v>
      </c>
      <c r="E953" s="2" t="s">
        <v>2668</v>
      </c>
      <c r="F953" s="2" t="s">
        <v>15</v>
      </c>
      <c r="G953" s="2" t="s">
        <v>1978</v>
      </c>
      <c r="H953" s="2" t="s">
        <v>153</v>
      </c>
      <c r="I953" s="2" t="str">
        <f>IFERROR(__xludf.DUMMYFUNCTION("GOOGLETRANSLATE(C953,""fr"",""en"")"),"I am very satisfied with my contracts with the MGP. Also satisfied with my loss of salary insurance. Registration and management on the MGP site is rapid, the processing of requests is also made quickly. When I have to contact an advisor, the wait is real"&amp;"ly not long and I immediately get an answer.")</f>
        <v>I am very satisfied with my contracts with the MGP. Also satisfied with my loss of salary insurance. Registration and management on the MGP site is rapid, the processing of requests is also made quickly. When I have to contact an advisor, the wait is really not long and I immediately get an answer.</v>
      </c>
    </row>
    <row r="954" ht="15.75" customHeight="1">
      <c r="B954" s="2" t="s">
        <v>2674</v>
      </c>
      <c r="C954" s="2" t="s">
        <v>2675</v>
      </c>
      <c r="D954" s="2" t="s">
        <v>2667</v>
      </c>
      <c r="E954" s="2" t="s">
        <v>2668</v>
      </c>
      <c r="F954" s="2" t="s">
        <v>15</v>
      </c>
      <c r="G954" s="2" t="s">
        <v>619</v>
      </c>
      <c r="H954" s="2" t="s">
        <v>160</v>
      </c>
      <c r="I954" s="2" t="str">
        <f>IFERROR(__xludf.DUMMYFUNCTION("GOOGLETRANSLATE(C954,""fr"",""en"")"),"Hello. Thank you to the whole MGP team, for their responsiveness, their kindness and their professionalism. I am currently on long illness leave with 3 children, and the MGP has always assisted me and has been very reactive as to the payment of loss of sa"&amp;"lary. A keen thank you to all of you, fortunately you are there, for us in the moments of hard blows. Thank you so much !")</f>
        <v>Hello. Thank you to the whole MGP team, for their responsiveness, their kindness and their professionalism. I am currently on long illness leave with 3 children, and the MGP has always assisted me and has been very reactive as to the payment of loss of salary. A keen thank you to all of you, fortunately you are there, for us in the moments of hard blows. Thank you so much !</v>
      </c>
    </row>
    <row r="955" ht="15.75" customHeight="1">
      <c r="B955" s="2" t="s">
        <v>2676</v>
      </c>
      <c r="C955" s="2" t="s">
        <v>2677</v>
      </c>
      <c r="D955" s="2" t="s">
        <v>2667</v>
      </c>
      <c r="E955" s="2" t="s">
        <v>2668</v>
      </c>
      <c r="F955" s="2" t="s">
        <v>15</v>
      </c>
      <c r="G955" s="2" t="s">
        <v>480</v>
      </c>
      <c r="H955" s="2" t="s">
        <v>160</v>
      </c>
      <c r="I955" s="2" t="str">
        <f>IFERROR(__xludf.DUMMYFUNCTION("GOOGLETRANSLATE(C955,""fr"",""en"")"),"Very good advisor for my telephone interview on today around 3:00 p.m.
You can offer him an increase because this lady is very professional!
Teddy Pabion.")</f>
        <v>Very good advisor for my telephone interview on today around 3:00 p.m.
You can offer him an increase because this lady is very professional!
Teddy Pabion.</v>
      </c>
    </row>
    <row r="956" ht="15.75" customHeight="1">
      <c r="B956" s="2" t="s">
        <v>2678</v>
      </c>
      <c r="C956" s="2" t="s">
        <v>2679</v>
      </c>
      <c r="D956" s="2" t="s">
        <v>2667</v>
      </c>
      <c r="E956" s="2" t="s">
        <v>2668</v>
      </c>
      <c r="F956" s="2" t="s">
        <v>15</v>
      </c>
      <c r="G956" s="2" t="s">
        <v>1336</v>
      </c>
      <c r="H956" s="2" t="s">
        <v>160</v>
      </c>
      <c r="I956" s="2" t="str">
        <f>IFERROR(__xludf.DUMMYFUNCTION("GOOGLETRANSLATE(C956,""fr"",""en"")"),"File treated within 15 days, which is rather fast. Each telephone call for information or to follow the progress of the file has passed well. Listening staff and wishing to inform as best as possible.")</f>
        <v>File treated within 15 days, which is rather fast. Each telephone call for information or to follow the progress of the file has passed well. Listening staff and wishing to inform as best as possible.</v>
      </c>
    </row>
    <row r="957" ht="15.75" customHeight="1">
      <c r="B957" s="2" t="s">
        <v>2680</v>
      </c>
      <c r="C957" s="2" t="s">
        <v>2681</v>
      </c>
      <c r="D957" s="2" t="s">
        <v>2667</v>
      </c>
      <c r="E957" s="2" t="s">
        <v>2668</v>
      </c>
      <c r="F957" s="2" t="s">
        <v>15</v>
      </c>
      <c r="G957" s="2" t="s">
        <v>2682</v>
      </c>
      <c r="H957" s="2" t="s">
        <v>160</v>
      </c>
      <c r="I957" s="2" t="str">
        <f>IFERROR(__xludf.DUMMYFUNCTION("GOOGLETRANSLATE(C957,""fr"",""en"")"),"Too bad the amount of contributions to double in 2-3 years which is a little incomprehensible. Especially since we don't know why no explanation is nothing.
There was a bug throughout the summer which means that we were paying 3 weeks later, not easy to "&amp;"manage when we have a large family.
Otherwise overall the MGP does its job I always received my refunds.
Cordially")</f>
        <v>Too bad the amount of contributions to double in 2-3 years which is a little incomprehensible. Especially since we don't know why no explanation is nothing.
There was a bug throughout the summer which means that we were paying 3 weeks later, not easy to manage when we have a large family.
Otherwise overall the MGP does its job I always received my refunds.
Cordially</v>
      </c>
    </row>
    <row r="958" ht="15.75" customHeight="1">
      <c r="B958" s="2" t="s">
        <v>2683</v>
      </c>
      <c r="C958" s="2" t="s">
        <v>2684</v>
      </c>
      <c r="D958" s="2" t="s">
        <v>2667</v>
      </c>
      <c r="E958" s="2" t="s">
        <v>2668</v>
      </c>
      <c r="F958" s="2" t="s">
        <v>15</v>
      </c>
      <c r="G958" s="2" t="s">
        <v>1355</v>
      </c>
      <c r="H958" s="2" t="s">
        <v>160</v>
      </c>
      <c r="I958" s="2" t="str">
        <f>IFERROR(__xludf.DUMMYFUNCTION("GOOGLETRANSLATE(C958,""fr"",""en"")"),"Very professional insurance mutual with advisers always listening ?? I very strongly recommend to all my colleagues from the Ministry of the Interior and the police in general, the MGP")</f>
        <v>Very professional insurance mutual with advisers always listening ?? I very strongly recommend to all my colleagues from the Ministry of the Interior and the police in general, the MGP</v>
      </c>
    </row>
    <row r="959" ht="15.75" customHeight="1">
      <c r="B959" s="2" t="s">
        <v>2685</v>
      </c>
      <c r="C959" s="2" t="s">
        <v>2686</v>
      </c>
      <c r="D959" s="2" t="s">
        <v>2667</v>
      </c>
      <c r="E959" s="2" t="s">
        <v>2668</v>
      </c>
      <c r="F959" s="2" t="s">
        <v>15</v>
      </c>
      <c r="G959" s="2" t="s">
        <v>2687</v>
      </c>
      <c r="H959" s="2" t="s">
        <v>481</v>
      </c>
      <c r="I959" s="2" t="str">
        <f>IFERROR(__xludf.DUMMYFUNCTION("GOOGLETRANSLATE(C959,""fr"",""en"")"),"I am very satisfied with the management of my provident file. The proposal was in accordance with my needs, and the management of the effective and rapid ""claim"".")</f>
        <v>I am very satisfied with the management of my provident file. The proposal was in accordance with my needs, and the management of the effective and rapid "claim".</v>
      </c>
    </row>
    <row r="960" ht="15.75" customHeight="1">
      <c r="B960" s="2" t="s">
        <v>2688</v>
      </c>
      <c r="C960" s="2" t="s">
        <v>2689</v>
      </c>
      <c r="D960" s="2" t="s">
        <v>2667</v>
      </c>
      <c r="E960" s="2" t="s">
        <v>2668</v>
      </c>
      <c r="F960" s="2" t="s">
        <v>15</v>
      </c>
      <c r="G960" s="2" t="s">
        <v>625</v>
      </c>
      <c r="H960" s="2" t="s">
        <v>481</v>
      </c>
      <c r="I960" s="2" t="str">
        <f>IFERROR(__xludf.DUMMYFUNCTION("GOOGLETRANSLATE(C960,""fr"",""en"")"),"I am on long -term leave. I send my pay slip every month as part of my treatment additional treatment. An advisor called me this July to tell me that my salary slip did not appear as an attachment. Indeed I was using the MGP website. The latter advised me"&amp;" to take my steps via the mobile application, which I did not know. Since then I only use the application, and in addition it is very simple to follow your CGSS and mutual repayments among others. Thank you for facilitating the various steps with the mobi"&amp;"le application.")</f>
        <v>I am on long -term leave. I send my pay slip every month as part of my treatment additional treatment. An advisor called me this July to tell me that my salary slip did not appear as an attachment. Indeed I was using the MGP website. The latter advised me to take my steps via the mobile application, which I did not know. Since then I only use the application, and in addition it is very simple to follow your CGSS and mutual repayments among others. Thank you for facilitating the various steps with the mobile application.</v>
      </c>
    </row>
    <row r="961" ht="15.75" customHeight="1">
      <c r="B961" s="2" t="s">
        <v>2690</v>
      </c>
      <c r="C961" s="2" t="s">
        <v>2691</v>
      </c>
      <c r="D961" s="2" t="s">
        <v>2667</v>
      </c>
      <c r="E961" s="2" t="s">
        <v>2668</v>
      </c>
      <c r="F961" s="2" t="s">
        <v>15</v>
      </c>
      <c r="G961" s="2" t="s">
        <v>855</v>
      </c>
      <c r="H961" s="2" t="s">
        <v>164</v>
      </c>
      <c r="I961" s="2" t="str">
        <f>IFERROR(__xludf.DUMMYFUNCTION("GOOGLETRANSLATE(C961,""fr"",""en"")"),"Overall, delighted with this provident, the quality/price ratio is completely suitable.
The downsides are the waiting time during telephone call, and a follow -up of requests on the site not precise enough for my taste. Otherwise always satisfied and alw"&amp;"ays pleasantly welcomed and listened to by all the employees of the MGP.MA General satisfaction means that I regularly recommend the MGP.")</f>
        <v>Overall, delighted with this provident, the quality/price ratio is completely suitable.
The downsides are the waiting time during telephone call, and a follow -up of requests on the site not precise enough for my taste. Otherwise always satisfied and always pleasantly welcomed and listened to by all the employees of the MGP.MA General satisfaction means that I regularly recommend the MGP.</v>
      </c>
    </row>
    <row r="962" ht="15.75" customHeight="1">
      <c r="B962" s="2" t="s">
        <v>2692</v>
      </c>
      <c r="C962" s="2" t="s">
        <v>2693</v>
      </c>
      <c r="D962" s="2" t="s">
        <v>2667</v>
      </c>
      <c r="E962" s="2" t="s">
        <v>2668</v>
      </c>
      <c r="F962" s="2" t="s">
        <v>15</v>
      </c>
      <c r="G962" s="2" t="s">
        <v>2694</v>
      </c>
      <c r="H962" s="2" t="s">
        <v>164</v>
      </c>
      <c r="I962" s="2" t="str">
        <f>IFERROR(__xludf.DUMMYFUNCTION("GOOGLETRANSLATE(C962,""fr"",""en"")"),"The interlocutor was very responsive and competent.
I had the information requested quickly.
I have not currently had to benefit from the services of my provident insurance.")</f>
        <v>The interlocutor was very responsive and competent.
I had the information requested quickly.
I have not currently had to benefit from the services of my provident insurance.</v>
      </c>
    </row>
    <row r="963" ht="15.75" customHeight="1">
      <c r="B963" s="2" t="s">
        <v>2695</v>
      </c>
      <c r="C963" s="2" t="s">
        <v>2696</v>
      </c>
      <c r="D963" s="2" t="s">
        <v>2667</v>
      </c>
      <c r="E963" s="2" t="s">
        <v>2668</v>
      </c>
      <c r="F963" s="2" t="s">
        <v>15</v>
      </c>
      <c r="G963" s="2" t="s">
        <v>1480</v>
      </c>
      <c r="H963" s="2" t="s">
        <v>496</v>
      </c>
      <c r="I963" s="2" t="str">
        <f>IFERROR(__xludf.DUMMYFUNCTION("GOOGLETRANSLATE(C963,""fr"",""en"")"),"Had I always been satisfied with the MGP? I recommend it to everyone.
Member of the mutual of the national police for over 50 years (February 1971) I have never regretted my chosen.")</f>
        <v>Had I always been satisfied with the MGP? I recommend it to everyone.
Member of the mutual of the national police for over 50 years (February 1971) I have never regretted my chosen.</v>
      </c>
    </row>
    <row r="964" ht="15.75" customHeight="1">
      <c r="B964" s="2" t="s">
        <v>2697</v>
      </c>
      <c r="C964" s="2" t="s">
        <v>2698</v>
      </c>
      <c r="D964" s="2" t="s">
        <v>2667</v>
      </c>
      <c r="E964" s="2" t="s">
        <v>2668</v>
      </c>
      <c r="F964" s="2" t="s">
        <v>15</v>
      </c>
      <c r="G964" s="2" t="s">
        <v>1480</v>
      </c>
      <c r="H964" s="2" t="s">
        <v>496</v>
      </c>
      <c r="I964" s="2" t="str">
        <f>IFERROR(__xludf.DUMMYFUNCTION("GOOGLETRANSLATE(C964,""fr"",""en"")"),"I have a basic warranty so I don't pay expensive, in addition I have no children, but that is more than enough when you have no pathology or particular health problem. Insured up to what I am going for cheap")</f>
        <v>I have a basic warranty so I don't pay expensive, in addition I have no children, but that is more than enough when you have no pathology or particular health problem. Insured up to what I am going for cheap</v>
      </c>
    </row>
    <row r="965" ht="15.75" customHeight="1">
      <c r="B965" s="2" t="s">
        <v>2699</v>
      </c>
      <c r="C965" s="2" t="s">
        <v>2700</v>
      </c>
      <c r="D965" s="2" t="s">
        <v>2667</v>
      </c>
      <c r="E965" s="2" t="s">
        <v>2668</v>
      </c>
      <c r="F965" s="2" t="s">
        <v>15</v>
      </c>
      <c r="G965" s="2" t="s">
        <v>1487</v>
      </c>
      <c r="H965" s="2" t="s">
        <v>179</v>
      </c>
      <c r="I965" s="2" t="str">
        <f>IFERROR(__xludf.DUMMYFUNCTION("GOOGLETRANSLATE(C965,""fr"",""en"")"),"Inevitably we would always like to pay less, but I am completely satisfied with your services and especially your reactive and really pleasant customer service with each contact")</f>
        <v>Inevitably we would always like to pay less, but I am completely satisfied with your services and especially your reactive and really pleasant customer service with each contact</v>
      </c>
    </row>
    <row r="966" ht="15.75" customHeight="1">
      <c r="B966" s="2" t="s">
        <v>2701</v>
      </c>
      <c r="C966" s="2" t="s">
        <v>2702</v>
      </c>
      <c r="D966" s="2" t="s">
        <v>2667</v>
      </c>
      <c r="E966" s="2" t="s">
        <v>2668</v>
      </c>
      <c r="F966" s="2" t="s">
        <v>15</v>
      </c>
      <c r="G966" s="2" t="s">
        <v>1487</v>
      </c>
      <c r="H966" s="2" t="s">
        <v>179</v>
      </c>
      <c r="I966" s="2" t="str">
        <f>IFERROR(__xludf.DUMMYFUNCTION("GOOGLETRANSLATE(C966,""fr"",""en"")"),"I am completely satisfied, fast and efficient! The advisers are attentive and quickly meet our needs! The price of the subscription is correct for the multitudes of services offered.
")</f>
        <v>I am completely satisfied, fast and efficient! The advisers are attentive and quickly meet our needs! The price of the subscription is correct for the multitudes of services offered.
</v>
      </c>
    </row>
    <row r="967" ht="15.75" customHeight="1">
      <c r="B967" s="2" t="s">
        <v>2703</v>
      </c>
      <c r="C967" s="2" t="s">
        <v>2704</v>
      </c>
      <c r="D967" s="2" t="s">
        <v>2667</v>
      </c>
      <c r="E967" s="2" t="s">
        <v>2668</v>
      </c>
      <c r="F967" s="2" t="s">
        <v>15</v>
      </c>
      <c r="G967" s="2" t="s">
        <v>182</v>
      </c>
      <c r="H967" s="2" t="s">
        <v>179</v>
      </c>
      <c r="I967" s="2" t="str">
        <f>IFERROR(__xludf.DUMMYFUNCTION("GOOGLETRANSLATE(C967,""fr"",""en"")"),"Very welcome mgp super thank you all need mgp
 I accuse your social security certificate as well as that of your spouse. .
Best regards")</f>
        <v>Very welcome mgp super thank you all need mgp
 I accuse your social security certificate as well as that of your spouse. .
Best regards</v>
      </c>
    </row>
    <row r="968" ht="15.75" customHeight="1">
      <c r="B968" s="2" t="s">
        <v>2705</v>
      </c>
      <c r="C968" s="2" t="s">
        <v>2706</v>
      </c>
      <c r="D968" s="2" t="s">
        <v>2667</v>
      </c>
      <c r="E968" s="2" t="s">
        <v>2668</v>
      </c>
      <c r="F968" s="2" t="s">
        <v>15</v>
      </c>
      <c r="G968" s="2" t="s">
        <v>182</v>
      </c>
      <c r="H968" s="2" t="s">
        <v>179</v>
      </c>
      <c r="I968" s="2" t="str">
        <f>IFERROR(__xludf.DUMMYFUNCTION("GOOGLETRANSLATE(C968,""fr"",""en"")"),"Quick phone advisor
Kind and reactive
Payment of fast medical costs
Simplicity of contact and treatments
I recommend the MGP")</f>
        <v>Quick phone advisor
Kind and reactive
Payment of fast medical costs
Simplicity of contact and treatments
I recommend the MGP</v>
      </c>
    </row>
    <row r="969" ht="15.75" customHeight="1">
      <c r="B969" s="2" t="s">
        <v>2707</v>
      </c>
      <c r="C969" s="2" t="s">
        <v>2708</v>
      </c>
      <c r="D969" s="2" t="s">
        <v>2667</v>
      </c>
      <c r="E969" s="2" t="s">
        <v>2668</v>
      </c>
      <c r="F969" s="2" t="s">
        <v>15</v>
      </c>
      <c r="G969" s="2" t="s">
        <v>1490</v>
      </c>
      <c r="H969" s="2" t="s">
        <v>179</v>
      </c>
      <c r="I969" s="2" t="str">
        <f>IFERROR(__xludf.DUMMYFUNCTION("GOOGLETRANSLATE(C969,""fr"",""en"")"),"Available and competent staff, waiting time on the phone very correct.
The MGP website is well designed and fairly simple to use.
Regarding quotes, sometimes clear health is a bit long.")</f>
        <v>Available and competent staff, waiting time on the phone very correct.
The MGP website is well designed and fairly simple to use.
Regarding quotes, sometimes clear health is a bit long.</v>
      </c>
    </row>
    <row r="970" ht="15.75" customHeight="1">
      <c r="B970" s="2" t="s">
        <v>2709</v>
      </c>
      <c r="C970" s="2" t="s">
        <v>2710</v>
      </c>
      <c r="D970" s="2" t="s">
        <v>2667</v>
      </c>
      <c r="E970" s="2" t="s">
        <v>2668</v>
      </c>
      <c r="F970" s="2" t="s">
        <v>15</v>
      </c>
      <c r="G970" s="2" t="s">
        <v>1490</v>
      </c>
      <c r="H970" s="2" t="s">
        <v>179</v>
      </c>
      <c r="I970" s="2" t="str">
        <f>IFERROR(__xludf.DUMMYFUNCTION("GOOGLETRANSLATE(C970,""fr"",""en"")"),"Very good inter action
 In Pue advises me as I wanted
Answers as soon as possible
Total satisfaction of the telephone exchange")</f>
        <v>Very good inter action
 In Pue advises me as I wanted
Answers as soon as possible
Total satisfaction of the telephone exchange</v>
      </c>
    </row>
    <row r="971" ht="15.75" customHeight="1">
      <c r="B971" s="2" t="s">
        <v>2711</v>
      </c>
      <c r="C971" s="2" t="s">
        <v>2712</v>
      </c>
      <c r="D971" s="2" t="s">
        <v>2667</v>
      </c>
      <c r="E971" s="2" t="s">
        <v>2668</v>
      </c>
      <c r="F971" s="2" t="s">
        <v>15</v>
      </c>
      <c r="G971" s="2" t="s">
        <v>1498</v>
      </c>
      <c r="H971" s="2" t="s">
        <v>179</v>
      </c>
      <c r="I971" s="2" t="str">
        <f>IFERROR(__xludf.DUMMYFUNCTION("GOOGLETRANSLATE(C971,""fr"",""en"")"),"Very professional and serious for almost 10 years that I have been thank you MGP I highly recommend it to everyone. As soon as reimbursement is made on time")</f>
        <v>Very professional and serious for almost 10 years that I have been thank you MGP I highly recommend it to everyone. As soon as reimbursement is made on time</v>
      </c>
    </row>
    <row r="972" ht="15.75" customHeight="1">
      <c r="B972" s="2" t="s">
        <v>2713</v>
      </c>
      <c r="C972" s="2" t="s">
        <v>2714</v>
      </c>
      <c r="D972" s="2" t="s">
        <v>2667</v>
      </c>
      <c r="E972" s="2" t="s">
        <v>2668</v>
      </c>
      <c r="F972" s="2" t="s">
        <v>15</v>
      </c>
      <c r="G972" s="2" t="s">
        <v>1498</v>
      </c>
      <c r="H972" s="2" t="s">
        <v>179</v>
      </c>
      <c r="I972" s="2" t="str">
        <f>IFERROR(__xludf.DUMMYFUNCTION("GOOGLETRANSLATE(C972,""fr"",""en"")"),"Hello
Regarding the mutual prices seem reasonable but some reimbursements are still unimportant such as orthodonties
Glasses or orthopedic soles.")</f>
        <v>Hello
Regarding the mutual prices seem reasonable but some reimbursements are still unimportant such as orthodonties
Glasses or orthopedic soles.</v>
      </c>
    </row>
    <row r="973" ht="15.75" customHeight="1">
      <c r="B973" s="2" t="s">
        <v>2715</v>
      </c>
      <c r="C973" s="2" t="s">
        <v>2716</v>
      </c>
      <c r="D973" s="2" t="s">
        <v>2667</v>
      </c>
      <c r="E973" s="2" t="s">
        <v>2668</v>
      </c>
      <c r="F973" s="2" t="s">
        <v>15</v>
      </c>
      <c r="G973" s="2" t="s">
        <v>188</v>
      </c>
      <c r="H973" s="2" t="s">
        <v>179</v>
      </c>
      <c r="I973" s="2" t="str">
        <f>IFERROR(__xludf.DUMMYFUNCTION("GOOGLETRANSLATE(C973,""fr"",""en"")"),"Not well reimbursed, too expensive and too long reimbursement time.
In addition in 2021, most of the mutuals reimburse the day of deficiency the interior mutual police also reimburses him and many agents are attentive to this request when the MGP will it"&amp;" modernize?
Have a good day")</f>
        <v>Not well reimbursed, too expensive and too long reimbursement time.
In addition in 2021, most of the mutuals reimburse the day of deficiency the interior mutual police also reimburses him and many agents are attentive to this request when the MGP will it modernize?
Have a good day</v>
      </c>
    </row>
    <row r="974" ht="15.75" customHeight="1">
      <c r="B974" s="2" t="s">
        <v>2717</v>
      </c>
      <c r="C974" s="2" t="s">
        <v>2718</v>
      </c>
      <c r="D974" s="2" t="s">
        <v>2667</v>
      </c>
      <c r="E974" s="2" t="s">
        <v>2668</v>
      </c>
      <c r="F974" s="2" t="s">
        <v>15</v>
      </c>
      <c r="G974" s="2" t="s">
        <v>1504</v>
      </c>
      <c r="H974" s="2" t="s">
        <v>179</v>
      </c>
      <c r="I974" s="2" t="str">
        <f>IFERROR(__xludf.DUMMYFUNCTION("GOOGLETRANSLATE(C974,""fr"",""en"")"),"A good insurance I am satisfied with the services offered The advisers (eras) are pleasant on the phone and actively respond to requests ????")</f>
        <v>A good insurance I am satisfied with the services offered The advisers (eras) are pleasant on the phone and actively respond to requests ????</v>
      </c>
    </row>
    <row r="975" ht="15.75" customHeight="1">
      <c r="B975" s="2" t="s">
        <v>2719</v>
      </c>
      <c r="C975" s="2" t="s">
        <v>2720</v>
      </c>
      <c r="D975" s="2" t="s">
        <v>2667</v>
      </c>
      <c r="E975" s="2" t="s">
        <v>2668</v>
      </c>
      <c r="F975" s="2" t="s">
        <v>15</v>
      </c>
      <c r="G975" s="2" t="s">
        <v>2325</v>
      </c>
      <c r="H975" s="2" t="s">
        <v>194</v>
      </c>
      <c r="I975" s="2" t="str">
        <f>IFERROR(__xludf.DUMMYFUNCTION("GOOGLETRANSLATE(C975,""fr"",""en"")"),"Hello everyone.
MGP member for many years, I opted for a loss of wage coverage in 2014. I am an employee of the territorial public service (municipal police) at that time I contributed 32 euros per month until 2019 where the contribution was 36 euros (st"&amp;"ill quite reasonable increase)
However in 2020, the subscription increased to 45 euros, or 9 euros more for the same guarantees. And there in 2021 the contribution simply went to 57 euros !!!!!!!!!
The contribution increased by almost 25% in 1 year !!
"&amp;"After trying to have explanations on the MGP site without having answered my questions about this increase, I ended up having them in wire. And there it was not my stupor when my interlocutor simply told me that it was normal, and that this increase was p"&amp;"ut forward on the Mutuelle magazine, I should have read it !!! !!! . It seemed to me that this type of increase had to be notified to the subscriber, then if that does not suit him he can terminate.
I find a little limited this way of doing things, espec"&amp;"ially since the termination can only take place in October !!!!!!
I'm disappointed;")</f>
        <v>Hello everyone.
MGP member for many years, I opted for a loss of wage coverage in 2014. I am an employee of the territorial public service (municipal police) at that time I contributed 32 euros per month until 2019 where the contribution was 36 euros (still quite reasonable increase)
However in 2020, the subscription increased to 45 euros, or 9 euros more for the same guarantees. And there in 2021 the contribution simply went to 57 euros !!!!!!!!!
The contribution increased by almost 25% in 1 year !!
After trying to have explanations on the MGP site without having answered my questions about this increase, I ended up having them in wire. And there it was not my stupor when my interlocutor simply told me that it was normal, and that this increase was put forward on the Mutuelle magazine, I should have read it !!! !!! . It seemed to me that this type of increase had to be notified to the subscriber, then if that does not suit him he can terminate.
I find a little limited this way of doing things, especially since the termination can only take place in October !!!!!!
I'm disappointed;</v>
      </c>
    </row>
    <row r="976" ht="15.75" customHeight="1">
      <c r="B976" s="2" t="s">
        <v>2721</v>
      </c>
      <c r="C976" s="2" t="s">
        <v>2722</v>
      </c>
      <c r="D976" s="2" t="s">
        <v>2667</v>
      </c>
      <c r="E976" s="2" t="s">
        <v>2668</v>
      </c>
      <c r="F976" s="2" t="s">
        <v>15</v>
      </c>
      <c r="G976" s="2" t="s">
        <v>1531</v>
      </c>
      <c r="H976" s="2" t="s">
        <v>194</v>
      </c>
      <c r="I976" s="2" t="str">
        <f>IFERROR(__xludf.DUMMYFUNCTION("GOOGLETRANSLATE(C976,""fr"",""en"")"),"I appreciated telephone exchanges with the advisor to take stock of my needs. The prices are competitive and the waiting period is less compared to the competitors contacted. No medical questionnaire for care. I am very satisfied with my choice.")</f>
        <v>I appreciated telephone exchanges with the advisor to take stock of my needs. The prices are competitive and the waiting period is less compared to the competitors contacted. No medical questionnaire for care. I am very satisfied with my choice.</v>
      </c>
    </row>
    <row r="977" ht="15.75" customHeight="1">
      <c r="B977" s="2" t="s">
        <v>2723</v>
      </c>
      <c r="C977" s="2" t="s">
        <v>2724</v>
      </c>
      <c r="D977" s="2" t="s">
        <v>2667</v>
      </c>
      <c r="E977" s="2" t="s">
        <v>2668</v>
      </c>
      <c r="F977" s="2" t="s">
        <v>15</v>
      </c>
      <c r="G977" s="2" t="s">
        <v>1234</v>
      </c>
      <c r="H977" s="2" t="s">
        <v>253</v>
      </c>
      <c r="I977" s="2" t="str">
        <f>IFERROR(__xludf.DUMMYFUNCTION("GOOGLETRANSLATE(C977,""fr"",""en"")"),"Since I have been at the MGP I have been well reimbursed for most of my costs compared to another mutual insurance company with whom I had the same level of service. Customer service can be easily reached and always attentive. I do not regret having chang"&amp;"ed. It is true that I lose a little on certain positions but additional guarantees exist")</f>
        <v>Since I have been at the MGP I have been well reimbursed for most of my costs compared to another mutual insurance company with whom I had the same level of service. Customer service can be easily reached and always attentive. I do not regret having changed. It is true that I lose a little on certain positions but additional guarantees exist</v>
      </c>
    </row>
    <row r="978" ht="15.75" customHeight="1">
      <c r="B978" s="2" t="s">
        <v>2725</v>
      </c>
      <c r="C978" s="2" t="s">
        <v>2726</v>
      </c>
      <c r="D978" s="2" t="s">
        <v>2667</v>
      </c>
      <c r="E978" s="2" t="s">
        <v>2668</v>
      </c>
      <c r="F978" s="2" t="s">
        <v>15</v>
      </c>
      <c r="G978" s="2" t="s">
        <v>2727</v>
      </c>
      <c r="H978" s="2" t="s">
        <v>257</v>
      </c>
      <c r="I978" s="2" t="str">
        <f>IFERROR(__xludf.DUMMYFUNCTION("GOOGLETRANSLATE(C978,""fr"",""en"")"),"I was very well recommended concerning my request. There has also been verification of documents that have been transmitted via the MGP application")</f>
        <v>I was very well recommended concerning my request. There has also been verification of documents that have been transmitted via the MGP application</v>
      </c>
    </row>
    <row r="979" ht="15.75" customHeight="1">
      <c r="B979" s="2" t="s">
        <v>2728</v>
      </c>
      <c r="C979" s="2" t="s">
        <v>2729</v>
      </c>
      <c r="D979" s="2" t="s">
        <v>2667</v>
      </c>
      <c r="E979" s="2" t="s">
        <v>2668</v>
      </c>
      <c r="F979" s="2" t="s">
        <v>15</v>
      </c>
      <c r="G979" s="2" t="s">
        <v>2262</v>
      </c>
      <c r="H979" s="2" t="s">
        <v>269</v>
      </c>
      <c r="I979" s="2" t="str">
        <f>IFERROR(__xludf.DUMMYFUNCTION("GOOGLETRANSLATE(C979,""fr"",""en"")"),"I appreciate the responsiveness of this mutual and its understanding in difficult times.")</f>
        <v>I appreciate the responsiveness of this mutual and its understanding in difficult times.</v>
      </c>
    </row>
    <row r="980" ht="15.75" customHeight="1">
      <c r="B980" s="2" t="s">
        <v>2730</v>
      </c>
      <c r="C980" s="2" t="s">
        <v>2731</v>
      </c>
      <c r="D980" s="2" t="s">
        <v>2667</v>
      </c>
      <c r="E980" s="2" t="s">
        <v>2668</v>
      </c>
      <c r="F980" s="2" t="s">
        <v>15</v>
      </c>
      <c r="G980" s="2" t="s">
        <v>2732</v>
      </c>
      <c r="H980" s="2" t="s">
        <v>66</v>
      </c>
      <c r="I980" s="2" t="str">
        <f>IFERROR(__xludf.DUMMYFUNCTION("GOOGLETRANSLATE(C980,""fr"",""en"")"),"Since January 2018 I have been waiting for my compensation for a half treatment.
I receive contradictory letters from the provident service. And ask me for documents that do not exist. Since 2014 the MGP is no longer the mutual that it was. After 44 year"&amp;"s of subscription here or I am. I will be obliged to call on my lawyer to solve this problem. It is abused !!! 8 months that I am waiting for !!!")</f>
        <v>Since January 2018 I have been waiting for my compensation for a half treatment.
I receive contradictory letters from the provident service. And ask me for documents that do not exist. Since 2014 the MGP is no longer the mutual that it was. After 44 years of subscription here or I am. I will be obliged to call on my lawyer to solve this problem. It is abused !!! 8 months that I am waiting for !!!</v>
      </c>
    </row>
    <row r="981" ht="15.75" customHeight="1">
      <c r="B981" s="2" t="s">
        <v>2733</v>
      </c>
      <c r="C981" s="2" t="s">
        <v>2734</v>
      </c>
      <c r="D981" s="2" t="s">
        <v>2735</v>
      </c>
      <c r="E981" s="2" t="s">
        <v>2668</v>
      </c>
      <c r="F981" s="2" t="s">
        <v>15</v>
      </c>
      <c r="G981" s="2" t="s">
        <v>852</v>
      </c>
      <c r="H981" s="2" t="s">
        <v>481</v>
      </c>
      <c r="I981" s="2" t="str">
        <f>IFERROR(__xludf.DUMMYFUNCTION("GOOGLETRANSLATE(C981,""fr"",""en"")"),"RAS. I knew the Carac because my husband was a veteran. The placement we had then made was very satisfactory and helped us in the management of our heritage. Today, after the death of my husband, I trust the Carac and I made a new placement")</f>
        <v>RAS. I knew the Carac because my husband was a veteran. The placement we had then made was very satisfactory and helped us in the management of our heritage. Today, after the death of my husband, I trust the Carac and I made a new placement</v>
      </c>
    </row>
    <row r="982" ht="15.75" customHeight="1">
      <c r="B982" s="2" t="s">
        <v>2736</v>
      </c>
      <c r="C982" s="2" t="s">
        <v>2737</v>
      </c>
      <c r="D982" s="2" t="s">
        <v>2735</v>
      </c>
      <c r="E982" s="2" t="s">
        <v>2668</v>
      </c>
      <c r="F982" s="2" t="s">
        <v>15</v>
      </c>
      <c r="G982" s="2" t="s">
        <v>1380</v>
      </c>
      <c r="H982" s="2" t="s">
        <v>481</v>
      </c>
      <c r="I982" s="2" t="str">
        <f>IFERROR(__xludf.DUMMYFUNCTION("GOOGLETRANSLATE(C982,""fr"",""en"")"),"The Carac is a non -profit institution that really places its members at the heart of decisions. The investments are reflected and with a good performance. The digital space allows you to do a lot online but the advisers are also very available and attent"&amp;"ive.")</f>
        <v>The Carac is a non -profit institution that really places its members at the heart of decisions. The investments are reflected and with a good performance. The digital space allows you to do a lot online but the advisers are also very available and attentive.</v>
      </c>
    </row>
    <row r="983" ht="15.75" customHeight="1">
      <c r="B983" s="2" t="s">
        <v>2738</v>
      </c>
      <c r="C983" s="2" t="s">
        <v>2739</v>
      </c>
      <c r="D983" s="2" t="s">
        <v>2735</v>
      </c>
      <c r="E983" s="2" t="s">
        <v>2668</v>
      </c>
      <c r="F983" s="2" t="s">
        <v>15</v>
      </c>
      <c r="G983" s="2" t="s">
        <v>2740</v>
      </c>
      <c r="H983" s="2" t="s">
        <v>164</v>
      </c>
      <c r="I983" s="2" t="str">
        <f>IFERROR(__xludf.DUMMYFUNCTION("GOOGLETRANSLATE(C983,""fr"",""en"")"),"Subscription of new heritage and generation very painful products. No form available for the transfer of an EPARGE EUROS account to these new accounts, forcing to make opening payments of 200 euros or 1000 euros. Generation accounts should authorize free "&amp;"management and not be limited to 3 management options.")</f>
        <v>Subscription of new heritage and generation very painful products. No form available for the transfer of an EPARGE EUROS account to these new accounts, forcing to make opening payments of 200 euros or 1000 euros. Generation accounts should authorize free management and not be limited to 3 management options.</v>
      </c>
    </row>
    <row r="984" ht="15.75" customHeight="1">
      <c r="B984" s="2" t="s">
        <v>2741</v>
      </c>
      <c r="C984" s="2" t="s">
        <v>2742</v>
      </c>
      <c r="D984" s="2" t="s">
        <v>2735</v>
      </c>
      <c r="E984" s="2" t="s">
        <v>2668</v>
      </c>
      <c r="F984" s="2" t="s">
        <v>15</v>
      </c>
      <c r="G984" s="2" t="s">
        <v>549</v>
      </c>
      <c r="H984" s="2" t="s">
        <v>550</v>
      </c>
      <c r="I984" s="2" t="str">
        <f>IFERROR(__xludf.DUMMYFUNCTION("GOOGLETRANSLATE(C984,""fr"",""en"")"),"Very well received and informed personal and listening personal")</f>
        <v>Very well received and informed personal and listening personal</v>
      </c>
    </row>
    <row r="985" ht="15.75" customHeight="1">
      <c r="B985" s="2" t="s">
        <v>2743</v>
      </c>
      <c r="C985" s="2" t="s">
        <v>2744</v>
      </c>
      <c r="D985" s="2" t="s">
        <v>2735</v>
      </c>
      <c r="E985" s="2" t="s">
        <v>2668</v>
      </c>
      <c r="F985" s="2" t="s">
        <v>15</v>
      </c>
      <c r="G985" s="2" t="s">
        <v>2000</v>
      </c>
      <c r="H985" s="2" t="s">
        <v>277</v>
      </c>
      <c r="I985" s="2" t="str">
        <f>IFERROR(__xludf.DUMMYFUNCTION("GOOGLETRANSLATE(C985,""fr"",""en"")"),"When I see the comments! I wonder when we are going to be the succession of my grandmother! (Papier sent more 1 month and a half ago!)
What should I do exactly? Because I already called and I am already moved to the agency which is an hour's drive from m"&amp;"y home!")</f>
        <v>When I see the comments! I wonder when we are going to be the succession of my grandmother! (Papier sent more 1 month and a half ago!)
What should I do exactly? Because I already called and I am already moved to the agency which is an hour's drive from my home!</v>
      </c>
    </row>
    <row r="986" ht="15.75" customHeight="1">
      <c r="B986" s="2" t="s">
        <v>2745</v>
      </c>
      <c r="C986" s="2" t="s">
        <v>2746</v>
      </c>
      <c r="D986" s="2" t="s">
        <v>2735</v>
      </c>
      <c r="E986" s="2" t="s">
        <v>2668</v>
      </c>
      <c r="F986" s="2" t="s">
        <v>15</v>
      </c>
      <c r="G986" s="2" t="s">
        <v>2747</v>
      </c>
      <c r="H986" s="2" t="s">
        <v>307</v>
      </c>
      <c r="I986" s="2" t="str">
        <f>IFERROR(__xludf.DUMMYFUNCTION("GOOGLETRANSLATE(C986,""fr"",""en"")"),"Member of the Carac since 1987 under number 378922, our father had formed a reserved capital with the Carac, which was to return to his two children on his death. Died on June 9 in its 92nd year, we sent the Carac the death certificate a few days later. A"&amp;"s of September 26, despite multiple telephone calls, sending simple and recommended letters with the usual documents, the Carac, unlike other companies where the subject was treated quickly, did not deign to respect its commitments without ever to have ad"&amp;"dressed their condolences. Thus, in addition to the suffering of losing our father, we must bear unworthy behavior from the CARC, in violation of the commitments made under their mutualist retirement of the fighter. Our father shed his blood for our count"&amp;"ry, thought that the Carac would protect his children when he left, and he was deceived by this company which dishonors mutualism. In 4 months, only one call: to find out if we wanted to leave them in management the capital returning us. Since: radio sile"&amp;"nce. A caricature.
Since September 26, no sound or image.
No mail
The Carac plays exhaustion without condolences")</f>
        <v>Member of the Carac since 1987 under number 378922, our father had formed a reserved capital with the Carac, which was to return to his two children on his death. Died on June 9 in its 92nd year, we sent the Carac the death certificate a few days later. As of September 26, despite multiple telephone calls, sending simple and recommended letters with the usual documents, the Carac, unlike other companies where the subject was treated quickly, did not deign to respect its commitments without ever to have addressed their condolences. Thus, in addition to the suffering of losing our father, we must bear unworthy behavior from the CARC, in violation of the commitments made under their mutualist retirement of the fighter. Our father shed his blood for our country, thought that the Carac would protect his children when he left, and he was deceived by this company which dishonors mutualism. In 4 months, only one call: to find out if we wanted to leave them in management the capital returning us. Since: radio silence. A caricature.
Since September 26, no sound or image.
No mail
The Carac plays exhaustion without condolences</v>
      </c>
    </row>
    <row r="987" ht="15.75" customHeight="1">
      <c r="B987" s="2" t="s">
        <v>2748</v>
      </c>
      <c r="C987" s="2" t="s">
        <v>2749</v>
      </c>
      <c r="D987" s="2" t="s">
        <v>2735</v>
      </c>
      <c r="E987" s="2" t="s">
        <v>2668</v>
      </c>
      <c r="F987" s="2" t="s">
        <v>15</v>
      </c>
      <c r="G987" s="2" t="s">
        <v>2386</v>
      </c>
      <c r="H987" s="2" t="s">
        <v>317</v>
      </c>
      <c r="I987" s="2" t="str">
        <f>IFERROR(__xludf.DUMMYFUNCTION("GOOGLETRANSLATE(C987,""fr"",""en"")"),"Another company that manages life insurance at the expense of rights. My mother having died on 04/24/2019, I asked the Carac as part of the succession the payment of € 10,223 of life insurance. Since then I have been walking on the phone and by mail, betw"&amp;"een salespeople and host hostesses who do not have the power to act. At 30/09/2019, after my last call still no transfer. I am extremely upset by these methods which seem to be wanted and orchestrated knowing that this small sum will not jeopardize the fi"&amp;"nances of the Carac. I will do everything in order to warn the saving candidates. I am very angry.")</f>
        <v>Another company that manages life insurance at the expense of rights. My mother having died on 04/24/2019, I asked the Carac as part of the succession the payment of € 10,223 of life insurance. Since then I have been walking on the phone and by mail, between salespeople and host hostesses who do not have the power to act. At 30/09/2019, after my last call still no transfer. I am extremely upset by these methods which seem to be wanted and orchestrated knowing that this small sum will not jeopardize the finances of the Carac. I will do everything in order to warn the saving candidates. I am very angry.</v>
      </c>
    </row>
    <row r="988" ht="15.75" customHeight="1">
      <c r="B988" s="2" t="s">
        <v>2750</v>
      </c>
      <c r="C988" s="2" t="s">
        <v>2751</v>
      </c>
      <c r="D988" s="2" t="s">
        <v>2735</v>
      </c>
      <c r="E988" s="2" t="s">
        <v>2668</v>
      </c>
      <c r="F988" s="2" t="s">
        <v>15</v>
      </c>
      <c r="G988" s="2" t="s">
        <v>1846</v>
      </c>
      <c r="H988" s="2" t="s">
        <v>324</v>
      </c>
      <c r="I988" s="2" t="str">
        <f>IFERROR(__xludf.DUMMYFUNCTION("GOOGLETRANSLATE(C988,""fr"",""en"")"),"A disaster")</f>
        <v>A disaster</v>
      </c>
    </row>
    <row r="989" ht="15.75" customHeight="1">
      <c r="B989" s="2" t="s">
        <v>2752</v>
      </c>
      <c r="C989" s="2" t="s">
        <v>2753</v>
      </c>
      <c r="D989" s="2" t="s">
        <v>2735</v>
      </c>
      <c r="E989" s="2" t="s">
        <v>2668</v>
      </c>
      <c r="F989" s="2" t="s">
        <v>15</v>
      </c>
      <c r="G989" s="2" t="s">
        <v>1261</v>
      </c>
      <c r="H989" s="2" t="s">
        <v>17</v>
      </c>
      <c r="I989" s="2" t="str">
        <f>IFERROR(__xludf.DUMMYFUNCTION("GOOGLETRANSLATE(C989,""fr"",""en"")"),"Hello,
My father having died on 22.12.2018 J was obliged to wait two months for the file to be educated by your services: and again ... The Mulhouse agency has continued to make reminders !! End of the morning I just had a person from the Carac who tel"&amp;"ls me that certainly the file has been complete since 25.03 but it will take at least 40 days again to be educated.
I think that remains a joke !! indeed as the insurance code provides for the payment of life capital must be made within one month under p"&amp;"enalty of having to pay interest:
I think I am permanently convinced that I do not place anything at home and will certainly inform consumers of your methods through various magazines and communication channels at our disposal.
")</f>
        <v>Hello,
My father having died on 22.12.2018 J was obliged to wait two months for the file to be educated by your services: and again ... The Mulhouse agency has continued to make reminders !! End of the morning I just had a person from the Carac who tells me that certainly the file has been complete since 25.03 but it will take at least 40 days again to be educated.
I think that remains a joke !! indeed as the insurance code provides for the payment of life capital must be made within one month under penalty of having to pay interest:
I think I am permanently convinced that I do not place anything at home and will certainly inform consumers of your methods through various magazines and communication channels at our disposal.
</v>
      </c>
    </row>
    <row r="990" ht="15.75" customHeight="1">
      <c r="B990" s="2" t="s">
        <v>2754</v>
      </c>
      <c r="C990" s="2" t="s">
        <v>2755</v>
      </c>
      <c r="D990" s="2" t="s">
        <v>2735</v>
      </c>
      <c r="E990" s="2" t="s">
        <v>2668</v>
      </c>
      <c r="F990" s="2" t="s">
        <v>15</v>
      </c>
      <c r="G990" s="2" t="s">
        <v>2344</v>
      </c>
      <c r="H990" s="2" t="s">
        <v>349</v>
      </c>
      <c r="I990" s="2" t="str">
        <f>IFERROR(__xludf.DUMMYFUNCTION("GOOGLETRANSLATE(C990,""fr"",""en"")"),"No.Dossier Life Insurance still not deals with a year after a time of mail or recall despite my requests.")</f>
        <v>No.Dossier Life Insurance still not deals with a year after a time of mail or recall despite my requests.</v>
      </c>
    </row>
    <row r="991" ht="15.75" customHeight="1">
      <c r="B991" s="2" t="s">
        <v>2756</v>
      </c>
      <c r="C991" s="2" t="s">
        <v>2757</v>
      </c>
      <c r="D991" s="2" t="s">
        <v>2735</v>
      </c>
      <c r="E991" s="2" t="s">
        <v>2668</v>
      </c>
      <c r="F991" s="2" t="s">
        <v>15</v>
      </c>
      <c r="G991" s="2" t="s">
        <v>1692</v>
      </c>
      <c r="H991" s="2" t="s">
        <v>92</v>
      </c>
      <c r="I991" s="2" t="str">
        <f>IFERROR(__xludf.DUMMYFUNCTION("GOOGLETRANSLATE(C991,""fr"",""en"")"),"Hello ,
Very unhappy with the Carac at the level of the payment of capital on an insurance insurance contract.
The Carac is unreachable it has never contacted us following the death of their insured.
Today it's still radio silence despite 2 LRAR.
I ce"&amp;"rtainly do not recommend for life insurance")</f>
        <v>Hello ,
Very unhappy with the Carac at the level of the payment of capital on an insurance insurance contract.
The Carac is unreachable it has never contacted us following the death of their insured.
Today it's still radio silence despite 2 LRAR.
I certainly do not recommend for life insurance</v>
      </c>
    </row>
    <row r="992" ht="15.75" customHeight="1">
      <c r="B992" s="2" t="s">
        <v>2758</v>
      </c>
      <c r="C992" s="2" t="s">
        <v>2759</v>
      </c>
      <c r="D992" s="2" t="s">
        <v>2760</v>
      </c>
      <c r="E992" s="2" t="s">
        <v>2668</v>
      </c>
      <c r="F992" s="2" t="s">
        <v>15</v>
      </c>
      <c r="G992" s="2" t="s">
        <v>2761</v>
      </c>
      <c r="H992" s="2" t="s">
        <v>2009</v>
      </c>
      <c r="I992" s="2" t="str">
        <f>IFERROR(__xludf.DUMMYFUNCTION("GOOGLETRANSLATE(C992,""fr"",""en"")"),"To flee, very big lack of professionalism. Provident guarantees are never paid in time (excluding 12 days). You have to telephone every month to have a payment. Share unreachable and when possible, the advisor cannot inform you. Complaints by email are no"&amp;"t processed. Very high prix for the service rendered. As soon as possible, I change.")</f>
        <v>To flee, very big lack of professionalism. Provident guarantees are never paid in time (excluding 12 days). You have to telephone every month to have a payment. Share unreachable and when possible, the advisor cannot inform you. Complaints by email are not processed. Very high prix for the service rendered. As soon as possible, I change.</v>
      </c>
    </row>
    <row r="993" ht="15.75" customHeight="1">
      <c r="B993" s="2" t="s">
        <v>2762</v>
      </c>
      <c r="C993" s="2" t="s">
        <v>2763</v>
      </c>
      <c r="D993" s="2" t="s">
        <v>2760</v>
      </c>
      <c r="E993" s="2" t="s">
        <v>2668</v>
      </c>
      <c r="F993" s="2" t="s">
        <v>15</v>
      </c>
      <c r="G993" s="2" t="s">
        <v>885</v>
      </c>
      <c r="H993" s="2" t="s">
        <v>204</v>
      </c>
      <c r="I993" s="2" t="str">
        <f>IFERROR(__xludf.DUMMYFUNCTION("GOOGLETRANSLATE(C993,""fr"",""en"")"),"Concern with this interior foresight. All the transfers have been done so far but this month, I am asked to provide a therapeutic half-time decree established by the medical committee, but that, with the COVID, does not work. Everything is put by stand by"&amp;"e.
If I do not provide this decree, the transfers will no longer be made. I find it unacceptable, every month, I send them a certificate from the town hall proving that I am part-time therapeutic and the pay sheets also proves it.
They exaggerate, they "&amp;"ask me for a document that I cannot provide and this is really independent of my will, given the exceptional situation that we all live at the moment. In addition, contributions increased by € 7, which makes a total of € 84 for the year 2021!")</f>
        <v>Concern with this interior foresight. All the transfers have been done so far but this month, I am asked to provide a therapeutic half-time decree established by the medical committee, but that, with the COVID, does not work. Everything is put by stand bye.
If I do not provide this decree, the transfers will no longer be made. I find it unacceptable, every month, I send them a certificate from the town hall proving that I am part-time therapeutic and the pay sheets also proves it.
They exaggerate, they ask me for a document that I cannot provide and this is really independent of my will, given the exceptional situation that we all live at the moment. In addition, contributions increased by € 7, which makes a total of € 84 for the year 2021!</v>
      </c>
    </row>
    <row r="994" ht="15.75" customHeight="1">
      <c r="B994" s="2" t="s">
        <v>2764</v>
      </c>
      <c r="C994" s="2" t="s">
        <v>2765</v>
      </c>
      <c r="D994" s="2" t="s">
        <v>2760</v>
      </c>
      <c r="E994" s="2" t="s">
        <v>2668</v>
      </c>
      <c r="F994" s="2" t="s">
        <v>15</v>
      </c>
      <c r="G994" s="2" t="s">
        <v>2041</v>
      </c>
      <c r="H994" s="2" t="s">
        <v>230</v>
      </c>
      <c r="I994" s="2" t="str">
        <f>IFERROR(__xludf.DUMMYFUNCTION("GOOGLETRANSLATE(C994,""fr"",""en"")"),"Hello, for 23 years at Interior with high contributions (salary maintenance). I was 5 years in CLD (3 years PT paid by my municipality 2 years DT paid at 50% common and interior) in 6 months retired. On 01/10 I go on overtime availability for health reaso"&amp;"ns awaiting a retirement decision. My town pays me a DT. Interior 2 times on the phone tells me that they will pay me DT. This day I receive a letter telling me the opposite. I exceeded the 1080 days which take into account the days also paid in PT by my "&amp;"municipality (supporting text). If I understand well interior never pays beyond the 730 days. Indeed interior speaks of 1080 days paid but only pays the DT over 730 days (2 years). I quote so that it is my municipality that takes care of me. Where is the "&amp;"error? 23 years of contributions to get there 6 months from my retirement. I continue to pay (salary maintenance) !!!! I am waiting for an interior return. Thank you")</f>
        <v>Hello, for 23 years at Interior with high contributions (salary maintenance). I was 5 years in CLD (3 years PT paid by my municipality 2 years DT paid at 50% common and interior) in 6 months retired. On 01/10 I go on overtime availability for health reasons awaiting a retirement decision. My town pays me a DT. Interior 2 times on the phone tells me that they will pay me DT. This day I receive a letter telling me the opposite. I exceeded the 1080 days which take into account the days also paid in PT by my municipality (supporting text). If I understand well interior never pays beyond the 730 days. Indeed interior speaks of 1080 days paid but only pays the DT over 730 days (2 years). I quote so that it is my municipality that takes care of me. Where is the error? 23 years of contributions to get there 6 months from my retirement. I continue to pay (salary maintenance) !!!! I am waiting for an interior return. Thank you</v>
      </c>
    </row>
    <row r="995" ht="15.75" customHeight="1">
      <c r="B995" s="2" t="s">
        <v>2766</v>
      </c>
      <c r="C995" s="2" t="s">
        <v>2767</v>
      </c>
      <c r="D995" s="2" t="s">
        <v>2760</v>
      </c>
      <c r="E995" s="2" t="s">
        <v>2668</v>
      </c>
      <c r="F995" s="2" t="s">
        <v>15</v>
      </c>
      <c r="G995" s="2" t="s">
        <v>2768</v>
      </c>
      <c r="H995" s="2" t="s">
        <v>550</v>
      </c>
      <c r="I995" s="2" t="str">
        <f>IFERROR(__xludf.DUMMYFUNCTION("GOOGLETRANSLATE(C995,""fr"",""en"")"),"Hello,
Awaiting compensation for the maintenance of salary for the period from August 2019 to December 2019 sends all documents via the application but apparently never received
Intermeau sends me a health questionnaire in simple mail that I refer by re"&amp;"gistered mail received on 03/24/2020 intermers tells me that he has no trace of my questionnaire he say to wait on will be contacted to me scandalous from month of waiting really")</f>
        <v>Hello,
Awaiting compensation for the maintenance of salary for the period from August 2019 to December 2019 sends all documents via the application but apparently never received
Intermeau sends me a health questionnaire in simple mail that I refer by registered mail received on 03/24/2020 intermers tells me that he has no trace of my questionnaire he say to wait on will be contacted to me scandalous from month of waiting really</v>
      </c>
    </row>
    <row r="996" ht="15.75" customHeight="1">
      <c r="B996" s="2" t="s">
        <v>2769</v>
      </c>
      <c r="C996" s="2" t="s">
        <v>2770</v>
      </c>
      <c r="D996" s="2" t="s">
        <v>2760</v>
      </c>
      <c r="E996" s="2" t="s">
        <v>2668</v>
      </c>
      <c r="F996" s="2" t="s">
        <v>15</v>
      </c>
      <c r="G996" s="2" t="s">
        <v>1098</v>
      </c>
      <c r="H996" s="2" t="s">
        <v>554</v>
      </c>
      <c r="I996" s="2" t="str">
        <f>IFERROR(__xludf.DUMMYFUNCTION("GOOGLETRANSLATE(C996,""fr"",""en"")"),"I contacted Intermeau a month before choosing a resumption of therapeutic half-time activity. I explained my situation precisely to find out if I could benefit from the ""loss of premiums"" guarantee. Twice the ""advisers"" confirmed to me that I was cove"&amp;"red.
At the end of the half-time (3 months) I set up a file then no answer for months. Each call a different response. Then, by dint of letters the president of the mutual refused the service (900 euros anyway), while recognizing a ""lack of information"&amp;""". Generously he offered me a month of subscription, but the account is not there.
False information is not ""a lack of information"". I was deceived, I got involved in a half-time with false information: the duty of advice was not respected.
The media"&amp;"tor of the mutuals has been seized, justice will be if necessary. I will be curious to read the analysis of the interior mutual, I invite it to come and enlighten the members and those who could be tempted by the flattering presentation that this mutual i"&amp;"nsurance company makes of its services ...
Cordially
Suktanka
Suktanka
Message (s): 19
Registration: February 03, 2018, 18:34
")</f>
        <v>I contacted Intermeau a month before choosing a resumption of therapeutic half-time activity. I explained my situation precisely to find out if I could benefit from the "loss of premiums" guarantee. Twice the "advisers" confirmed to me that I was covered.
At the end of the half-time (3 months) I set up a file then no answer for months. Each call a different response. Then, by dint of letters the president of the mutual refused the service (900 euros anyway), while recognizing a "lack of information". Generously he offered me a month of subscription, but the account is not there.
False information is not "a lack of information". I was deceived, I got involved in a half-time with false information: the duty of advice was not respected.
The mediator of the mutuals has been seized, justice will be if necessary. I will be curious to read the analysis of the interior mutual, I invite it to come and enlighten the members and those who could be tempted by the flattering presentation that this mutual insurance company makes of its services ...
Cordially
Suktanka
Suktanka
Message (s): 19
Registration: February 03, 2018, 18:34
</v>
      </c>
    </row>
    <row r="997" ht="15.75" customHeight="1">
      <c r="B997" s="2" t="s">
        <v>2771</v>
      </c>
      <c r="C997" s="2" t="s">
        <v>2772</v>
      </c>
      <c r="D997" s="2" t="s">
        <v>2760</v>
      </c>
      <c r="E997" s="2" t="s">
        <v>2668</v>
      </c>
      <c r="F997" s="2" t="s">
        <v>15</v>
      </c>
      <c r="G997" s="2" t="s">
        <v>1591</v>
      </c>
      <c r="H997" s="2" t="s">
        <v>277</v>
      </c>
      <c r="I997" s="2" t="str">
        <f>IFERROR(__xludf.DUMMYFUNCTION("GOOGLETRANSLATE(C997,""fr"",""en"")"),"My CLD has been renewed for the 4th year since the end of November with a decree that has been their hands at home since the end of November.
I had to recall them in mid-December to have my additional salary received in early January.")</f>
        <v>My CLD has been renewed for the 4th year since the end of November with a decree that has been their hands at home since the end of November.
I had to recall them in mid-December to have my additional salary received in early January.</v>
      </c>
    </row>
    <row r="998" ht="15.75" customHeight="1">
      <c r="B998" s="2" t="s">
        <v>2773</v>
      </c>
      <c r="C998" s="2" t="s">
        <v>2774</v>
      </c>
      <c r="D998" s="2" t="s">
        <v>2760</v>
      </c>
      <c r="E998" s="2" t="s">
        <v>2668</v>
      </c>
      <c r="F998" s="2" t="s">
        <v>15</v>
      </c>
      <c r="G998" s="2" t="s">
        <v>2775</v>
      </c>
      <c r="H998" s="2" t="s">
        <v>277</v>
      </c>
      <c r="I998" s="2" t="str">
        <f>IFERROR(__xludf.DUMMYFUNCTION("GOOGLETRANSLATE(C998,""fr"",""en"")"),"If you want to take intermers in the context of your salary maintenance (territorial public service for me), run away like the plague.
On sick leave for the 1st time for 20 years, I was able to test the provident depending on the interior
After 3 months"&amp;" of payments, Intermeau sends you by simple mail a medical file to have your doctor filled out.
As soon as this file is sent by intermeal (cross your fingers that the post office does not dysfunction) all your payments are stopped and when you call them "&amp;"they answer you that your file is in the hands of the advice, that they are incapable of Tell you what is the processing time (when you ask for an answer on the deadline, the reception agent tells you that ""I do not know is a response"". As far as I am c"&amp;"oncerned I will soon be 3 months of non -paid salary supplements.
")</f>
        <v>If you want to take intermers in the context of your salary maintenance (territorial public service for me), run away like the plague.
On sick leave for the 1st time for 20 years, I was able to test the provident depending on the interior
After 3 months of payments, Intermeau sends you by simple mail a medical file to have your doctor filled out.
As soon as this file is sent by intermeal (cross your fingers that the post office does not dysfunction) all your payments are stopped and when you call them they answer you that your file is in the hands of the advice, that they are incapable of Tell you what is the processing time (when you ask for an answer on the deadline, the reception agent tells you that "I do not know is a response". As far as I am concerned I will soon be 3 months of non -paid salary supplements.
</v>
      </c>
    </row>
    <row r="999" ht="15.75" customHeight="1">
      <c r="B999" s="2" t="s">
        <v>2776</v>
      </c>
      <c r="C999" s="2" t="s">
        <v>2777</v>
      </c>
      <c r="D999" s="2" t="s">
        <v>2760</v>
      </c>
      <c r="E999" s="2" t="s">
        <v>2668</v>
      </c>
      <c r="F999" s="2" t="s">
        <v>15</v>
      </c>
      <c r="G999" s="2" t="s">
        <v>2123</v>
      </c>
      <c r="H999" s="2" t="s">
        <v>277</v>
      </c>
      <c r="I999" s="2" t="str">
        <f>IFERROR(__xludf.DUMMYFUNCTION("GOOGLETRANSLATE(C999,""fr"",""en"")"),"I have never had a problem for more than 20 years but for 3 months, I have accumulated incompetence on incompetence and an obstinate refusal to have online a manager or an advisor. I asked for the cancellation of foresight I am radiated from health! I red"&amp;"o the letter under the dictation of a platform reception agent, I am radiated and foresight and health. I call in December I am answered in a 1st step computer failure. I call again today January 8, again computer failure!")</f>
        <v>I have never had a problem for more than 20 years but for 3 months, I have accumulated incompetence on incompetence and an obstinate refusal to have online a manager or an advisor. I asked for the cancellation of foresight I am radiated from health! I redo the letter under the dictation of a platform reception agent, I am radiated and foresight and health. I call in December I am answered in a 1st step computer failure. I call again today January 8, again computer failure!</v>
      </c>
    </row>
    <row r="1000" ht="15.75" customHeight="1">
      <c r="B1000" s="2" t="s">
        <v>2778</v>
      </c>
      <c r="C1000" s="2" t="s">
        <v>2779</v>
      </c>
      <c r="D1000" s="2" t="s">
        <v>2760</v>
      </c>
      <c r="E1000" s="2" t="s">
        <v>2668</v>
      </c>
      <c r="F1000" s="2" t="s">
        <v>15</v>
      </c>
      <c r="G1000" s="2" t="s">
        <v>2780</v>
      </c>
      <c r="H1000" s="2" t="s">
        <v>284</v>
      </c>
      <c r="I1000" s="2" t="str">
        <f>IFERROR(__xludf.DUMMYFUNCTION("GOOGLETRANSLATE(C1000,""fr"",""en"")"),"Inadmissible! I have always been reimbursing my day of deficiency since July !!! Each time, that I have an interlocutor I am told that they make my request for an emergency but I have no answer until now. I seriously think of changing mutual.
")</f>
        <v>Inadmissible! I have always been reimbursing my day of deficiency since July !!! Each time, that I have an interlocutor I am told that they make my request for an emergency but I have no answer until now. I seriously think of changing mutual.
</v>
      </c>
    </row>
    <row r="1001" ht="15.75" customHeight="1">
      <c r="B1001" s="2" t="s">
        <v>2781</v>
      </c>
      <c r="C1001" s="2" t="s">
        <v>2782</v>
      </c>
      <c r="D1001" s="2" t="s">
        <v>2760</v>
      </c>
      <c r="E1001" s="2" t="s">
        <v>2668</v>
      </c>
      <c r="F1001" s="2" t="s">
        <v>15</v>
      </c>
      <c r="G1001" s="2" t="s">
        <v>2783</v>
      </c>
      <c r="H1001" s="2" t="s">
        <v>328</v>
      </c>
      <c r="I1001" s="2" t="str">
        <f>IFERROR(__xludf.DUMMYFUNCTION("GOOGLETRANSLATE(C1001,""fr"",""en"")"),"Reimbursement of wages which is made with weeks of delay putting the users in financial precariousness
Request for documents to delay payments while contributions are collected without delay
Telephone service not always reachable
I plan to leave this m"&amp;"utual a lot once re -retablished and at the end of my contract")</f>
        <v>Reimbursement of wages which is made with weeks of delay putting the users in financial precariousness
Request for documents to delay payments while contributions are collected without delay
Telephone service not always reachable
I plan to leave this mutual a lot once re -retablished and at the end of my contract</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2022-12-16T15:48:31Z</dcterms:created>
</cp:coreProperties>
</file>