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H065Wv0LoTjoYA7Ghz/wolaT4lw=="/>
    </ext>
  </extLst>
</workbook>
</file>

<file path=xl/sharedStrings.xml><?xml version="1.0" encoding="utf-8"?>
<sst xmlns="http://schemas.openxmlformats.org/spreadsheetml/2006/main" count="7011" uniqueCount="2726">
  <si>
    <t>note</t>
  </si>
  <si>
    <t>auteur</t>
  </si>
  <si>
    <t>avis</t>
  </si>
  <si>
    <t>assureur</t>
  </si>
  <si>
    <t>produit</t>
  </si>
  <si>
    <t>type</t>
  </si>
  <si>
    <t>date_publication</t>
  </si>
  <si>
    <t>date_exp</t>
  </si>
  <si>
    <t>avis_en</t>
  </si>
  <si>
    <t>avis_cor</t>
  </si>
  <si>
    <t>avis_cor_en</t>
  </si>
  <si>
    <t>luc0638-78722</t>
  </si>
  <si>
    <t>J'ai fait une demande de prise en charge suite à un accident de travail par courrier suite aux conseils de ma conseillère BNP Paribas. C'est le 3ème courrier identique que je reçois de leur part qui me demande les mêmes pièces. Je leur ai déjà envoyé 2 fois. Suite à un appel téléphonique ils me précisent qu'ils n'ont rien reçu et que je dois leur envoyer les documents une 3ème fois par mail cette fois ci. Lamentable !</t>
  </si>
  <si>
    <t>Cardif</t>
  </si>
  <si>
    <t>credit</t>
  </si>
  <si>
    <t>train</t>
  </si>
  <si>
    <t>27/08/2019</t>
  </si>
  <si>
    <t>01/08/2019</t>
  </si>
  <si>
    <t>herval-105667</t>
  </si>
  <si>
    <t>Cette mutuelle est nulle. Très difficilement joignable au téléphone. On est en mars 2021, j'attends toujours d'être remboursée de 2 factures d'orthodontie pour mes enfants l'une date de novembre l'autre de janvier. Cela représente près de 500 euros !!!!!!! 
C'est inadmissible quand on voit combien on est prélevé par mois en date et en heure de leur mensualité !!!! Ils me demandent de re fournir les mêmes documents en permanence. 
En plus, contrairement à ma mutuelle précédente que je regrette, ils ne remboursent pas tous les frais à 100%... Je ne recommande pas. Fuyez MERCER !</t>
  </si>
  <si>
    <t>Mercer</t>
  </si>
  <si>
    <t>sante</t>
  </si>
  <si>
    <t>06/03/2021</t>
  </si>
  <si>
    <t>01/03/2021</t>
  </si>
  <si>
    <t>garnier-h-123777</t>
  </si>
  <si>
    <t>Je satisfait du service très facile à renseigner avec des tarifs très intéressant je n'ésiterai pas de la recommander autour de moi,c'est une compagnie d'assurance sérieuse</t>
  </si>
  <si>
    <t>L'olivier Assurance</t>
  </si>
  <si>
    <t>auto</t>
  </si>
  <si>
    <t>19/07/2021</t>
  </si>
  <si>
    <t>01/07/2021</t>
  </si>
  <si>
    <t>axel-102603</t>
  </si>
  <si>
    <t>Tres bonne satisfaction de cette mutuelle pour le service qu'elle propose ainsi que les prix. Je recommande cette mutuelle sans aucun doute possible..</t>
  </si>
  <si>
    <t>MGP</t>
  </si>
  <si>
    <t>13/01/2021</t>
  </si>
  <si>
    <t>01/01/2021</t>
  </si>
  <si>
    <t>legoulo56-87925</t>
  </si>
  <si>
    <t xml:space="preserve">après une offre très modéré au niveau tarif sur une assurance tous Risques auto 2018 à 319,64 euros la cotisation pour la même prestation est passée en 2019 à 383,81 euros soit + de 16% d'augmentation et avec une explication des plus fantaisiste : les autres compagnies ont aussi augmenté leurs tarifs !! alors si vous souhaitez changer faites le ???? </t>
  </si>
  <si>
    <t>Direct Assurance</t>
  </si>
  <si>
    <t>04/03/2020</t>
  </si>
  <si>
    <t>01/03/2020</t>
  </si>
  <si>
    <t>olivier-79378</t>
  </si>
  <si>
    <t xml:space="preserve">J’ai 49 ans et ai toujours été assuré auprès de la MAIF. En revanche, je n’avais jamais eu, sauf erreur de ma part, à solliciter leur assistance. C’est désormais chose faite à l’occasion d’un dégât des eaux dont j’ai été victime. Je suis atterré. 
Vous trouverez ci-après mon retour d’expérience avec la MAIF, une de ses entreprises partenaires et un de ses experts. C’est un peu long mais édifiant.
Le 12 novembre 2018 j’adresse à la MAIF le constat de dégât des eaux signé avec le propriétaire de l’appartement à l’origine de la fuite. Le 19 novembre la MAIF me confirme par téléphone la prise en charge des travaux de remise en état de mon appartement et me propose de recourir à une entreprise partenaire. J’accepte. Finalement, la MAIF me suggère le 6 mars 2019 de chercher un entrepreneur de mon côté car l’entreprise partenaire, qui est pourtant venue faire ses constations chez moi le 6 janvier, n’a jamais envoyé son devis malgré les relances de la MAIF. Nous avons donc perdu plus de trois mois avec ce partenaire. 
Je contacte un entrepreneur le 11 mars. Il vient chez moi le 13 et m’adresse son devis le 18. Je transmets ce devis de 3 850 euros TTC le lendemain, 19 mars, à la MAIF qui m’indique par retour faire intervenir un expert pour chiffrer les travaux de remise en état. C’est dommage que cette décision ne soit pas intervenue quatre mois plus tôt.
Un rendez-vous est finalement pris le 5 avril et l’expert se déplace chez moi pour faire ses constations le 6 mai, sa première date possible. Il adresse ensuite son rapport à la MAIF sans m’avoir soumis ses conclusions ou sollicité mon avis au préalable. Le rapport ne me sera jamais transmis, que ce soit par l’expert ou par la MAIF. Cela n’empêche pourtant pas la MAIF de m’opposer les conclusions de ce rapport, sans même me le communiquer. Autant pour le caractère contradictoire de l’expertise.
Sans nouvelle après la visite de l’expert je contacte son secrétariat qui m’indique le 29 mai que le rapport a été envoyé à la MAIF et qu’il m’appartient de contacter cette dernière pour connaître les conclusions de l’expert. Je m’adresse donc à la MAIF qui me confirme par e-mail le 3 juin la réception du rapport d’expertise. Elle m’indique que ce rapport lui permet de m’indemniser et qu’un virement de 1 432,20 euros correspondant à mes dommages va m’être adressé. Elle me précise également qu’un complément d’indemnisation me sera versé sur présentation de justificatifs et dans la limite de l’évaluation de l’expert, mais sans mentionner le montant de cette évaluation. Je réponds par retour le même jour pour indiquer que je vais faire effectuer les travaux sur la base du devis précédemment obtenu et communiqué à la MAIF et à l’expert. Je souligne ne pas connaître l’évaluation de l’expert et demande expressément à être informé si le devis, sur lequel ni la MAIF ni l’expert ne m’ont jamais fait la moindre remarque, excède l’évaluation de l’expert. Je joins une nouvelle copie du devis à mon e-mail. Je n’ai pas de réponse à mon e-mail.
Je laisse passer une semaine puis je me rapproche de l’entrepreneur le 11 juin et lui confirme mon accord sur son devis. Le 21 juin nous convenons que les travaux seront effectués chez moi du 1er au 5 juillet et le lendemain je réserve une semaine de vacances à l’étranger pour la même période afin de laisser la place aux ouvriers et ne pas être dérangé par les travaux. Le 25 juin, soit plus de trois semaines après nos échanges du 3 juin, la MAIF m’informe finalement que l’évaluation fixée par l’expert est de 1 909,60 euros et qu’il m’appartient de renégocier le devis avec l’entrepreneur ou, à défaut, que les travaux seront effectués par une de ses entreprises partenaires. Je réponds le même jour pour faire part de mon incompréhension vis-à-vis du délai de trois semaines à revenir vers moi et explique,  eu égard aux engagements contractuels souscrits vis-à-vis de l’entrepreneur et du voyagiste, qu’il m’est impossible de renégocier le devis et ou annuler et ou reporter les travaux ainsi que la semaine de vacances sans encourir des pénalités financières et des inconvénients pratiques. Mon e-mail du 25 juin reste sans réponse de la MAIF. 
Les travaux sont effectués comme prévu début juillet et je règle la facture de l’entrepreneur. J’adresse le 24 juillet à la MAIF une copie de la facture dont le montant est identique au devis initial. J’explique notamment dans mon e-mail que je considère que l’évaluation de l’expert ne peut pas m’être opposée dès lors que, selon moi, la MAIF a commis une première faute en omettant de me communiquer spontanément le 3 juin le chiffrage de son expert alors de surcroît qu’elle ne pouvait pas ignorer qu’il était inférieur au devis communiqué, puis une seconde faute en mettant plus de trois semaines à revenir vers moi pour me le communiquer alors qu’elle savait pertinemment que je mandatais l’entrepreneur pour procéder aux travaux.
La MAIF n’a pas répondu à ma réclamation du 24 juillet, malgré une relance écrite le 30 août. J’ai en revanche reçu le 30 août une somme complémentaire de 477,40 euros destinée à compléter mon indemnisation dans la limite du chiffrage de l’expert. Je reste donc débiteur de ma poche d’une somme de 1 940,40 euros, soit la différence entre le coût des travaux et l’évaluation de l’expert. 
J’ai appelé à deux reprises la MAIF le 9 août et le 20 septembre, pour m’enquérir du statut de ma réclamation mais sans succès. La MAIF m’a finalement indiqué le 25 septembre qu’elle allait faire le point avec son expert et revenir vers moi dans les meilleurs délais. J’avais en en effet interrogé la MAIF le 24 juillet par écrit sur la méthodologie adoptée par son expert pour essayer de comprendre son chiffrage et avais eu des retours sous forme de messages vocaux les 9 et 28 août. Mes dernières remarques en réponse adressées le 30 août à la MAIF, par écrit, sont en revanche toujours sans réponse à ce jour. Ceci dit, mon grief principal est dirigé contre la MAIF elle-même et non contre son expert et c’est une réponse de la MAIF à ce grief que je désespère de recevoir.
Je vais désormais saisir le service réclamation de la MAIF. Je n’en attends pas grand-chose mais sait-on jamais. D’une part, j’imagine que ce service sera plus à même de se prononcer sur une éventuelle faute du service gestion de sinistre dès lors qu’il n’est pas directement concerné par ma réclamation. D’autre part, cela me permettra de pouvoir justifier judiciairement que j’ai exploré toutes les démarches amiables susceptibles d’être effectuées auprès de la MAIF avant de saisir le tribunal fin octobre, si cela n’a pas été réglé d’ici là.
Je ne manquerai pas de vous faire part du retour, positif ou négatif, de ce service réclamation pour votre complète information.  
A suivre donc.
</t>
  </si>
  <si>
    <t>MAIF</t>
  </si>
  <si>
    <t>habitation</t>
  </si>
  <si>
    <t>08/10/2019</t>
  </si>
  <si>
    <t>01/10/2019</t>
  </si>
  <si>
    <t>fanfan-35626</t>
  </si>
  <si>
    <t>je suis une retraitée de ST GOBAIN PAM je suis donc restée à cette assurance depuis 2007 qui était celle de mon entreprise. Rien à signaler jusqu'à présent mais depuis le 10 juin j'attends un remboursement de 65€ pour un verre de lunette pour mon mari qui s'est fait opérer de la cataracte et qui me met pas de verre progressif donc 2 paires de lunettes une vision de près et une vision de loin sans changer les montures tout en étant passé par le réseau Kalivia j'ai déjà relancé 4 fois et toujours rien alors que pour les miens qui sont progressisf et dont le montant s'élève à 700€ je n'ai fait aucune avance de frais. Chercher l'erreur...</t>
  </si>
  <si>
    <t>Harmonie Mutuelle</t>
  </si>
  <si>
    <t>20/08/2020</t>
  </si>
  <si>
    <t>01/08/2020</t>
  </si>
  <si>
    <t>christian-55788</t>
  </si>
  <si>
    <t>je reçois hier le 3 juillet un courrier de CARDIF qui me dit :au vu du rapport d'expertise reçu, notre médecin conseil a constaté que vous n' êtes plus en arrêt de travail, (bien sûr puisque je suis en invalidité, et CARDIF le sait) votre taux contractuel d'incapacité de travail est inférieur à 66 % , ils ont pourtant connaissance de l' arrêté du comité médical du Ministère de l' Intérieur qui m' déclaré inapte de manière absolue et définitive au métier de policier et à tout emploi, suite aux nombreuses expertises réalisées par des experts psychiatres. La maladie ne me permet pas de travailler, et croyez moi, je ne vais pas en rester là !!!</t>
  </si>
  <si>
    <t>04/07/2017</t>
  </si>
  <si>
    <t>01/07/2017</t>
  </si>
  <si>
    <t>thierry-107897</t>
  </si>
  <si>
    <t xml:space="preserve">Suite à un dégât des eaux 
Pacifica a envoyé un expert pour constater 
L expert a couper l eau et a dit qu'il allait transmettre à Pacifica son rapport 
Pour faire simple plus d eau dans l appartement 
Quand ont les contact pour connaître le délai d intervention la réponse et 
Dans plusieurs semaines 
Quelle honte cette assurance 
Comment peut on laissé un appartement avec des enfants plusieurs semaines sans eau </t>
  </si>
  <si>
    <t>Pacifica</t>
  </si>
  <si>
    <t>24/03/2021</t>
  </si>
  <si>
    <t>gregory-l-126789</t>
  </si>
  <si>
    <t>je suis tres content  de conditions d'assurances, je suis heureux de faire partie de vos assurés pour les tarifs. je suis ravi d'être chez direct assurance</t>
  </si>
  <si>
    <t>06/08/2021</t>
  </si>
  <si>
    <t>01/08/2021</t>
  </si>
  <si>
    <t>rochefeuille-n-126821</t>
  </si>
  <si>
    <t>Personnel à l'écoute et bien veillant, pour un accueil téléphonique rapide et efficace. 
L'amabilité ainsi que l'accessibilité de vos conseillers semblent être une plus-value très intéressante de votre société d'assurance.</t>
  </si>
  <si>
    <t>baptiste-m-123671</t>
  </si>
  <si>
    <t xml:space="preserve">Site tres bien et rapide. Bien pratique. Je peux assurer ma moto des aujourd hui. Je recommande a tous ceux qui voudraient assurer leur nouvelle moto.  </t>
  </si>
  <si>
    <t>APRIL Moto</t>
  </si>
  <si>
    <t>moto</t>
  </si>
  <si>
    <t>17/07/2021</t>
  </si>
  <si>
    <t>tatia-105320</t>
  </si>
  <si>
    <t xml:space="preserve">Très bon rapport qualité prix !
les conseillers à l'écoute et au service du client! 
Je recommande cette assurance, le traitement des dossiers est rapide et efficace. </t>
  </si>
  <si>
    <t>03/03/2021</t>
  </si>
  <si>
    <t>veronique-b-107337</t>
  </si>
  <si>
    <t>Les tarifs augmentent d'une année sur l'autre, +60 euros cette année
Souscription en 2018 d'un nouveau contrat tous riques à 555 €.
Le tarif pour cette année est à 760 €, soit une augmentation de 200 € en 3 ans.</t>
  </si>
  <si>
    <t>21/03/2021</t>
  </si>
  <si>
    <t>laxaelo-69130</t>
  </si>
  <si>
    <t>Super accueil de Groupama en agence dans le 29 qui permet d'assurer une situation complexe indivision/nus propriétaires/ usufruitier avec en bonus une réduction pour achat de plusieurs contrat en simultané.</t>
  </si>
  <si>
    <t>Groupama</t>
  </si>
  <si>
    <t>28/07/2020</t>
  </si>
  <si>
    <t>01/07/2020</t>
  </si>
  <si>
    <t>floflo151061-61215</t>
  </si>
  <si>
    <t>Prélevée par erreur pendant 6 mois à la place d’un autre client 
C’est la deuxième fois heureusement que je surveille mes comptes
Problème datant de mai 2017 toujours pas resolu
J’ai fait opposition</t>
  </si>
  <si>
    <t>07/02/2018</t>
  </si>
  <si>
    <t>01/02/2018</t>
  </si>
  <si>
    <t>de-sousa---besnard-a-133735</t>
  </si>
  <si>
    <t xml:space="preserve">Très satisfaite de mon échange avec L'Olivier Assurance, 1er contact avec eux et je suis rassurer pour la suite et j'espère que si il y a sistre ou non ils sauront répondre à mes attentes </t>
  </si>
  <si>
    <t>21/09/2021</t>
  </si>
  <si>
    <t>01/09/2021</t>
  </si>
  <si>
    <t>lotus5-51217</t>
  </si>
  <si>
    <t>Assurance joignable et sérieuse
Ils ne prennent pas leurs assurés pour des pigeons , en cas de sinistre ils sont là pour vous assurer.
rapport qualité/prix très bon</t>
  </si>
  <si>
    <t>12/01/2017</t>
  </si>
  <si>
    <t>01/01/2017</t>
  </si>
  <si>
    <t>nero-74617</t>
  </si>
  <si>
    <t xml:space="preserve">j'ai 70 ans - j'ai été assuré à la MAIF pendant plus de 20 ans pour les voitures - pas de sinistres - en 2017 j'ai lancé l ahbitation et la protection juridique - ayant eu des soucis, j'ai fait appel a la protection  juridique : refus - à ce jour je me retrouve avec trois hypothèques judiciaires - la MAIF ne veut rien savoir - scandaleux et lamentable j ai cotisé pendnant 20 ans sans sinistre pour les voitures et quand je demande à etre indemnisé au titre de la protection juridique : simple courrier reçu : résilions le contrat pour relation altérée - C est irrespectueux je suis déçue à mon age et je ne recommande pas - 
</t>
  </si>
  <si>
    <t>30/03/2019</t>
  </si>
  <si>
    <t>01/03/2019</t>
  </si>
  <si>
    <t>ventures-francis-97840</t>
  </si>
  <si>
    <t xml:space="preserve">Client depuis septembre 2005, ma prime est passée de 23,30 € en 2013, à 29,97 en 2018 (28 % en 5 ans), puis 33,66 en 2019 et maintenant 39,35 en 2020, soit 69 % d'augmentation depuis l'origine du contrat !!!!!!
Pourquoi ma cotisation Assurance habitation a-t-elle augmenté de 17% cette année, et aussi de 12% l'année dernière, alors que les médias annoncent des augmentations de l'ordre de 1;5 à 2,2 %, éventuellement jusqu'à 5% dans des cas exceptionnels?
J'attends de recevoir vos justificatifs plausibles. </t>
  </si>
  <si>
    <t>Allianz</t>
  </si>
  <si>
    <t>25/09/2020</t>
  </si>
  <si>
    <t>01/09/2020</t>
  </si>
  <si>
    <t>hermans-j-134763</t>
  </si>
  <si>
    <t>souscription facile par internet. Prix assez bon. Trouvé par un comparateur d'assurance. Carte verte temporaire dispo de suite. Bon service. A recommander</t>
  </si>
  <si>
    <t>27/09/2021</t>
  </si>
  <si>
    <t>pat-80019</t>
  </si>
  <si>
    <t>Très satisfaite de ma conseillère  clientèle  LAMIA 
Je lui donne 5 étoiles</t>
  </si>
  <si>
    <t>Santiane</t>
  </si>
  <si>
    <t>14/10/2019</t>
  </si>
  <si>
    <t>ornella-p-110863</t>
  </si>
  <si>
    <t>Rapide pratique sécurisée super facile à souscrire je conseille vivement et espère être satisfaite du service par la suite et compter plusieurs années d’assurance avec eux</t>
  </si>
  <si>
    <t>19/04/2021</t>
  </si>
  <si>
    <t>01/04/2021</t>
  </si>
  <si>
    <t>nico411-66661</t>
  </si>
  <si>
    <t>Bonjour,
Je me retrouve avec le même problème et  avec direct assurances.
Ma voiture est immobilisée au garage pour quelques jours et j'ai bénéficié d'un prêt de voiture du garage pendant la réparation.
Le seul problème est que direct assurances me refuse le transfert de garantie ( le garage que j'ai contacté pour les en informé m'a dit qu'il avait jamais vu Ca une assurance qui ne fait pas de transfert de garanties).
Bref je suis dans l'obligation de rendre le véhicule gentille ment prêter par mon garage tout Ca à cause de direct assurances et bon courage à moi pour aller au travail (je ne sais pas comment je vais faire pour parcourir les 45 kms journalier pour me rendre au travail.
C'est de la honte d'agir de cette facon.</t>
  </si>
  <si>
    <t>06/09/2018</t>
  </si>
  <si>
    <t>01/09/2018</t>
  </si>
  <si>
    <t>jmi-55059</t>
  </si>
  <si>
    <t>Un dossier invalidité ouvert depuis plus de 2 mois; 2 mois que le service est injoignable!! aucune réponse aux mails pourtant lus!!!! honteux documents réclamés alors que je les ai envoyés!!!</t>
  </si>
  <si>
    <t>SwissLife</t>
  </si>
  <si>
    <t>prevoyance</t>
  </si>
  <si>
    <t>01/06/2017</t>
  </si>
  <si>
    <t>nazim-m-130783</t>
  </si>
  <si>
    <t>Je suis satisfait du service, simple et rapide via internet
Le prix me convient parfaitement
Je compte potentiellement faire un devis pour mon prochaine habitation</t>
  </si>
  <si>
    <t>02/09/2021</t>
  </si>
  <si>
    <t>benoit--h-106540</t>
  </si>
  <si>
    <t>Je suis juste déçu par l’écart de prix qu’il peut y avoir pour un nouveau client par rapport à ma cotisation annuelle ! Du coup, je me sens obligé de contacter le service client pour tenter d’obtenir un geste commercial</t>
  </si>
  <si>
    <t>14/03/2021</t>
  </si>
  <si>
    <t>alison-l-128145</t>
  </si>
  <si>
    <t>Je suis satisfaite c'est rapide l'inscription et le sprix me conviennent bien en espérant que le fait qu'il n'y ait pas d'interlocuteur en visu ne soit pas problématique</t>
  </si>
  <si>
    <t>16/08/2021</t>
  </si>
  <si>
    <t>didier-h-118046</t>
  </si>
  <si>
    <t>je trouve un peu cher pour une voiture de 2009 et au tiers d autant que j ai plusieurs contrat chez vous.Les prix devrait etre degressif en fonction du nombre de contrats</t>
  </si>
  <si>
    <t>23/06/2021</t>
  </si>
  <si>
    <t>01/06/2021</t>
  </si>
  <si>
    <t>denis-d-123464</t>
  </si>
  <si>
    <t>Très mécontent des augmentations régulières !
Par contre, très satisfait des prestations, donc je reste encore client, jusqu'à quel pourcentage d'augmentation ?.....</t>
  </si>
  <si>
    <t>15/07/2021</t>
  </si>
  <si>
    <t>ducazau-g-138669</t>
  </si>
  <si>
    <t xml:space="preserve">Satisfaction des services , écoute et réactivité . 
Des réponses  adaptées aux situations présentées . 
Rapidité d’accès téléphonique avec les conseillers </t>
  </si>
  <si>
    <t>31/10/2021</t>
  </si>
  <si>
    <t>01/10/2021</t>
  </si>
  <si>
    <t>ursule-63858</t>
  </si>
  <si>
    <t>NUL - SERVICE CLIENT INEXISTANT - NON RESPECT DES CONTRATS-SERVICE CLIENT INCOMPETANT-IGNORANT DES SERVICES A APPORTER- MECONNAISSANCE DE LEURS PROPRES CONTRATS</t>
  </si>
  <si>
    <t>08/05/2018</t>
  </si>
  <si>
    <t>01/05/2018</t>
  </si>
  <si>
    <t>oliviag-74898</t>
  </si>
  <si>
    <t>Je viens de subir un sinistre. La personne qui s'occupe de mon dossier Emeline est juste incompétente et incapable de répondre à mes questions (ex: comment compléter un constat car premier accident sa réponse je ne sais pas). Tout au long de la procédure j'ai du aller vers elle pour essayer de comprendre la suite de mon dossier puisque j'avais aucune information. C'est juste inacceptable ! Plus jamais je prendrai une assurance liée à une banque ils ne sont pas spécialisés dans les accidents je ne recommande pas du tout  !!!!! A FUIR !</t>
  </si>
  <si>
    <t>09/04/2019</t>
  </si>
  <si>
    <t>01/04/2019</t>
  </si>
  <si>
    <t>titouan-105497</t>
  </si>
  <si>
    <t>Une catastrophe, je viens de recevoir mon avis d'échéance et là, surprise + 23 % avec 50 % de bonus, aucun accident depuis plus de 25 ans et presque pas roulé cette année. (2020 : 415 € - 2021 : 519.65 €). Mutuelle solidaire, j'ai des doutes. Je vais résilier.</t>
  </si>
  <si>
    <t>Mutuelle des Motards</t>
  </si>
  <si>
    <t>04/03/2021</t>
  </si>
  <si>
    <t>jaje-116236</t>
  </si>
  <si>
    <t xml:space="preserve">April santé ne fait rien pour aider à résilier leur contrat bien au contraire. Comptez sur un temps de réaction très long en cas de besoin. Facile d'y adhérer difficile d'en partir.
Très mécontent </t>
  </si>
  <si>
    <t>APRIL</t>
  </si>
  <si>
    <t>07/06/2021</t>
  </si>
  <si>
    <t>guzard-96756</t>
  </si>
  <si>
    <t>le 20 aout ils ont démarche mon pere age de 83 ans par téléphone et par intermédiaire de vinc assurance.
Il n'y a pas eu de signature "électronique" car par de mail et surtout pas de couverture téléphone mobile.
ils ont tout de même édité un contrat de mutuelle.
une plainte est déposée en gendarmerie ainsi qu'au niveau de la DGCCRF.
Il est grand temps de les sanctionner.</t>
  </si>
  <si>
    <t>Cegema Assurances</t>
  </si>
  <si>
    <t>28/08/2020</t>
  </si>
  <si>
    <t>brassier-m-112144</t>
  </si>
  <si>
    <t>je suis très  très satisfait  de votre service d'assurance en ligne. Le processus pour assurer un véhicule  est très  simple et très rapide. je recommande !</t>
  </si>
  <si>
    <t>29/04/2021</t>
  </si>
  <si>
    <t>ziburru-58341</t>
  </si>
  <si>
    <t xml:space="preserve">La minette de notre fille de 6 ans âgée d 1 an vient de mourir d'une PIF diagnostiquée à la fin d'un séjour d une semaine en soins intensifs à Maison Alfort. 
Nous avions souscrit le contrat SantéVet Optimal qui rembourse en totalité les frais liés aux maladies jusqu’à 2500 € par an.
La facture d'un peu plus 1300 Euros devait donc être prise en charge intégralement car il s'agit de frais en soins intensifs consécutifs à une maladie non congénitale. </t>
  </si>
  <si>
    <t>SantéVet</t>
  </si>
  <si>
    <t>animaux</t>
  </si>
  <si>
    <t>24/10/2017</t>
  </si>
  <si>
    <t>01/10/2017</t>
  </si>
  <si>
    <t>phch-61457</t>
  </si>
  <si>
    <t xml:space="preserve">N'ayez jamais recours à leur médiateur malgré votre bon droit c'est perdu d'avance. Depuis 3 mois en litige suite remboursement dépassement honoraires chirurgien alors que tous les documents sont clairs et nets depuis le départ, ce médiateur confirme la conformité du remboursement alors que le taux prévu au contrat de groupe n'est pas respecté sur une base, il vous appelle un dimanche et se met en colère dès que vous lui dites que vous avez réellement dépensé cette somme ne vous laisse plus parler puis met fin à la conversation en disant d'aller au tribunal lui s'en moque !
Je signale à Harmonie Mutuelle que je n'ai pas facebook </t>
  </si>
  <si>
    <t>08/06/2018</t>
  </si>
  <si>
    <t>01/06/2018</t>
  </si>
  <si>
    <t>loren-108980</t>
  </si>
  <si>
    <t xml:space="preserve">Assureur avec une très bonne communication. Je suis très satisfaite de mon choix. Entièrement a notre disposition. Échanges de qualité, rapide et efficace. Je recommande vivement cet assureur. </t>
  </si>
  <si>
    <t>02/04/2021</t>
  </si>
  <si>
    <t>karamel-98371</t>
  </si>
  <si>
    <t xml:space="preserve">Bonjour J ai des soins médicaux comme soins dentaire appareil  orthodontie pour mes enfants lunettes ou bien sur il faut un devis pour chaque acte  tout ça à un coût pour la famille  c est une mutuelle société toujours à l écoute disponible soit par téléphone et mail réponse et retour de devis pour une clartee et rapidité pour effectuer les soins  je recommande cette mutuelle pour en avoir eu plusieurs  celle ci ont s y retrouvent en prise en cgarge remboursement recommande cette mutuelle pour une vie plus saine </t>
  </si>
  <si>
    <t>Génération</t>
  </si>
  <si>
    <t>05/10/2020</t>
  </si>
  <si>
    <t>01/10/2020</t>
  </si>
  <si>
    <t>farah-h-105290</t>
  </si>
  <si>
    <t xml:space="preserve">jusqu'à présent j’étais très très contente de vos services, je vous ai conseillée à pas mal de monde autour de moi mais enfaite je suis très déçu de la gestion du sinistre et de mon dossier. J'ai le sentiment d’être volée et d'avoir été manipulée. Nos 4 véhicules vont changés de compagnie si cela se confirme et je vous déconseillerais très fortement ! </t>
  </si>
  <si>
    <t>ldauvillier-92042</t>
  </si>
  <si>
    <t>Appel réalisé ce jour afin d'obtenir des éclaircissements concernant mon contrat et une situation particulière. Ma correspondante m'a apporté tous les éléments d'une manière claire, rapide et efficace. Le processus d'identification est très poussé: c'est très rassurant</t>
  </si>
  <si>
    <t>24/06/2020</t>
  </si>
  <si>
    <t>01/06/2020</t>
  </si>
  <si>
    <t>la-laeti--107009</t>
  </si>
  <si>
    <t>Des conseillers extrêmement agréable et professionnels basés  en France des tarifs parmi les plus bas du marché une rapidité et un traitement simple de tout dossier ou changement soit sur l’espace personnel soit au téléphone au top</t>
  </si>
  <si>
    <t>18/03/2021</t>
  </si>
  <si>
    <t>el-bachir-o-124856</t>
  </si>
  <si>
    <t xml:space="preserve">Interlocuteur présent  ET PROFESSIONNELLE qui m'a accompagné dans l'ensemble des démarches, Tout se fait par internet et pas de paperasse inutile. Le prix ? deux fois moins cher que l' assurance proposée par ma banque.
Merci à Benjamin Service impeccable. </t>
  </si>
  <si>
    <t>Zen'Up</t>
  </si>
  <si>
    <t>26/07/2021</t>
  </si>
  <si>
    <t>belhena-b-116786</t>
  </si>
  <si>
    <t>Bonjour, service pas trop mal. Facile d’accès et bien expliqué. Site internet accessible même sur smartphone, pour ma part je recommande sans aucun problème.</t>
  </si>
  <si>
    <t>11/06/2021</t>
  </si>
  <si>
    <t>meree-56085</t>
  </si>
  <si>
    <t>une offre incohérente avec les tarifs indiqués sur lesfurets.com. quasiment 110 EUR de différence entre la 1ère offre reçue et la 2nde après discussion avec la commerciale. Et elle me parlait d'un geste commercial: oui elle a passait les frais de dossier de 24 EUR à 60 EUR. Un geste commercial... pour eux</t>
  </si>
  <si>
    <t>Euro-Assurance</t>
  </si>
  <si>
    <t>18/07/2017</t>
  </si>
  <si>
    <t>butman-75915</t>
  </si>
  <si>
    <t>Merci à Sarah pour sa gentillesse et son professionnalisme.</t>
  </si>
  <si>
    <t>14/05/2019</t>
  </si>
  <si>
    <t>01/05/2019</t>
  </si>
  <si>
    <t>testerine-60484</t>
  </si>
  <si>
    <t>Mutuelle de plus en plus décevante avec des "conseillers" incompétents! Des erreurs dans les remboursements, pas un seul conseiller ne vous donne la même réponse! Tout est prétexte à ne pas rembourser malgré la formule Intégrale! Exemple d'incompétence: demande de récupération du QR code de la vaccination covid. La MGEN répond qu'elle n'est pas en mesure de nous le faire récupérer et ne sait pas comment nous devons procéder! Le comble est que, ce matin, ma pharmacienne m'a dit qu'il suffisait de le demander en pharmacie... Avec notre numéro d'assuré, elle pouvait nous le sortir en quelques minutes! La MGEN n'a pas été foutue de nous fournir cette information! Réflexion des médecins et pharmaciens: "Ah!!! la MGEN!!!" Ca veut tout dire!</t>
  </si>
  <si>
    <t>Mgen</t>
  </si>
  <si>
    <t>04/06/2021</t>
  </si>
  <si>
    <t>marine-87023</t>
  </si>
  <si>
    <t>Depuis avril 2019, je me bat avec eux pour un coefficient CRM mal enregistré malgrè la communication de mon relevé d'information. Ceux-ci ne pouvant le modifier informatiquement (2 ans après la souscription) m'ont fait résilier et re souscrire un nouveau contrat. La pépite ? Je suis de nouveau réengagée pour un an !!! Je ne peux donc faire valoir la loi HAMON malgrès que je soit chez PACIFICA depuis 3 ans. Sans compter le nombres incalculables d'interlocuteurs que vous avez, où vous devez réexpliquer toute l'histoire à chaque fois ... Je compte prendre contacte avec le médiateur afin d'espérer pouvoir partir de cette assurance au plus vite.  Bref à fuire, mais faites vraiment demi tour !!!!!</t>
  </si>
  <si>
    <t>11/02/2020</t>
  </si>
  <si>
    <t>01/02/2020</t>
  </si>
  <si>
    <t>bio93-77861</t>
  </si>
  <si>
    <t xml:space="preserve">On nous force à payer Régime de prévoyance familiale accident alors qu'on n'a jamais signé. Je téléphone pour pouvoir payer car la cotisation de l'assurance auto mais pas cette assurance régime de prévoyance familiale accident et on me dit que c'est impossible. Une personne de la macif aurait validé les deux assurances et ils ne peuvent plus rien faire. Cela semble être une vente forcée. 
Loi : vente forcée : interdit par la loi : Article L122-3
Il est interdit d'exiger le paiement immédiat ou différé de biens ou de services fournis par un professionnel ou, s'agissant de biens, d'exiger leur renvoi ou leur conservation, sans que ceux-ci aient fait l'objet d'une commande préalable du consommateur
J'ai fait une réclamation et aucune réponse. J'aurai du l'avoir le 22 juillet 2019.
Ps 1 : on m'a demandé de faire une lettre pour résilier l'assurance non signée, un comble. 
Ps 2 : d'autres problèmes ont été relaté sur la réclamation </t>
  </si>
  <si>
    <t>MACIF</t>
  </si>
  <si>
    <t>23/07/2019</t>
  </si>
  <si>
    <t>01/07/2019</t>
  </si>
  <si>
    <t>nota-80629</t>
  </si>
  <si>
    <t xml:space="preserve">Bonjour à tous et à toutes,
J'ai été assurée en tous risques premium auprès de la MAIF. 
Invoquant une prétendue fausse déclaration sans réels arguments et sans rapport d'expert, la MAIF a refusé de m'indémniser. 
Voilà 2 ans que cette histoire dure sans qu'ils aient répondu à aucun des courriers transmis par mon avocat.
Je ne me laisserai pas faire, une publication médiatique  est prévue prochainement avec des dossiers de personnes qui ont menées le combat contre la MAIF et qui ont eu gain de cause et d'autres dans la même situation que moi.
Tous ceux qui veulent se joindre à nous sont les bienvenus.
</t>
  </si>
  <si>
    <t>01/11/2019</t>
  </si>
  <si>
    <t>xavier-r-110961</t>
  </si>
  <si>
    <t>Je suis satisfait du service et du prix à la souscription cependant j'ai déjà été assuré chez direct assurance et ma prime a augmenté au bout d'un an sans raison valable alors que mon bonus s'améliore et mon véhicule viellit ce qui m'a poussé à résilier
Je sors maintenant d'une expérience similaire avec un autre assureur (Olivier Assurance) dont j'étais tout autant satisfait cependant je n'ai jamais déclaré un sinistre ni avec direct assurance ou olivier assurance
Si cette expérience se reproduit ici de nouveau, je changerai de nouveau d'assureur l'année prochaine et ainsi de suite ...</t>
  </si>
  <si>
    <t>cardon-d-113421</t>
  </si>
  <si>
    <t xml:space="preserve">Je suis satisfaite de votre site il est clair et lisible et sans fioriture.
Les tarifs en vigueur me paraisse relativement honnête contrairement a d'autre devis réaliser </t>
  </si>
  <si>
    <t>11/05/2021</t>
  </si>
  <si>
    <t>01/05/2021</t>
  </si>
  <si>
    <t>mama-109960</t>
  </si>
  <si>
    <t>Ne récompense pas la fidélité bien au contraire. Il faut renégocier chaque année, c’est épuisant.Seuls les prix d’appels sont corrects. 
Pour les sinistres, je ne sais pas, cela fait bien longtemps que je n’en ai pas eu.</t>
  </si>
  <si>
    <t>10/04/2021</t>
  </si>
  <si>
    <t>lilika-63456</t>
  </si>
  <si>
    <t>Je vous déconseille cette mutuelle! suite à une inscription sur un comparateur de mutuelle santé, j'ai été contacté par un conseiller de cette mutuelle qui a ensuite passé le téléphone à un de ses collègues. à deux ils m'ont limite stressé, harcelé et presque obligé à souscrire à cette mutuelle.
quelques jours plus tard, j'ai résilié mon contrat par lettre recommandée avec accusé de réception dans un délai de 14 jours conformément à la législation en vigueur sur la vente à ligne à distance.
j'ai reçu par mail deux notifications: la première me signifiant que ma demande a été prise en compte et qu'elle sera traitée, la seconde me signifiant que mon contrat a été résilié. Grosse surprise! Neoliane m'a prelevé de l'argent sur mon compte le 16/04/2018 pourquoi? je ne sais pas. fuyez cette mutuelle je vous la déconseille fortement! j'exige le remboursement de mon argent!</t>
  </si>
  <si>
    <t>Néoliane Santé</t>
  </si>
  <si>
    <t>21/04/2018</t>
  </si>
  <si>
    <t>01/04/2018</t>
  </si>
  <si>
    <t>victor-v-112000</t>
  </si>
  <si>
    <t xml:space="preserve">Je suis satisfais merci de m'envoyer les justificatif pour la carte grise
Grâce au Furet, j'ai trouvé le.meilleur prix et c'est super rapide merci a vous </t>
  </si>
  <si>
    <t>28/04/2021</t>
  </si>
  <si>
    <t>bm42-113960</t>
  </si>
  <si>
    <t xml:space="preserve">Aucun sens du service client aucune écoute 
Très long temps d attente pour joindre un conseiller quand ils répondent !
Aucune empathie 
Personnel malveillant incorrect et irrespectueux </t>
  </si>
  <si>
    <t>17/05/2021</t>
  </si>
  <si>
    <t>genevieve08300-76212</t>
  </si>
  <si>
    <t>Alors hallucinant
A 3 mois et demi d'attente refus de complément d'indemnités maternité selon eux traité le 20juin mais un courrier mentionnant le motif sera envoyé dans les plus brefs délais  Mais là c'est le summum 
Soit disant aucune obligation d etre en contrat pour ce complément
Moi je n ai jamais demandé l ag2r sur mes fiches de paie je ne demandais qu à bénéficier ce qui m est du
Mes prochains contrats vont se dérouler autrement 
Et je reste toujours en attente du motif de refus</t>
  </si>
  <si>
    <t>Ag2r La Mondiale</t>
  </si>
  <si>
    <t>maryline-51769</t>
  </si>
  <si>
    <t>les prix sont vraiment tres raisonnable de plus il y a un service clientele receptif et rapide je recommande vivement</t>
  </si>
  <si>
    <t>28/01/2017</t>
  </si>
  <si>
    <t>sivasubramaniam-t-108741</t>
  </si>
  <si>
    <t>Je suis satisfait du service, une équipe à l’écoute. Une assurance correspondant à prix bas et convenant. Pour une première assurance moto très satisfaisant.</t>
  </si>
  <si>
    <t>31/03/2021</t>
  </si>
  <si>
    <t>agnes-110950</t>
  </si>
  <si>
    <t xml:space="preserve">Bjr.
Je suis onstaisfaite non seulement de la qualité de la relation client. L attente est très longue, malgré un numéro surtaxé. Les minutes ne défilent pas, la messagerie vocale vous répète plusieurs fois qu il ne reste plus que 12 mns d attente. On vous promet de vous donner la bonne adresse par email et ce n est pas fait.
Par ailleurs, je ne suis pas contente des remboursements.
Cela a commencé par les vaccins où j apprends que je n ai une enveloppe que de 25e chaque année.
Mon chiot à eu récemment une otite et je viens de recevoir un mail m informant qu il y a un délai de carence de 3 mois, et que donc les frais ne seront pas pris en charge.
Tout ça je le découvre car l inscription s est faite au forcing par téléphone.
Je n ai reçu le contrat écrit que plus tard.
J attends le temps nécessaire pour changer d assurance l an prochain. Et je n accepterai plus les souscriptions en ligne car on ne nous lit pas les exceptions.
</t>
  </si>
  <si>
    <t>Eca Assurances</t>
  </si>
  <si>
    <t>meggye45-56447</t>
  </si>
  <si>
    <t>En 4 ans de souscription chez eux, je n'ai eu aucun souci pour mon chat. Arrive d'un nouvel arrivant à la maison et gros chat attrapé le coryza... Et bien la plus personne pour nous aider car la date du vaccin est dépasser donc on refait les vaccins et tout et aucun remboursement. J'en suis franchement déçue et j'ai assurer mon nouveau chat ailleurs!</t>
  </si>
  <si>
    <t>02/08/2017</t>
  </si>
  <si>
    <t>01/08/2017</t>
  </si>
  <si>
    <t>kevinhln-108381</t>
  </si>
  <si>
    <t xml:space="preserve">top au niveau du conseiller, la personne a pu me répondre à mes question mais malheureusement je n’ai pas eu réponse à la somme pour faire mes lunettes </t>
  </si>
  <si>
    <t>29/03/2021</t>
  </si>
  <si>
    <t>bibou-91284</t>
  </si>
  <si>
    <t>bonjour
medames et mr ne dites pas que vous n'etes prevenu,ne vous assurez pas chez eux si vous ne voulez pas attraper le diabete.
service client qui se en mode robo des qui a un probleme ou reclamation ils repetent la meme phrase dix fois.
ils ne remboursent rien ,vous payez juste une vignaite sur le parbrise
ils prelevent sans prevenir
etc etc...
sauvez vous</t>
  </si>
  <si>
    <t>Active Assurances</t>
  </si>
  <si>
    <t>17/06/2020</t>
  </si>
  <si>
    <t>pooventhan-s-109966</t>
  </si>
  <si>
    <t>je ne peux pas benificié l'offre de parrinage car mon ami qui m'as conseillé utilisé direct. il n'ya pas d'option de metre son nom ou details de son contrat a la fin</t>
  </si>
  <si>
    <t>albra-129408</t>
  </si>
  <si>
    <t xml:space="preserve">Adhérent MGEN depuis 1970, j'ai demandé ma radiation en 2020.
Je vous cite le courrier que j'ai envoyé au Président de la MGEN via ma section départementale. Aucune réponse sur le fond, juste des appels téléphoniques pour me proposer de réduire mes prestations (déjà insuffisantes) pour baisser le coût :
"Objet : Résiliation de mon adhésion à la MGEN
Madame, Monsieur,
C'est le 16/09/1970 que j'ai adhéré à la M.G.E.N. Vous n'étiez peut-être pas né(e) à cette époque où certaines valeurs n'étaient pas que des mots mais se traduisaient dans les actes, car comme disait Malraux « Les idées ne sont pas faites pour être pensées mais pour être vécues ».
Après ce demi-siècle passé dans cette institution et en constatant la dérive qui l'a éloignée, particulièrement au cours de cette dernière décennie, des valeurs qui étaient les siennes, je suis au regret de vous faire part de ma décision de mettre terme à mon adhésion.
Je voudrais juste pour vous faire comprendre ma décision rappeler ce qu'était et devrait être encore aujourd'hui l'ambition de la MGEN : « la protection mutualiste Mgen est solidaire, sans option, sans sélection et garantie à vie » (propos de Jean-Michel Laxalt, président de la Mgen, dans un courrier aux adhérents daté d'octobre 2003)
Qu'en est-il aujourd'hui ? La Mgen, comme la plus capitaliste des sociétés d'assurance décline son offre en plusieurs formules pour répondre au mieux des attentes de ses « clients », pardon de ses adhérents : ceux qui se contentent d'une formule garantissant l'essentiel, mais pas forcément le nécessaire, ceux qui cherchent une formule renforcée et acceptent pour cela de payer un peu plus et ceux qui cherchent la garantie maximum et qui en paient le prix avec le même qualificatif ! 
Moi, je cherche ce qui reste de la solidarité et de l'idéal mutualiste dans cette déclinaison.
On me répondra que ce sont des évolutions indispensables pour assurer la pérennité de la Mgen et la qualité des prestations dans ce monde en constante mutation. En outre et c'est imparable, que ces évolutions résultent de la vie démocratique de notre mutuelle. 
C'est sans doute que la démocratie et la solidarité ne vont pas toujours bien ensemble.
Alors moi aussi je change et je m'adapte à notre nouveau monde bien peu mutualiste et solidaire, même si ces mots sont fréquemment employés ou plutôt galvaudés.
Quand Jean-Michel Laxalt écrivait aux adhérents en octobre 2003, j'étais alors directeur d'école du groupe 4 et au 11è échelon. Mon salaire brut était de 2423,44€.  La MGEN appliquait sur ce salaire le taux solidaire de 2,6% et ma cotisation mensuelle s'élevait à 63,27€.
Pas besoin de devis pour savoir comment je voulais ou pouvais être assuré et combien cela me coûterait. 
A cette étape, il n'est pas inutile de rappeler le slogan inscrit en gros caractères sur le courrier de Jean-Michel Laxalt, président de la Mgen en 2003 :
« Chacun contribue selon ses moyens
Et reçoit selon ses besoins. »
Aujourd'hui, en 2020, je suis retraité et ma pension brute s'élève à 2351,07€.
Mes moyens n'ont donc pas évolué entre 2003 et aujourd'hui.
Mais la cotisation Mgen ?  2,6% en 2003 et 4,7% en 2021, soit donc 63,27€ de cotisation mensuelle en 2003 et 111,23€ en 2021. (75,80% d'augmentation !)
Entre 2020 et 2021, la hausse de cotisation atteint 6,03% !
Alors, oui j'évolue et j'adopte moi aussi la stratégie du mieux pour le moins cher. Assez de la mutuelle qui a oublié le sens de ce mot.
Et même si c'est plus cher ailleurs, au moins on n'essayera pas de me vendre un idéal qui n'est plus qu'un souvenir."
</t>
  </si>
  <si>
    <t>25/08/2021</t>
  </si>
  <si>
    <t>cd44-102065</t>
  </si>
  <si>
    <t xml:space="preserve">Nous attendons plusieurs remboursements  pour un montant de 3200 euros. De frais dentaire.
Impossible de vous joindre. Impossible de savoir pourquoi. Nous avons envoyé plusieurs fois nos papiers car soit disant il manquait quelque chose. 
Nous attendons janvier ensuite nous aviserons pour un changement. </t>
  </si>
  <si>
    <t>31/12/2020</t>
  </si>
  <si>
    <t>01/12/2020</t>
  </si>
  <si>
    <t>medioni-d-122276</t>
  </si>
  <si>
    <t>Bonjour, c'est sur que c'est simple de passer par internet pour s'asssurer ,par contre c'est pas evident de transmettre les documents.cordialement medioni dino</t>
  </si>
  <si>
    <t>03/07/2021</t>
  </si>
  <si>
    <t>pierre-d-116961</t>
  </si>
  <si>
    <t>Conseiller vraiment sympathique , qui explique bien et qui accompagne bien .
Très à l'écoute du client .
Prix abordable et remise avec un second contrat appréciable.</t>
  </si>
  <si>
    <t>14/06/2021</t>
  </si>
  <si>
    <t>c4tiche-79033</t>
  </si>
  <si>
    <t>Prix très élevé. A fuir !
Des incompétents notoires doublés d'une grosse dose de mauvaise foi</t>
  </si>
  <si>
    <t>LCL</t>
  </si>
  <si>
    <t>07/09/2019</t>
  </si>
  <si>
    <t>01/09/2019</t>
  </si>
  <si>
    <t>sylvie-28158</t>
  </si>
  <si>
    <t xml:space="preserve">Bonjour,
Je tiens à signaler qu'après le décès de mon père en avril 2020, il a été très compliqué de récupérer le capital de l'assurance vie dont j'étais bénéficiaire. Le service succession AFER ne répondait pas aux demandes.  De plus, aucun intérêt n'a été perçu sur 2020 car la rémunération provisoire en 2020 chez l'AFER a été suspendu! Voila la réponse que j'ai obtenu! Donc 4 mois d'intérêts perdus pour nous mais surement pas pour eux!
Il faut donc mourir au 31/12/2020 pour avoir les interêts de 2020! Sinon rien! Ce n'est pas sérieux! 
</t>
  </si>
  <si>
    <t>Afer</t>
  </si>
  <si>
    <t>vie</t>
  </si>
  <si>
    <t>30/01/2021</t>
  </si>
  <si>
    <t>laurent-l-125022</t>
  </si>
  <si>
    <t>Je suis satisfait du service et de son site, simple et efficace. Les prix sont attractifs et le site permet de souscrire en peu de te:mps à un contrat d'assurance</t>
  </si>
  <si>
    <t>27/07/2021</t>
  </si>
  <si>
    <t>laetitia-p-116191</t>
  </si>
  <si>
    <t>Satisfaite jusqu'à présent - A voir en cas de sinistre. 
Prix compétitif mais en constante augmentation avec les années. Il faut renégocier pour avoir un tarif compétitif</t>
  </si>
  <si>
    <t>celo-109907</t>
  </si>
  <si>
    <t>Après avoir reçu sous 48H une proposition d'assurance, nous nous sommes inscrits sur le site. Puis nous avons tenté de renseigner le questionnaire médical : le site avait une erreur technique. Nous avons envoyé un mail au conseiller financier qui nous avait fait la proposition d'assurance, qui n'a jamais répondu
Ce service est O</t>
  </si>
  <si>
    <t>tazz97-2041</t>
  </si>
  <si>
    <t xml:space="preserve">Sociétaire depuis 40 ans de la GMF, j'ai été attaqué par les pitbulls de mes voisins avec deux interventions chirurgicales et un mois d'hospitalisation. Après prise de contact avec mon assurance habitation GMF, j'ai renvoyé mon dossier pour bénéficier de la défense recours de ma Responsabilité Civile.
Par un appel téléphonique trois jours après, mon agence m'informait que je ne bénéficiais plus d'une couverture en RC après suppression de cette garantie de mes deux maisons assurées, et qu'en conséquence, la GMF n'était pas concernée par ce qui m'était arrivé et qu'elle ne donnerait pas suite au dossier. Aucune suite à mes recours.
La GMF rebondit sur sa pub «proche de vous», je l'ai bien senti, le souffle brûlant dans ma nuque.
</t>
  </si>
  <si>
    <t>GMF</t>
  </si>
  <si>
    <t>02/10/2021</t>
  </si>
  <si>
    <t>chris-132853</t>
  </si>
  <si>
    <t xml:space="preserve">Déplorable : un dossier petite fissure sécheresse. Plus d'un an pas de nouvelle malgré plusieurs relances.
L interlocuteur ne répond jamais aux messages.
Un expert est passé il y a plus d'un an et a clairement confirmé dans un mail que le problème était lié à la sécheresse de 2019. 
J'apprends, via le cabinet d'expertise, il y a qq jours,  que Pacifica fait passer un autre expert ....
</t>
  </si>
  <si>
    <t>14/09/2021</t>
  </si>
  <si>
    <t>quentin-s-109309</t>
  </si>
  <si>
    <t>ok mais manque de clarté pour avoir un compte personnel, je n'est meme pas rentré de compte ni pu modifier la marque de moto, il est marqué qu'elle est de 2014 mais mis en circulation en 2011</t>
  </si>
  <si>
    <t>06/04/2021</t>
  </si>
  <si>
    <t>armin-89228</t>
  </si>
  <si>
    <t xml:space="preserve">A éviter en fermant les yeux et sans penser , L'inscription et la communication au début c'était vraiment facile après ils prennent pas leur part de responsabilité quand vous auriez un sinistre non responsable ou responsable vous voyez directement votre facture augmente et vous recevez chez vous une lettre de résiliation recommandée à la fin d'échéancier et quand on essaie de négocier de parler de demander plus d'explications par rapport à la résiliation et ne disent que c'est la société mère SwissLife qui décide il se base de quoi personne ne le sait pourtant l'heure de l'inscription et les prélèvements c'est active assurance c'est pas swisslife le mieux c'est à éviter il y a plein d'assurance qui mérite qu'on les paye est-ce qu'il m'a étonné c'est qui se décharge de toute responsabilité et pour vous faire fuir comme ça vous demandez pas vos droits il commence à parler mal comme ça il ne provoque et l'inverse sera fait et là il trouve l'occasion pour que vous soyez en tort faites attention un conseil d ex assuré </t>
  </si>
  <si>
    <t>01/02/2021</t>
  </si>
  <si>
    <t>alexandre-f-114977</t>
  </si>
  <si>
    <t xml:space="preserve">que dire : les prix pourraient être moins élévés, quand on est déjà client et que l'on a plusieurs contrats... cela serait bien de récompensé notre fidélité. </t>
  </si>
  <si>
    <t>26/05/2021</t>
  </si>
  <si>
    <t>doudou39-75507</t>
  </si>
  <si>
    <t xml:space="preserve">Pas terrible harmonie mutuelle.. Mutuelle pas chère pour les moins de 28 ans mais le niveau service client vraiment lamentable. Il faudrais penser à mieux vous former et surtout être un peu plus professionnel. </t>
  </si>
  <si>
    <t>30/04/2019</t>
  </si>
  <si>
    <t>noleloced-63143</t>
  </si>
  <si>
    <t xml:space="preserve">Au jour d aujourd'hui je suis prélevée pour une assurance auto qui n est plus assurée a la macif, malgré une lettre recommandée de résiliation et 4 appels telephoniques! Dans un premier temps ils me refusent cette résiliation sans explication, après un premier appel ils résilient  une seule des deux assurances concernés, deuxième appel le nécessaire n est toujours pas fait ils me promettent de le faire dans les plus brefs délais, troisième appel c est trop tard le prélèvement va passer le lendemain. Leurs excuses: l erreur est humaine et on ne parle QUE de 46Euros , dixit la conseillère!!!si on ne paye pas peut On donner comme excuse que ce n est que 46euros nous??? On me Refuse le remboursement ce mois ci alors que c est une erreur de leur part! Je serai remboursée  sur 12mois! se fiche t on de moi! </t>
  </si>
  <si>
    <t>11/04/2018</t>
  </si>
  <si>
    <t>guiguiange-112365</t>
  </si>
  <si>
    <t>Après un dégât des eaux important,l'impossibilité de nous reloger et quelques quiproquos malencontreux,la MAIF à malgré tout su gérer avec l aide de l expert (union expert) et l entreprise de travaux (vital assistance) dans un délai convenable mon problème et nous avons pu réintégré notre maison au bout de 4 mois.Je tiens à remercier opinion Assurance grâce à qui nous avons pu reprendre le contact avec mon assureur et la MAIF qui s intéresse aux avis de leurs assurés.</t>
  </si>
  <si>
    <t>muzo-50828</t>
  </si>
  <si>
    <t>E-allianz est un assureur low cost qui en donne moins que les autres mutuelles que j'ai quittées pour rejoindre Allianz, en pensant qu'un service distant, sans réseau d'agences de proximité permettrait d'avoir pour le même prix un service meilleur. Au lieu de cela je tombe sur un call-center qui vous laisse 17 minutes d'attente pour s'entendre dire qu'ils n'ont pas à justifier la résiliation de votre contrat, mais que le seul motif de cette résiliation était ces 3 accidents en 3 ans et qu'ils ne voulaient plus assumer le niveau de risque devant lequel je les mettais . Rendez-vous compte : 3 accidents non responsable (avec tiers identifiés) . Avec un bonus à 0.50 depuis 4 ans</t>
  </si>
  <si>
    <t>vince-93516</t>
  </si>
  <si>
    <t>Client depuis de longues années , Je suis très satisfait des tarifs attractifs, de me réactivité et des services fournis . Simple et rapide . Je recommande .</t>
  </si>
  <si>
    <t>08/07/2020</t>
  </si>
  <si>
    <t>ninice2000-101215</t>
  </si>
  <si>
    <t>Insatisfaction Totale de cette assurance  je résilie dans la foulé car j'ai eu 1 sinistre dont ma responsabilité n'était pas engagé  mon contrat inclus un véhicule de remplacement  .
Résultat  : j'ai du payé la somme de 1991€ de ma poche car aucune avance de frais  !!!! pas de garage agrée pour l'olivier sachez le c'est l'assistance qui me la dit  !!! Et Olive sur le gâteau  pas de véhicule de remplacement fournis  . LEUR PUBLICITE EST MENSONGERE ASSURANCE A FUIR !!!</t>
  </si>
  <si>
    <t>10/12/2020</t>
  </si>
  <si>
    <t>ophelie-v-124693</t>
  </si>
  <si>
    <t>Satisfaite de la rapidité du devis et de la souscription, tarif intéressant part rapport à certaines autres compagnies d'assurances,gdjdjdjjrkridofkfbfhu</t>
  </si>
  <si>
    <t>25/07/2021</t>
  </si>
  <si>
    <t>overfok-62667</t>
  </si>
  <si>
    <t>Initialement assureur choisi pour ses prix. 2 ans plus tard ils sont plus chers que les assureurs type MAAF ou Macif. Visiblement la révision du prix en fonction du bonus ne marche pas bien...
De toute manière, il ne faut pas espérer avoir une réponse positive, quelle que soit le demande, à part pour souscrire un nouveau contrat. Rien que pour avoir les cartes vertes il faut les relancer. Je n'ose pas imaginer la gestion d'un sinistre.</t>
  </si>
  <si>
    <t>26/03/2018</t>
  </si>
  <si>
    <t>01/03/2018</t>
  </si>
  <si>
    <t>valerie-p-121379</t>
  </si>
  <si>
    <t xml:space="preserve">Par rapport à la concurrence des prix plus élevés mais des conditions plus importantes dans la prise en charge.
Je n'ai eu que très peu recours aux différentes assurances souscrites depuis au moins 30 ans.
En 2020, un dégât des eaux compliqué a pris du temps à être géré par l'assurance. Les services autre que l'accueil agence n'ont pas été à la hauteur de mes attentes : pas de réponses, mauvaise orientation.
J'ai du insister pour que mon dossier soit pris en compte avec un expert en support. Ce qui a été au final fait par la GMF, le dossier est en cours d'instruction, je compte sur le soutien de mon assurance pour m'accompagner sur le long terme.
</t>
  </si>
  <si>
    <t>28/06/2021</t>
  </si>
  <si>
    <t>monge-d-108968</t>
  </si>
  <si>
    <t>je suis satisfait de vos services; mais il faudra encore revoir les tarifs à la baisse
et permettre des basculements d'une assurance véhicule vers la vôtre</t>
  </si>
  <si>
    <t>migara-58295</t>
  </si>
  <si>
    <t>depuis le 17 aout 2017 j attends d être dédommagé des dégats subis par un dégât des eaux de la voisine du dessus du  16- 17 dans la nuit au 21 après midi NON STOP.La Maif me demande de PROUVER LE PREJUDICE ! ! ! ! Comment fait -on quand la cuisine est inaccessible ? ON JEÜNE ?
Et quand on doit renoncer au départ en vacances ? pour  épongeage ?Et la casse Où malgré mes demandes l' experte ne vient que le 10  OCTOBRE ? sans lever le nez de son formulaire ? ? ? 
PLUS de 50  ANS de FIDELITE et D HONNËTETE  !Ca  sert à QUOI ....</t>
  </si>
  <si>
    <t>21/08/2018</t>
  </si>
  <si>
    <t>01/08/2018</t>
  </si>
  <si>
    <t>doudou-95400</t>
  </si>
  <si>
    <t>j'ai déclarer un sinistre en novembre 2019 on est en juillet 2020 et je n'ai toujours pas de nouvelles. Quand je les appellent il me disent on vous rappelle ou il me donne un autre numéro que j'ai appelé 3fois et qui ne son même pas capable de me dire se qu'il en est .</t>
  </si>
  <si>
    <t>victor221-104495</t>
  </si>
  <si>
    <t>Très insatisfait de SantéVet, contactée pour assurer 5 chiens d'une association de sauvetage d'animaux. Interlocuteur incompétent (on ne parle pas du ton arrogant..): refus d'établir un devis: car avec ces chiens trouvés, on ne peut indiquer de races définie: ni les vétérinaires ni l'icad ne l'indique document. (précisons que ce ne sont pas des animaux catégorisés), que qu' ignorait le commercial. Cela ne l'a pas empêcher de proposer l'option la plus chère 'parce que c'est mieux pour vous" ?! Voilà comment SantéVet a perdu l'affiliation de 5 chiens, et d'autres dans l'avenir. Je me suis adressé à BULLE BLEUE: aucun problème !!! Ils ont très bien compris et ont été très aimables et arrangeants</t>
  </si>
  <si>
    <t>19/02/2021</t>
  </si>
  <si>
    <t>younes-d-128196</t>
  </si>
  <si>
    <t>satisfait pour le devis en ligne et la rapidité. pour une première assurance vous êtes les moins chers du marché. a voir avec le service client au futur.</t>
  </si>
  <si>
    <t>jtvt94-70390</t>
  </si>
  <si>
    <t>Prix élevé pour assurer un véhicule chez eux (même avec la formule au tiers), conseiller peu réactif et peu disponible, pas du tout à l'écoute de ses clients, horaires d'ouverture de l'agence contraignants pour quelqu'un qui travaille en journée toute la semaine et lorsqu'on se donne les moyens de se déplacer, temps d'attente très long</t>
  </si>
  <si>
    <t>AXA</t>
  </si>
  <si>
    <t>20/01/2019</t>
  </si>
  <si>
    <t>01/01/2019</t>
  </si>
  <si>
    <t>bonneau-f-129882</t>
  </si>
  <si>
    <t>Bien que cliente depuis plus de 20 ans j'ai été très déçue en souscrivant un contrat obsèques en avril qui n'a été validé que parce que je ne recevais aucune confirmation. Finalement j'ai annulé mon dossier car les explications apportées par courrier ne m'ont pas donné satisfaction. Toutefois cela ne venait pas de mon conseiller mais du siège ce qui me parait anormal et peu acceptable ????</t>
  </si>
  <si>
    <t>Carac</t>
  </si>
  <si>
    <t>27/08/2021</t>
  </si>
  <si>
    <t>aztechk-57102</t>
  </si>
  <si>
    <t>Je ne peux pas juger lesur services de l'assurance
Par contre service clientèle déplorable 
Je viens d'appeler pour un devis, la personne n 'est pas professionnelle de plus elle me rit au nez
Bravo</t>
  </si>
  <si>
    <t>05/09/2017</t>
  </si>
  <si>
    <t>01/09/2017</t>
  </si>
  <si>
    <t>ro-71893</t>
  </si>
  <si>
    <t>qualité de service et d'assistance nulle. me reproche que je ne paye pas cher donc qu'il ne faut pas se plaindre si les désordres ne sont pas pris en charges.</t>
  </si>
  <si>
    <t>AMV</t>
  </si>
  <si>
    <t>05/03/2019</t>
  </si>
  <si>
    <t>bousquet-d-111405</t>
  </si>
  <si>
    <t>LES PRIX ME CONVIENNENT, INTERNET C EST PRATIQUE, CONSEILLER PAR D AUTRE AMIS PLUTOT SATISFAIT. A VOIR EN CAS DE SINISTRE SUR LA REACTIVITE ET L'ACCES A UN CONSEILLER</t>
  </si>
  <si>
    <t>23/04/2021</t>
  </si>
  <si>
    <t>gerard-55675</t>
  </si>
  <si>
    <t>Suite à un problème familial, je n'ai pu honorer dans les temps 2 primes mensuelles d'une assurance emprunteur. J'ai reçu une lettre de mise en demeure directement sans aucune autre lettre auparavant m'indiquant que si je ne réglais pas mes primes dans les 40 jours, mon contrat serait résilié sans autre avis de leur part. j'ai envoyé le règlement par chèque dans les temps et plus d'un mois après mon chèque n'est toujours pas débité  et ma mensualité de ce mois ci n'a pas été débitée non plus. Je n'arrive pas à les joindre pour savoir ce qu'il se passe, j'ai un chèque qui se trouve dans la nature ou quelque part dans leur service j'en sais rien. Je n'ai eu aucune nouvelle de leur part. Je n'ai jamais vu de société si peu sérieuse pour un assureur qui se moque carrément de leur client .</t>
  </si>
  <si>
    <t>MetLife</t>
  </si>
  <si>
    <t>28/06/2017</t>
  </si>
  <si>
    <t>charre-amelie--92169</t>
  </si>
  <si>
    <t xml:space="preserve">Super satisfaite du service  je la recommande à bon nombre de mon entourage merci à directe assurance , moins chère que les autres assurance !! Merci directe assurance </t>
  </si>
  <si>
    <t>25/06/2020</t>
  </si>
  <si>
    <t>messaoud-s-106049</t>
  </si>
  <si>
    <t>je suis satisfait du service par contre pour le prix avec plus de 50% de bonus et 2 voitures je payes cher ma cotisation 
je vous remercie de re voir votre tarif
cordialement</t>
  </si>
  <si>
    <t>09/03/2021</t>
  </si>
  <si>
    <t>richard-78192</t>
  </si>
  <si>
    <t>Impossible d'avoir une réponse dans un délai normal(1 mois)</t>
  </si>
  <si>
    <t>05/08/2019</t>
  </si>
  <si>
    <t>le-gruiec-j-138620</t>
  </si>
  <si>
    <t xml:space="preserve">tout me convient les prix et l'assurance j'ai quand même du mal avec ce que je dois signer ou non car il n'y a pas de rappel sur le téléphoné et cela est un problème
</t>
  </si>
  <si>
    <t>30/10/2021</t>
  </si>
  <si>
    <t>jean-g-107538</t>
  </si>
  <si>
    <t>Super Je suis totalement satisfait des prestations proposées !
Si je suis mécontent, je vous le ferai savoir. Merci et bravo à mon interlocutrice qui connait bien son boulot</t>
  </si>
  <si>
    <t>22/03/2021</t>
  </si>
  <si>
    <t>claude-51165</t>
  </si>
  <si>
    <t xml:space="preserve">produits trompeur et  assez complexes a comprendre
'expl atout risque a moins d etre expert , en fait les fraix croque une grande partie et pas bien explique d ailleurs </t>
  </si>
  <si>
    <t>10/01/2017</t>
  </si>
  <si>
    <t>martine-107006</t>
  </si>
  <si>
    <t xml:space="preserve">Je remercie Emeline qui a su me donner des explications claires Et qui a répondu à mes demandes 
Très professionnelle très à l ecoute et courtoise
Merci </t>
  </si>
  <si>
    <t>seddiki-cartier-z-124309</t>
  </si>
  <si>
    <t xml:space="preserve">Satisfaite et très contente d'avoir souscrit l'assurance. 
Rapide et efficace je recommande 
prix attractifs et satisfaisants 
site internet facile d'utilisation </t>
  </si>
  <si>
    <t>22/07/2021</t>
  </si>
  <si>
    <t>mathishugo-64468</t>
  </si>
  <si>
    <t xml:space="preserve">Bonjour,
Voulant ressortir ma moto cette année comme tous les ans, début juin,
je me suis aperçu que mon attestation d'assurance n'était plus valable.
Période de validité du 21/09/2016 au 20/09/2017.
Je précise que je suis assuré tous risques avec paiement par chèque une fois par an.
Je prends contact avec ma compagnie et là je m'aperçois que suite à mon
déménagement l'année dernière, j'ai oublié de leur signaler le changement d'adresse pour la moto.
Les travaux de ma nouvelle maison étant ma priorité et bien voila le résultat. 
Je comprends la personne qui me dit que mon assurance est résilier et que le paiement pour cette nouvelle année est à effectuer, et qu'elle va m'envoyer par Mail le montant de la cotisation. 
Je reste sans voix, mais oui par Mail!!
Pourquoi l'assurance qui détient mon adresse Mail me résilie, puisqu'il avait les moyens de me contacter autrement que par courrier par la suite.
Je conseille malgré mon cas cette assurance car
les tarifs et les garanties sont raisonnables,
d’ailleurs, j'ai fais venir un ami qui possède la même moto que moi chez eux.
</t>
  </si>
  <si>
    <t>Peyrac Assurances</t>
  </si>
  <si>
    <t>05/06/2018</t>
  </si>
  <si>
    <t>collin-c-125621</t>
  </si>
  <si>
    <t>Création du compte ne fonctionne que sur Edge... Ni sur Chrome ni sur Firefox.
Prix les plus bas, à voir lorsqu'il faudra demander un remboursement...</t>
  </si>
  <si>
    <t>30/07/2021</t>
  </si>
  <si>
    <t>soso-70664</t>
  </si>
  <si>
    <t xml:space="preserve">Direct assurance ! Ou l'assurance qui augmente tous les an sur ! Malgré un bonus qui lui augmente !
La logique ? Aucune 
On vous confirme que les nouveaux clients payent moins cher que les nouveaux qui n'ont aucunes ancienneté  C'est une blague </t>
  </si>
  <si>
    <t>28/01/2019</t>
  </si>
  <si>
    <t>bibiche-110701</t>
  </si>
  <si>
    <t xml:space="preserve">N'ayant eu aucun litige depuis mon adhésion, je ne peux donner aucun avis. C'est en cas de problème que nous pouvons juger. Connaissant le système des assurances, je souhaite ne jamais avoir de problème. Je paye car je suis un bon citoyen et que j'ai des obligations. Après...... J'espère finir tranquillement ma vie sans histoire. </t>
  </si>
  <si>
    <t>16/04/2021</t>
  </si>
  <si>
    <t>nancy-r-133991</t>
  </si>
  <si>
    <t xml:space="preserve">Rapide et efficace je songe à mettre mon deuxième contrat automobile. Je ne sais pas s’il est possible d’avoir un tarif préférentiel en raison du deuxième contrat ? </t>
  </si>
  <si>
    <t>22/09/2021</t>
  </si>
  <si>
    <t>robert-d-107116</t>
  </si>
  <si>
    <t>Tarif un peu élevé pour les véhicules. sinon bons services.
temps d'attente pour un conseil téléphonique très acceptable.
Personnel sympathique et accessible.</t>
  </si>
  <si>
    <t>19/03/2021</t>
  </si>
  <si>
    <t>berland-e-109186</t>
  </si>
  <si>
    <t>super service impecable a recommander sans probleme niveau prix super garantie et rapiditer de souscription facilite pour remplir les conditions et envoi document</t>
  </si>
  <si>
    <t>05/04/2021</t>
  </si>
  <si>
    <t>rene-l-108885</t>
  </si>
  <si>
    <t>Bonjour 4% d' augmentation sur le contrat , c est pas acceptable , je vais consulter la concurrence , le rapprochement avec AXA n'arrange jamais la facture ?</t>
  </si>
  <si>
    <t>fab-53896</t>
  </si>
  <si>
    <t xml:space="preserve">Bonjour,
Client de cette société depuis 5 ans, je découvre les raisons pour lesquelles les prix sont si attractifs finalement.
J'ai contacté le service client pour ma cotisation qui ne cesse d'augmenter chaque année, alors que la concurrence offre la même prestation et pour moins cher.
J'apprends de direct assurance que si vous êtes victime de sinistres non responsable, dans mon cas deux, vous devenez un client à risque...Donc, même si vous n'êtes pas responsable, vous paierez ...
De plus, le service client est médiocre, à chaque appel, j'ai l'impression de déranger si j'essaye de comprendre les processus appliqués.
Pour mon dernier appel, j'ai eu le plaisir d'échanger avec un conseiller à la limite de l'impolitesse et non à l'écoute.
Bref, un discours bien rodé qui permet d'éviter toute négociation ou geste commercial.
Ce même discours que je retrouve dans l'ensemble des réponse de la compagnie sur cette page.
On dit qu'on en a pour notre argent, et bien je pense que c'est le cas.
Pour finir, ce message n'a pas pour but d'obtenir un quelconque geste commercial mais bien d'alerter les consommateur, car pour ma part, je signe chez la concurrence.
Bonne journée
 </t>
  </si>
  <si>
    <t>06/04/2017</t>
  </si>
  <si>
    <t>01/04/2017</t>
  </si>
  <si>
    <t>ncnc-79421</t>
  </si>
  <si>
    <t>CNP... Que dire...
CNP m'a fait perdre mon temps !
Ils ont pris 3 mois pour répondre à ma demande d'assurance pour un crédit immobilier. Pour à la fin refuser la PTIA avec de sombres explications... (5 jours d'arrêt en 10 ans).
J'ai demandé à la MAAF, 2 jours plus tard, j'avais une réponse positive.
Je suis désolé, mais vous devez même pas songer à souscrire chez eux.
Mon erreur ? De ne pas avoir regardé les avis avant...</t>
  </si>
  <si>
    <t>CNP Assurances</t>
  </si>
  <si>
    <t>24/09/2019</t>
  </si>
  <si>
    <t>alan22-109425</t>
  </si>
  <si>
    <t>Cette mutuelle est un scandale ! Ils sont injoignables au tél, et ils ne répondent pas aux mails ! Ils font quoi les employés ? Ils ont doublé mes cotisations sans lettre d'accompagnement ni explication. C'est une honte. J'ai résilié mon contrat et depuis ils ne me remboursement pas des frais d'hospitalisation qui sont pourtant bien couverts, puisqu'avant la résiliation. J'en ai quand même pour 90 €. J'ai adressé 5 ou six fois par mail les factures acquittées et aucune réponse de leur part.  Allez voir ailleurs !</t>
  </si>
  <si>
    <t>07/04/2021</t>
  </si>
  <si>
    <t>tony45-78265</t>
  </si>
  <si>
    <t>Je pensais avoir une bonne assurance jusqu'à ce que j'ai un sinistre service client laisse à désirer dossier toujours en attente après bientôt 2 mois et demi</t>
  </si>
  <si>
    <t>Crédit Mutuel</t>
  </si>
  <si>
    <t>08/08/2019</t>
  </si>
  <si>
    <t>barry-y-123212</t>
  </si>
  <si>
    <t>Je me réserve pour le moment car c’est trop de crier à la victoire.
Par ailleurs, la commerciale a été professionnelle et a pu répondre à mes questions.</t>
  </si>
  <si>
    <t>12/07/2021</t>
  </si>
  <si>
    <t>dehaba-mourad-26321</t>
  </si>
  <si>
    <t>Assurance de bluff. Sinistre non responsable, toujours pas remboursé depuis 2ans. Inadmissible sous prétexte que le hier n'est pas assuré. Moi je le suis donc pourquoi ne suis-je pas indemnisé ?</t>
  </si>
  <si>
    <t>23/02/2017</t>
  </si>
  <si>
    <t>01/02/2017</t>
  </si>
  <si>
    <t>vb-87890</t>
  </si>
  <si>
    <t>Assuré à la maaf depuis 8ans, dont 3 à mon nom, ayant 3 contrats, dont un auto. 
 N'ayant fait appel qu'une fois à l'assistance, et eu un accrochage au stationnement par un camion qui m'a percuté, identifié et constaté comme n'étant pas en tort. 
Aujourd'hui, je suis sous refus d'un nouveau contrat assurance auto tous risques, à cause de l'assistance et de l'accrochage non responsable.
Ceci est indigne d'une assurance qui fait autant de publicité pour de nouveaux clients.
Remarqué il faut faire de la publicité, vu qu'ils sont incapable de garder les clients existants.
J'attends toujours une réponse du mail de réclamation,... Mais d'ici 2 jours sans réponses je quitte la maaf.</t>
  </si>
  <si>
    <t>MAAF</t>
  </si>
  <si>
    <t>03/03/2020</t>
  </si>
  <si>
    <t>izahia-52431</t>
  </si>
  <si>
    <t>Mon patron à un litige personnel avec April depuis le 20 janvier mes droits sont interrompus sans que je sois informée 
à ce-jour nous sommes le 15 février et je n ai aucune couverture mutuelle jusqu à ce qu ils règlent leur conflits
j ai appris ça en demandant un devis dentaire depuis le 27 décembre aucune réponse dès que j ai su la cause j ai interrompue tous mes soins en attendant ils me prélèvent toujours le confort plus pour lequel j ai signé par erreur..
Donc pour moi c est une mutuelle à laquelle je n aurais plus recours...à déconseillé quand il y à problème ils ne sont pas opérationnelles</t>
  </si>
  <si>
    <t>15/02/2017</t>
  </si>
  <si>
    <t>evdc-57632</t>
  </si>
  <si>
    <t xml:space="preserve">Victime d'un accident dont je ne suis pas responsable Direct assurance refuse de contacter MMA qui assure le conducteur qui a plié l'essieu de la remorque de mon bateau. Cette remorque a été déposée chez un dépanneur partenaire de DA. Je me retrouve pris au piège entre MMA qui m'indique que DA doit faire expertiser et DA qui me demande de me débrouiller seul avec MMA. La première réaction de DA a été de réfuter par téléphone que la remorque était assurée car plus de 750kg alors que cela figure en toutes lettres au contrat et que DA possédait les infos et l'immatriculation sur la remorque comme j'avais pu le communiquer et justifier avant signature. La seconde a été de m'annoncer que le service commercial avait fait une erreur car DA n'assurait jamais les remorques au delà du Tiers. La troisième est de me laisser seul gérer avec MMA. J'ai consulté un expert automobile qui m'assure que c'est à DA de faire expertiser et demander la prise en charge des réparations. Cela fait plus d'un mois. Je ne peux pas utiliser le bateau. Je pense que des frais de gardiennage courent. DA ne me répond sur leur prise en charge. Cette situation a pourtant été créé par DA qui a organisé l'assistance. Les promesses visibles sur le site internet quelle que soit la formule ne sont pas respectées.  </t>
  </si>
  <si>
    <t>27/09/2017</t>
  </si>
  <si>
    <t>ysaline-p-131379</t>
  </si>
  <si>
    <t xml:space="preserve">Très intuitif parfait 
Je vous remercie de votre réactivité et de votre professionnalisme ainsi que votre site qui est super. Je vais pouvoir le conseiller à des amis </t>
  </si>
  <si>
    <t>05/09/2021</t>
  </si>
  <si>
    <t>nous-93888</t>
  </si>
  <si>
    <t>Bonjour,
La MAIF fait tout son possible pour ne jamais avoir à dédommager ses sociétaires correctement.
Une fois j'ai voulu me servir de mon assurance juridique, j'en ai été dissuadé ( procédure longue bla bla bla bla ).
Mon frigo tombe en panne, j'appelle le service sinistre pour savoir ce que peut faire la MAIF ( assurance sérénité une blague ).
J'ai été traité comme un suspect. Après 45 minutes à me faire passer d'un service à l'autre, on me répond que la MAIF ne peut rien faire!!!
Il peut s'agir d'un problème électrique ou pas.
La personne savait à distance apparemment que cela ne pouvait pas être une panne de cette nature.
Elle se défausse en me demandant de contacter mon fournisseur d'énergie pour savoir si il y avait eu un problème chez eux.
Je rétorque que cela ne me convient pas car je suis en relation avec mon assureur et je souhaite une solution rapide pour un problème bénin.
Je parle de faire intervenir un prestataire MAIF pour savoir si il s'agit d'un problème électrique ou pas et avoir un devis. La MAIF accepte en m'indiquant que cela se ferait mais à mes frais.
Résultat aucune indemnisation évidemment mais surtout aucun accompagnement de mon assurance.
Je suis à la MAIF depuis au moins vingt ans en répétant bêtement ce mantra: "Je paie plus chère mais je suis bien couvert en cas de pépins". Une farce.
Le service sinistre est méprisant sans aucune compassion et vous laisse seul en cas de difficultés.
Lamentable.
Je suis fortement déçu et remonté d'autant que les enjeux étaient ridicules.
Je compte aller voir la concurrence dans les meilleurs délais.
Pour information, aucun courrier motivant le rejet juste des allégations par téléphone et la promesse d'être rappelé par un responsable pour mon insatisfaction.</t>
  </si>
  <si>
    <t>12/07/2020</t>
  </si>
  <si>
    <t>amar-95507</t>
  </si>
  <si>
    <t xml:space="preserve">Intéressant service d'assurance. Je le recommande vivement. Sans doute le meilleur sur le marché actuellement. J'ai fait l'auto et prochainement je ferai le reste </t>
  </si>
  <si>
    <t>aurelie--s-106311</t>
  </si>
  <si>
    <t xml:space="preserve">je suis satisfaite du service. jamais eu de soucis. je recommande direct Assurance,ce pour toute les personne qui souhaite se faire assurer en France </t>
  </si>
  <si>
    <t>11/03/2021</t>
  </si>
  <si>
    <t>fatiha-n-108350</t>
  </si>
  <si>
    <t>Je ne suis pas satisfaite du service et encore moins du tarif souscription d'un contrat panne à 0km qui ne m'a servie à rien alors que je suis tombée en panne sur l'autoroute et que j'ai dû payer les frais de dépannage</t>
  </si>
  <si>
    <t>----104819</t>
  </si>
  <si>
    <t>Des fonctionnaires, avec tout cela comporte de péjoratif...Aucune écoute client, ils sont dans leur tour d'ivoire, esprit commercial aux abonnés absents, pourtant c'est la clientèle qui les fait vivre.... Expérience de communication vécue à plusieurs reprises pour des thèmes différents... Ne pas se présenter à l'Agence 10 minutes avant la fermeture...Si,si!!!
A FUIR ABSOLUMENT !!!!!!</t>
  </si>
  <si>
    <t>26/02/2021</t>
  </si>
  <si>
    <t>nicolas--102050</t>
  </si>
  <si>
    <t xml:space="preserve">Je suis assuré chez eux depuis 2016 et j ai fait 3 déclarations de sinistres. Le dernier suite à la tempête bella et 
comme par magie, aucun n'a été pris en charge.. Bizarre .. soit j avais pas souscrit la bonne option ou même pour avoir de l aide sur un sinistre qui traîne depuis un moment la réponse a été débrouillez vous, et nous nous prenons en charge les travaux enfin peut-être si ils ont pas inventés une option d ici la... Le pire c est que les deux voitures sont aussi assurés chez eux..  Mais vous inquiétez pour  l augmentation de vos cotisations la oui, pas besoin de les appeler cela ce fait automatiquement... Faites comme moi je vais faire, passez votre chemin, n y allez surtout pas à la maaf... </t>
  </si>
  <si>
    <t>jonathan-c-127525</t>
  </si>
  <si>
    <t>Satisfait dommage que le premier prélèvement soit de la totalité  de la somme plutot que par mois directement.Mais le prix reste l'un ses plus bas et pour un jeune conducteur c'est très bien.</t>
  </si>
  <si>
    <t>11/08/2021</t>
  </si>
  <si>
    <t>laurent72540-78444</t>
  </si>
  <si>
    <t xml:space="preserve">Bonjour mon conjoint à souscrit chez cardif par téléphone c'est tout les mois prélevé mais on ne sait pas de qui de quoi car nous avons jamais rien reçu de papier. Nous espérons d'avoir un peu d'aide pour savoir pourquoi nous donnons par mois </t>
  </si>
  <si>
    <t>15/08/2019</t>
  </si>
  <si>
    <t>timothee84-111934</t>
  </si>
  <si>
    <t>J'ai été entièrement dédommagé lors de mon accident non responsable, dommage matériel. Tarifs intéressants, dommage que cela manque de souplesse lorsqu'on utilise peu son scooter (garantie au km ou hivernage non proposés)</t>
  </si>
  <si>
    <t>scholles-90513</t>
  </si>
  <si>
    <t xml:space="preserve">Je suis déjà une cliente de Direct Assurances. Je ne vois aucune bénéfice de continuer si ma loyauté n'est pas récompensée. Votre tarif est élevé.
Cordialement,
Sheila Cholley </t>
  </si>
  <si>
    <t>12/06/2020</t>
  </si>
  <si>
    <t>monniez-n-132199</t>
  </si>
  <si>
    <t xml:space="preserve">Simplicité et rapidité dans les démarches.  Après differentes recherches il semble que les  Tarifs proposés soient les plus intéressants concernant les jeunes conducteurs </t>
  </si>
  <si>
    <t>10/09/2021</t>
  </si>
  <si>
    <t>philo-54377</t>
  </si>
  <si>
    <t>service client médiocre, après 22 ans de collaboration et suite un 1 impayé( changement de banque) en 22ans, facturation de 7 euros de frais d'impayé malgrès un contact avec le siège de matmut pour explication et demande d'annulation de ces frais, j'ai décidé de quitter cette assurance.
J'avais 2 contrat de voiture, 1 contact de moto et 2 contrat de maison.
Bravo Mme Pasquet.</t>
  </si>
  <si>
    <t>Matmut</t>
  </si>
  <si>
    <t>29/04/2017</t>
  </si>
  <si>
    <t>momo-106290</t>
  </si>
  <si>
    <t xml:space="preserve">Quand on a besoin de eux il n'y a personne par contre quand il faut payer c'est d'abord . 
Mon père était assuré depuis 1955 chez eux , ma mère a un soucis de volet , ne veulent pas intervenir . ABERRANT </t>
  </si>
  <si>
    <t>madmarck-89974</t>
  </si>
  <si>
    <t>Galére pour joindre les services qui se renvoient la balle. Suivent l'expertise " bidon " car elle rejette le dossier</t>
  </si>
  <si>
    <t>27/05/2020</t>
  </si>
  <si>
    <t>01/05/2020</t>
  </si>
  <si>
    <t>ahmed-f-109348</t>
  </si>
  <si>
    <t>je suis satisfait du service les prix me conviennent très simple et pratique Ravie d'avoir découvert votre assurance. Les explications sont très simple, dossier très rapide a créer et site très accessible. Les tarifs me conviennent parfaitement.</t>
  </si>
  <si>
    <t>petrusquin-100260</t>
  </si>
  <si>
    <t xml:space="preserve">Bonjour, 
Je partage l'avis déposé par Djibo car je viens de recevoir ma nouvelle échéance pour 2021.
Je constate une augmentation de + de 120€ (+33%) alors que ma situation n'a pas changer et aucun  sinistre ou autres à déclarer. 
Je suis retraité et je suis à 50 % de bonus depuis plus de 15 ans. J'ai appelé et j'ai eu un échange très cordial avec cette conseillère. Celle-ci m'a demandé si je pouvais lui envoyé le devis de la Compagnie d'assurance qui me proposait un prix identique à eux mais de 2019, soit 362€. Un moment plus tard, elle m'a rappelé et m'a dit qu'elle ne pouvait pas s'aligner sur le montant de l'autre Compagnie et elle m'a laissé entendre que je n'avais plus le profil intéressant pour eux.  En conclusion chez L'Olivier je suis passé de 320€ à 486€ de 2018 à 2020, soit une augmentation de +de 50 % alors qu'on entend que les compagnies devraient augmenter les cotisations de 2 % maximum. CQFD. </t>
  </si>
  <si>
    <t>18/11/2020</t>
  </si>
  <si>
    <t>01/11/2020</t>
  </si>
  <si>
    <t>andy-70220</t>
  </si>
  <si>
    <t>Bonjour
J’ai déclaré un bris de glace le 5 décembre et à ce jour aucunes réponses
J’ai envoyé plusieurs mails et effectués plusieurs appels voir 6 par jour en ayant personne qui me répond et enfin lundi dernier j’ai une conseillère en ligne qui me dit on va traiter votre demande sous 24h à 48h et vendredi toujours rien.
Je décide de rappeler car ma patience a des limites  et  là je tombe sur une conseillère au bout de 8 tentatives d’appels et je n’exagere pas qui me dit madame on peux rien faire à cette heure mais lundi sans faute votre gestionnaire sinistre vous contacte entre 14h et 15h
Nous sommes mardi et bien sûr toujours rien
J’ai jamais vu un service aussi déplorable et surtout aucune considération
On filtre vos appels et surtout on vous balades 
Mon remboursement est un du
J’ai compris leurs méthodes, il nous font tourner en bourrique afin qu’on se lasse
Je vais faire appelle à 60 millions de consommateur et ne la recommande à personne de mon entourage et le meilleur conseil que je peux vous donner 
Ne prenez surtout pas Direct Assurance
Sans oubliez que j’ai annulé un sinistre au mois de Octobre qui apparaît sur mon relevé d’informtion Car encore une fois le délai de traitement est extrêmement long Et surtout personne qui gère mon dossier
Je suis extrêmement déçue</t>
  </si>
  <si>
    <t>16/01/2019</t>
  </si>
  <si>
    <t>florence-m-105539</t>
  </si>
  <si>
    <t>lenteur pour rembourser un sinistre
par contre pour réclamer la franchise de 250.00 euros alors que l'échéancier principal indique 150.00 euros, vous êtes très rapide.</t>
  </si>
  <si>
    <t>05/03/2021</t>
  </si>
  <si>
    <t>ange-91452</t>
  </si>
  <si>
    <t xml:space="preserve">Je manque un peu d’explication sur le devis et options proposé. Devis à comparer avec d’autres compagnies d’assurances avant décision finale. Bien à vous  </t>
  </si>
  <si>
    <t>18/06/2020</t>
  </si>
  <si>
    <t>allexandre21-92369</t>
  </si>
  <si>
    <t>Je n'étais pas averti que je n'étais pas assurer pandent cette année de plus on ma manti consernent   le courier  que je nes pas reçu</t>
  </si>
  <si>
    <t>26/06/2020</t>
  </si>
  <si>
    <t>sb06-94051</t>
  </si>
  <si>
    <t>Suite à résiliation par un de leur partenaire qui ne fait plus les assurances 2 roues, je dois signer un nouveau contrat en ligne. Jamais leur mot de passe et identifiant n'ont fonctionné et jamais ils n'ont réglé le problème. Enfin, il me demande relevé d'information prétendant ne pas les avoir alors que tous les relevés que j'ai pu avoir par le passé sont à leur en tête. Incapables de retrouver tous les éléments fournis à la première souscription. On prend un courtier pour le service qu'il procure et ne pas refaire toutes les démarches 2 fois!!!</t>
  </si>
  <si>
    <t>AssurOnline</t>
  </si>
  <si>
    <t>14/07/2020</t>
  </si>
  <si>
    <t>lali-58798</t>
  </si>
  <si>
    <t>Très satisfaite</t>
  </si>
  <si>
    <t>13/11/2017</t>
  </si>
  <si>
    <t>01/11/2017</t>
  </si>
  <si>
    <t>dispo-63383</t>
  </si>
  <si>
    <t>avis favorable sur les tarifs et la prise en charge aaaaaaaaaaaaaaaaaaaaaaaaaaaaaaaaaaaaaaaaaaa</t>
  </si>
  <si>
    <t>18/04/2018</t>
  </si>
  <si>
    <t>titoanne-58606</t>
  </si>
  <si>
    <t>Cardif a continué a prélevé les cotisations aprés le solde du pret, le courrier ne nous est pas parvenu, Cardif ne s'en est pas soucié ni l'agence BNPPARIBAS,impossible de nous faire rembourser les sommes indument prélevées sans aucun avis, ni justificatif, ni courrier tout est notre faute,  un peu léger, seulement 1 cotisation annuelle de remboursée.</t>
  </si>
  <si>
    <t>08/11/2017</t>
  </si>
  <si>
    <t>zeze-106747</t>
  </si>
  <si>
    <t xml:space="preserve">Je note 5 sur 5 MANALpour sa gentillesse
Je note 5 sur 5 MANAL pour sa gentillesse et sa disponibilité ;Elle a fait les recherches nécessaires. J'ai été très satisfaite merci à Elle .Michèle.
</t>
  </si>
  <si>
    <t>16/03/2021</t>
  </si>
  <si>
    <t>elodie-e-108948</t>
  </si>
  <si>
    <t xml:space="preserve">Je suis très satisfait de direct assurances , très bonne assurance , très bon prix ; bon rapport qualité prix , prix très attractif . Merci encore , bravo </t>
  </si>
  <si>
    <t>houcine92-54344</t>
  </si>
  <si>
    <t>Bonjour j'ai souscrit une assurance moto chez AMV le 10/04/2017. Après plusieurs appels téléphoniques et l'envoi répétitif des mêmes documents par mail, le 25/04 une conseillère m'a appelé pour me dire qu'ils ont tous les documents nécessaires et le dossier est bien complet et je vais bientôt recevoir mon contrat et la carte verte. Aujourd'hui je reçois un mail "A ce jour, nous n'avons pas reçu tout ou partie des pièces nécessaires à
l'enregistrement de votre contrat" MDR</t>
  </si>
  <si>
    <t>28/04/2017</t>
  </si>
  <si>
    <t>david-luis-l-107077</t>
  </si>
  <si>
    <t>je suis satisfait du service les reponses sont claires , l attentente telephonnique n est pas longue les tarifs sont abordable et les conseillers sont a l ecoutes</t>
  </si>
  <si>
    <t>moi-114009</t>
  </si>
  <si>
    <t>Plus de 20 ans de bon et loyaux service aux côtés de maaf et un accident ( seul) responsable en 2019 et 1 bris de glace en 2020 et ben aujourd'hui on m annonce que l année prochaine ils ne veulent plus assurer mon véhicule.....pourtant 2 véhicule , moto , maison , accident de vie .....bref plusieur contrat chez eux ........ils se gavent pendant plus de 20 ans de cotisation , 1 accident et au-revoir .......a ne plus rien comprendre.....</t>
  </si>
  <si>
    <t>florian-104007</t>
  </si>
  <si>
    <t>L'inscription est rapide, sans vraiment de problème sur internet.
Je n'ai pas eu d'incident, en même temps je n'ai pas eu besoin de faire appel à leur service.
Par contre, dès qu'il faut résilier, ils inventent n'importe quel prétexte juridique pour décaler la date de résiliation et par la même gratter quelques jours de contrat en plus. Etant juriste, ils ont eu du mal à me contredire et sont donc passé en force puisque c'est eux qui ont la main.
Bref, je ne me suis pas battu pour quelques euros mais c'est un sale esprit qui s'il y avait eu un incident aurait pu me couter beaucoup d'argent.</t>
  </si>
  <si>
    <t>11/02/2021</t>
  </si>
  <si>
    <t>sellier-a-135082</t>
  </si>
  <si>
    <t xml:space="preserve">Satisfait de l'assurance mais TRES déçu de ne pas avoir pu récupérer mes avantages après seulement 1 sem entre deux contrats , j'aurai aimé un peu plus de reconnaissance pour refaire un contrat chez vous </t>
  </si>
  <si>
    <t>29/09/2021</t>
  </si>
  <si>
    <t>amal-95349</t>
  </si>
  <si>
    <t>Le code promo multidays ne fonctionne pas !!!
Merci de me rappeler pour activer le code promo en sachant que je suis déjà cliente chez vous pour l'assurance habitation.</t>
  </si>
  <si>
    <t>27/07/2020</t>
  </si>
  <si>
    <t>david-68442</t>
  </si>
  <si>
    <t xml:space="preserve">Que dire A fuir pour les chefs d entreprise  aujourd'hui j ai du faire apel à un 
avocat
Il font une erreur est vous laisse plus 1 mois sans nouvelle et sans mutuelle c est une honte j ai connu AG2R c était au top mais alors plus jamais pour mes salariés et moi </t>
  </si>
  <si>
    <t>08/11/2018</t>
  </si>
  <si>
    <t>01/11/2018</t>
  </si>
  <si>
    <t>joe12100-68500</t>
  </si>
  <si>
    <t xml:space="preserve">je suis client à la MACIF DEPUIS PLUS DE 20 ANS sans aucun sinistre m'incombant , la MACIF MILLAU est mon seul assureur , je viens de me faire détruire ma voiture par un chauffard ,ayant souscrit un contrat "valeur majoré" JE SUIS SEREIN , mais en fait je n'ai droit a rien ce contrat c'est du vent , ils sont les champions de l'exclusion , vous auriez du avoir plus 40% mais vous avez droit a rien a MILLAU ... QUE DE BELLES PAROLES 
</t>
  </si>
  <si>
    <t>10/11/2018</t>
  </si>
  <si>
    <t>nolwenn-62280</t>
  </si>
  <si>
    <t xml:space="preserve">ce n'est pas une assurance mais un écran de fumée.
assurée tous risques, j'ai eu un accident non responsable il y a 3mois, le dossier est toujours en cours. Véhicule immobilisé 2 mois. Et franchise a payer et NON remboursée malgré que je ne sois pas en tords.
Quand on les appelle nous avons a chaque fois un interlocuteur différent et personne n'a la même version. </t>
  </si>
  <si>
    <t>13/03/2018</t>
  </si>
  <si>
    <t>sk152-71984</t>
  </si>
  <si>
    <t>Assurée pour tout chez Axa, malgré cela j'ai été victime d'une catastrophe naturelle ayant ravagée tout mon appartement, aucun service client, les experts ne sont pas joignable et viennent faire leur boulot 6 mois et forcément ne rembourse pas car toute les rénovations ont été faites, franchise hors de prix, aucun geste commercial, les personnes que j'ai eu au téléphone se contredisent toutes et nous font attendre pour RIEN. A FUIR ABSOLUMENT</t>
  </si>
  <si>
    <t>08/03/2019</t>
  </si>
  <si>
    <t>amelien-64834</t>
  </si>
  <si>
    <t xml:space="preserve">Un très grand niveau d'incompetence ! Virements sur le mauvais compte depuis plusieurs mois alors que le bon compte est enregistré sur leur site, des remboursements non effectués, des mails sans réponses.... </t>
  </si>
  <si>
    <t>17/06/2018</t>
  </si>
  <si>
    <t>jojo-gigi-97188</t>
  </si>
  <si>
    <t>Bonjour
Très bonne mutuelle pour les prélèvements, en leur donnant ma nouvelle adresse, nouvel
échéancier 10 mn plus tard. Par contre les remboursements, que dire, je demande un remboursement dentaire depuis fin juin 2020, j'ai envoyé xx mails, mi septembre toujours rien, et par téléphone;  soit personne décroche, ou on vous met en attente pendant des heures !!!. Donc je suis à la recherche d'une nouvelle mutuelle, car je ne suis pas seulement une pompe à fric.</t>
  </si>
  <si>
    <t>09/09/2020</t>
  </si>
  <si>
    <t>jacques-l-128940</t>
  </si>
  <si>
    <t xml:space="preserve">
Je suis déçu, car dans l'avenant 05/07/2021 la nouvelle prime à partir du 23/07/2021 devait être de 157.72€, c'est  ce qui m'avait été annoncé de vive voix au téléphone. </t>
  </si>
  <si>
    <t>21/08/2021</t>
  </si>
  <si>
    <t>lgd-55373</t>
  </si>
  <si>
    <t>Cette assurance est un scandale!
Ne surtout pas la prendre. Lors de notre CREDIT, Pourboire une maison du 16eme siècle. On nous a fait prendre une assurances avec des supers options supplémentaires en cas de sinistrés. Nous ne voulions pas car avons un très bon assureur de proximité. Ils nous ont convaincu...d autant que le CREDIT dépendait d eux. 
On devait meme être immédiatement relogé. Résultat: nous sommes dans une cave depuis bientôt 3 mois, avec notre fils. Ils refusent de nous ondemnisés, prétextant d abord un manque d entretien, ( nous avons acheté il y a un an et avons fait des travaux), et maintenant, au stade réclamation, ils nous répondent que les travaux ne devaient pas être de qualité vu le prix qui ne leur convient pas (!?!?!?), et que nous avons fait trop d entretien!!! En fait il ms changent les motifs à leur convenances! Et  On vient de découvrir que le rapport d expert qu ils nous ont envoyé... n est pas le meme que celui qu ils ont!!!! Idem pour les photos!!!!C est pénalement répréhensible!!!!nous allons prévenir toutes les instances et médias, allons aller dormir devant l agence. Une honte, et inhumain en plus!!!!</t>
  </si>
  <si>
    <t>14/06/2017</t>
  </si>
  <si>
    <t>valentin-a-109457</t>
  </si>
  <si>
    <t>Prix super attractifs et très facile de souscrire en ligne sur le site de Direct Assurances.
De plus, ils s'occupent de la résiliation auprès de mon assurance actuelle, top.</t>
  </si>
  <si>
    <t>c59-91215</t>
  </si>
  <si>
    <t xml:space="preserve">Bonjour,
Assurer depuis 1ans j'ai vu ma cotisation augmenter de 5€ par mois aucun sinistre contacte par téléphone on me dit qu'on paye pour les mauvais rouleurs.
</t>
  </si>
  <si>
    <t>magaly-m-131319</t>
  </si>
  <si>
    <t>Satisfait du service, facile d'accès par contre je ne sais pas si cela est possible mais il faudait un service qui s'occupe de récupérer auprès de l'ancien assureur le relevé d'informations conducteur principal pour encore faciliter les démarches</t>
  </si>
  <si>
    <t>04/09/2021</t>
  </si>
  <si>
    <t>jjean-francois--f-134112</t>
  </si>
  <si>
    <t xml:space="preserve">je suis très satisfait , le prix me convient . les options proposer me conviennent parfaitement .  je vais assurer mes véhicules chez vous  dès à présents . je vais parler de votre assurance autour de moi . je vous remercie </t>
  </si>
  <si>
    <t>23/09/2021</t>
  </si>
  <si>
    <t>lyanna-76248</t>
  </si>
  <si>
    <t xml:space="preserve">Bonjour moi j écris pour ma mère nous sommes de Guyane je ne comprends pas pourquoi c est l employeur qui reçoit les courriers et courriel quand t il des documents a fournir hors ma mère est a la retraite déjà que l employeur a tardé pour faire les démarches....je vous ai envoyé la fiche d d'impot plus l adresse a maman plus j ai téléphoné échanger avec une dame j ai donner mon numéro de portable et adresse mail et toujours rien est ce normal </t>
  </si>
  <si>
    <t>26/05/2019</t>
  </si>
  <si>
    <t>anonyme-68077</t>
  </si>
  <si>
    <t>Je regrette le jour où je me suis assuré sur le site DIRECT ASSURANCE. Tant que vous n'aurez pas d'accident, vous aurez des nouvelles d'eux une fois par an, ils se serviront sur votre compte, en échange  d'une carte verte. Si vous avez le malheur de vouloir prendre de leurs nouvelles, vous regretterez, comme moi... AXA devrait avoir honte d'avoir une telle filiale... FUYEZ ET VITE !!</t>
  </si>
  <si>
    <t>25/10/2018</t>
  </si>
  <si>
    <t>01/10/2018</t>
  </si>
  <si>
    <t>jfgmao-86434</t>
  </si>
  <si>
    <t>Client depuis une vingtaine d'année pour l'habitation et tous mes véhicules.Tout se passait bien tant qu'il n'y a pas eu de sinistre. Malheureusement des incendies ont endommagés ma résidence secondaire en Corse le 04 janvier 2018 à Chiatra Di Verde. Depuis 2 ans je me bat à coups de courrier et de message pour être indemnisé et pouvoir enfin commencer les travaux pour la protection de mon habitation. Rien n'a été fait . Il manque toujours un document. En Aout 2019 il ne manquait que le devis du maçon pour les réparations. Ils l'ont reçus fin Aout . Rien n'a bougé et ma maison continu de prendre l'eau par la toiture et de se dégrader. J'ai envoyé un recommandé en décembre 2019 demandant de me verser la somme correspondante à mes millièmes. Rien.Pas de réponses. J'ai même doublé mon courrier par le portail d'accès et fais une copie au service réclamation qui mettent en avant le service qualité. Rien non plus . J'ai appelé à nouveau ce matin . La personne en charge n'est pas là et un de ses collègues a pris le message . Je continu à payer mon crédit, mon assurance, mes taxes pour une maison que je ne peux pas utiliser depuis le sinistre. Je suis client de l'agence de Sorgues  84700. Pas la peine de me dire de cliquer sur une rubrique ou une autre. Le dossier est bien connu la bas et ils en sont désolés mais ne peuvent rien faire. Je vais maintenant me servir des réseaux sociaux et des médias pour montrer la réactivité de cette assurance.</t>
  </si>
  <si>
    <t>28/01/2020</t>
  </si>
  <si>
    <t>01/01/2020</t>
  </si>
  <si>
    <t>kiki-102923</t>
  </si>
  <si>
    <t>assurance chère, il faut pleurer ses remboursements comme par hasard ils ne recoivent pas les feuilles de soins je dois en permanence photocopier réexpédier "maladie des yeux de mon chien, etc si je prends une assurance' c'est pôur pouvoir continuer à assurer les soins, bon, gros bazard</t>
  </si>
  <si>
    <t>Assur O'Poil</t>
  </si>
  <si>
    <t>20/01/2021</t>
  </si>
  <si>
    <t>krim-89807</t>
  </si>
  <si>
    <t>Ravi de ma souscription rapide sur internet à un prix très attractif</t>
  </si>
  <si>
    <t>21/05/2020</t>
  </si>
  <si>
    <t>vilmint-f-137639</t>
  </si>
  <si>
    <t>pour l'assurance auto  le prix et top pour les assurance habitation a revoir  je recommande le service client est top rapide simplet efficace le top .</t>
  </si>
  <si>
    <t>17/10/2021</t>
  </si>
  <si>
    <t>jcgtreize-104561</t>
  </si>
  <si>
    <t>170€ / an, difficile à battre.
Le problème, c'est + tard : lorsque l'on a besoin des prestations d'un assureur : dans le meilleur des cas, c'est long, très long; lent, très lent.
Dans le cadre d'un sinistre dans lequel j'avais 0/100 de responsabilité, il a fallu 3 mois pour qu'ils demandent la prestation d'un expert, très bonne expertise d'ailleurs, &amp; un peu + de 2 mois pour obtenir versement de la somme obtenue auprès de l'assurance de la partie adverse (MAIF).
Reste à charge, dans mon cas : 555€ ( remorquage + heures de nuit + heures jour férié 8/5/2020 ).</t>
  </si>
  <si>
    <t>22/02/2021</t>
  </si>
  <si>
    <t>darko-100819</t>
  </si>
  <si>
    <t>J'avoue que j'ai une peu de mal à lire les coms concernant la qualité des services de la Matmut. J'en conclus que les grincheux se plaignent toujours pas les gens satisfaits. Je suis un inconditionnel de la Matmut parce que étant sociétaire depuis longtemps, je mesure à quel point leur niveau de professionnalisme m'a été précieux. Je ne rentrerai pas dans les détails. Chacun fait ce qu'il veut, Pour ma part, je n'ai que des des remerciements à leur formuler pour la qualité de leur travail et en particulier  à S C de l' agence Dugay à Montpellier. La prise en charge des sinistres au top, l'information au top. Le climat de confiance avec mon assureur s'est vérifiée et et ne s'est jamais démentie.     J .Martinez</t>
  </si>
  <si>
    <t>jeremie-l-130312</t>
  </si>
  <si>
    <t>je suistrés satisfait du service les prix me convienne tout a fait votre rapidité me satisfait je recommande direct assurance a mes proches bien cordialement mr lelievre jeremie</t>
  </si>
  <si>
    <t>31/08/2021</t>
  </si>
  <si>
    <t>karine-s-130401</t>
  </si>
  <si>
    <t>J'ai connu cette assurance par des amis qui m'ont conseillé de la prendre. Facilité d'inscription, rapide. Vous êtes assurés en un clic. Le prix est imbattable!</t>
  </si>
  <si>
    <t>baltide-m-116778</t>
  </si>
  <si>
    <t>Satisfait du service. Bonne surprise sur les prix annoncés.
L'accueil client a été très bon et le personnel a su bien prendre en compte
les demandes formulées.</t>
  </si>
  <si>
    <t>cyrius-15-104596</t>
  </si>
  <si>
    <t>Très déçue par MATMUT. Attention conducteur âgée non désirable chez eux. Les agences locales ne sont pas consultés pour les decisions  malgré la duree de cotisation  de l assuré  ( 30 ans chez eux dans notre cas ) attention ne faites pas repare votre vehicule si vous avez la malchance d avoir 3 sinistre 9 ne concernant que votre vehicule sur 3 ans) il n y a que le fric  qui compte. N ALLEZ SURTOUT PAS À CETTE ASSURANCE</t>
  </si>
  <si>
    <t>virginia-131064</t>
  </si>
  <si>
    <t xml:space="preserve">Je vous recommande la mutuelle santiane.
Très bonne communication à l'écoute du client quelques soit les circonstances.
Un interlocuteur en or, merci George. </t>
  </si>
  <si>
    <t>03/09/2021</t>
  </si>
  <si>
    <t>stenka-98710</t>
  </si>
  <si>
    <t>On sait bien que la hantise des assureurs ce sont les contrats prévoyance et en particulier en cas de décès de parent, les rentes éducations des enfants jusqu'à leur 25 ans. AXA remporte la coupe pour l'incompétence de son service de gestion des rentes et pour le mépris du client. Chaque années ce sont les mêmes retards de réglement des rentes alors que l'on a transmis par courrier en temps voulu les pièces justificatives de scolarité : documents papiers 
perdus systématiquement de leur côté, réponses incohérentes sur le traitement du dossier - une semaine le dossier est soit disant traité, la semaine suivante la pièce n'a pas été reçue, il faut la retransmettre en urgence par mail et à chaque fois on vous ajoute 10 jours de délai pour le versement....Si "Know you can" est le nouveau slogan d'AXA, côté client c'est "Know they can't"...faire leur travail correctement. Pour le patron d'AXA ce slogan  "symbolise parfaitement l'ambition que nous avons de faire d'Axa un partenaire en mesure d'aider ses clients à atteindre leurs rêves." pour ma part mon rêve de parent seul est limité a gérer correctement mon budget familial contraint...et AXA ne m'y aide pas.</t>
  </si>
  <si>
    <t>13/10/2020</t>
  </si>
  <si>
    <t>marie-70902</t>
  </si>
  <si>
    <t>A fuir! A fuir! A fuir! A fuir!
Aucun remboursement en cas de sinistre.
Personne au bout du fil
Très mauvais niveau de service
Nécessite de faire un procès pour avoir ses droits</t>
  </si>
  <si>
    <t>03/02/2019</t>
  </si>
  <si>
    <t>01/02/2019</t>
  </si>
  <si>
    <t>elsouille-50662</t>
  </si>
  <si>
    <t xml:space="preserve">Fuyez cet assureur. 2 sinistres en 1 an et les deux non responsable. Temps de résolution des sinistres entre le moment de l’accident et le moment de remboursement : 1 mois et demi pour le 1er et 2mois et demi pour le deuxième en sachant que j’attends toujours le remboursement au jour d’aujourd’hui.
Les personnes à qui j’ai eu à faire se sont révélées incompétentes. Ils ont envoyés deux fois les chèques de remboursement à la mauvaise adresse. Aucune cohésion avec l’expert, j’ai dû me déplacer moi-même et poser une après-midi pour me rendre au cabinet d’expertise. J’ai passé des heures au téléphone pour n’avoir aucune réponse de cohérente. Le prix est attractif mais il augmente sans cesse. J’ai payé des frais de dossier pour un changement d’adresse que j’ai effectué moi-même sur leur site internet. 
Des délais jamais respectés.  De plus, on vous promet d’être à vos cotés en cas de sinistre et de vous faciliter toutes opérations, et vous vous retrouvez avec un ou une conseillère qui vous demande de vous déplacer à droite à gauche pour que le dossier avance plus vite. Plus vite ? J’en suis à deux mois et demi heureusement que je me suis déplacée à la préfecture et au cabinet d’expertise car je ne sais pas où en serait le dossier aujourd’hui. 
Ne prenez pas le risque de vous engager avec cet assureur, il ne sera pas à la hauteur du minimum attendu. Prix bas pour un service client médiocre.
J’attends d’être rembourser pour pouvoir basculer chez un assureur digne de ce nom
</t>
  </si>
  <si>
    <t>26/12/2016</t>
  </si>
  <si>
    <t>01/12/2016</t>
  </si>
  <si>
    <t>mlc43-80913</t>
  </si>
  <si>
    <t>Heureux d'avoir choisi la GMF pour assurer 3 véhicules, même si au départ les tarifs étaient plus élevés qu'à la Matmut et à Euralpha</t>
  </si>
  <si>
    <t>12/11/2019</t>
  </si>
  <si>
    <t>frank-m-108825</t>
  </si>
  <si>
    <t>Bonjour, pour l'instant les tarifs sont corrects, après  au niveau du service je n'ai l'ai pas utilisé à voir le jour ou j'en aurais besoin. S'il n'y à pas satisfaction , je changerais d'assurance.</t>
  </si>
  <si>
    <t>thomas-d-107772</t>
  </si>
  <si>
    <t xml:space="preserve">pour une crevaison, le remorquage n'a pas été indemnisé... Déçu de la prestation                                                                                                 </t>
  </si>
  <si>
    <t>lolo-61226</t>
  </si>
  <si>
    <t xml:space="preserve">forçage a la souscription en porte a porte je tient a signaler qu'ils sont venu deux fois et utilise a chaque fois les mêmes phrases
1:il vienne a deux 
2: il vous dise qu'ils ont tenter de vous joindre par téléphone
3:qu'ils vous ont envoyer un courrier mais que vous n'avez pas répondu a celui si
4:vous demande votre attestation de carte vital et qu'il sont la pour mettre a jour votre dossier de sécurité social et vous embrouille avec un blabla
5:ils vous font croire que croire que c'est gratuit
6:quand vous demander qu'il laisse un dossier pour lire les conditions et y réfléchir ils te dise qu'ils ne peuvent pas laisser de copie
brefffff forçage a la souscription de mutuel sous couvers de liens avec la sécurité social et que cela est gratuit je tient a vous rappeler que deux groupes de deux personnes m'ont fait exactement la même approche quasiment mot pour mot en moins de 2 mois
</t>
  </si>
  <si>
    <t>rigaud-y-130247</t>
  </si>
  <si>
    <t>JE SUIS SURPRIS CAR DE BASE LE MONTANT  etait moins élever j'espère avoir une réduction si bon conducteur surtout que la voiture à le même âge que moi</t>
  </si>
  <si>
    <t>30/08/2021</t>
  </si>
  <si>
    <t>nathalie-61844</t>
  </si>
  <si>
    <t>Je constate que la plupart des  commentaires décrivent le même processus. Un devis basé sur les déclarations . Le paiement des mois de cotisations puis soudainement une demande de réguliarisation qui ne correspond pas au devis...
Pour notre part nous avons déposé une plainte . Et demandé la résiliation du contrat</t>
  </si>
  <si>
    <t>enora-111836</t>
  </si>
  <si>
    <t>Prévoyance indépendant à fuir +++
Vous pensez avoir un bon contrat détrompez vous!! ILS NE VOUS INDEMNISERONT PAS!!!
3 mois après mon arrêt maladie pour grossesse difficile et après maintes relances téléphoniques 1h30 tous les jours pdt 1 semaine mon dossier médical est enfin traité et on me donne une réponse NEGATIVE 3 MOIS PLUS TARD.
Ils se moquent vraiment de leurs clients.
Après presque 10 ans en libéral je vais devoir emprunter à mes parents pour payer mes charges???
Une ABERRATION... c'est honteux...
J'étais chez la MACSF avant je n'ai jamais eu aucun soucis dans les délais, ni pour les joindre par téléphone, payée 1 mois après mon arrêt pour ma précédente grossesse chez eux.</t>
  </si>
  <si>
    <t>27/04/2021</t>
  </si>
  <si>
    <t>wood58--112701</t>
  </si>
  <si>
    <t>Je suis assuré à la GMF depuis quelques années. Cette année j’ai eu deux sinistres et il me parle de me résilier? Pour les années où je n’ai pas eu de sinistres. Personne ne me téléphone pour me dire que j’ai étais un bon élève? Je pense que je vais changer d’assurance. Je ne vous conseille pas la GMF</t>
  </si>
  <si>
    <t>05/05/2021</t>
  </si>
  <si>
    <t>estel-112935</t>
  </si>
  <si>
    <t xml:space="preserve"> Des incompetents et de mauvaise foie en plus . La honte de la profession . Ne repondent même pas aux adherents . Juste bons à empocher les cotisations . Et ça se pretends assureur ??? Si vous chercher une assurance, passez votre chemin ....</t>
  </si>
  <si>
    <t>06/05/2021</t>
  </si>
  <si>
    <t>julie-j-138793</t>
  </si>
  <si>
    <t>Je ne peut avoir aucun avis pour le moment car mon adhésion est à peine terminer, a voir dans le temps.Mais les prix sont très attractif et l'inscription est rapide et facile.</t>
  </si>
  <si>
    <t>03/11/2021</t>
  </si>
  <si>
    <t>01/11/2021</t>
  </si>
  <si>
    <t>flo-p-104912</t>
  </si>
  <si>
    <t xml:space="preserve">Je suis terriblement mécontent de la Macif, j’ai fait appel à eux suite à un bris de glace sur mon optique avant. Je reçois l’accord de l’assurance pour les travaux et le jour des réparations ils m’annoncent que le bris de glace n’était pas pris en compte et que les réparations étaient à ma charge. De plus j’ai reçu un courrier pour la non reconduction de mon contrat suite à cet incident. Bravo la Macif. </t>
  </si>
  <si>
    <t>28/02/2021</t>
  </si>
  <si>
    <t>desvaux-y-109088</t>
  </si>
  <si>
    <t>Je suis Contant de mon entretient avec mon interlocuteur merci. Tout est en règle et tout correspond à ce que je voulais. Merci pour votre gentillesse</t>
  </si>
  <si>
    <t>03/04/2021</t>
  </si>
  <si>
    <t>loransv-62084</t>
  </si>
  <si>
    <t>Alicia au service clients est très efficace et rapide, conseils très avisés et clairs</t>
  </si>
  <si>
    <t>16/10/2019</t>
  </si>
  <si>
    <t>jo-104140</t>
  </si>
  <si>
    <t xml:space="preserve">Les slogans "assurément humain" et  "accompagner  et  protéger " ne reflètent pas du tout la GMF. En situation  de Covid on est loin du compte!!. Quand on veut résoudre  une situation,  il n'y a  personne de compétant et à  l'écoute!. </t>
  </si>
  <si>
    <t>14/02/2021</t>
  </si>
  <si>
    <t>dark-137888</t>
  </si>
  <si>
    <t>Catastrophique !! ils paument vos documents !!! Depuis 6 mois ils regularissent rien !!! Soucis de remboursement suite au manque de sérieux de cette organisme !!!!</t>
  </si>
  <si>
    <t>20/10/2021</t>
  </si>
  <si>
    <t>loulou69003-63154</t>
  </si>
  <si>
    <t>Certainement la pire mutuelle à laquelle j'ai adhéré, il me hate de pouvoir resilier en fin d'année.  
Des options sont ajoutés pour augmenter la cotisation, le temps d attente pour avoir un conseiller et de minimum 20 min et on ajoute bien sur a cela que le personnel repond bien a coté des demandes (et d'une maniere hautaine)... mutuelle à éviter à tout prix si vous souhaiter un service de qualité</t>
  </si>
  <si>
    <t>stanislas-f-129924</t>
  </si>
  <si>
    <t>Rapidité, efficacité et tarif avantageux. Deuxième contrat signé avec April moto et toujours très satisfait de la prestation et de la fluidité du site que je recommande vivement.</t>
  </si>
  <si>
    <t>28/08/2021</t>
  </si>
  <si>
    <t>eric-n-137611</t>
  </si>
  <si>
    <t>Bonne assurance. Tarif intéressant. Les options sont bienvenues mais font grimper la note. Le véhicule assuré a 28 ans. Le tarif est plus intéressant que chez les autres assureurs mais reste élevé.</t>
  </si>
  <si>
    <t>16/10/2021</t>
  </si>
  <si>
    <t>s-m-79229</t>
  </si>
  <si>
    <t>à fuir, pas sérieux. sont là juste pour prendre votre argent et pas de service. Je ne conseille absolument. Les conseillers ne sont pas aimable au téléphone et parfois ne savent pas vous répondre ! plus de 30 mn d'attente et ensuite cela raccroche automatiquement</t>
  </si>
  <si>
    <t>16/09/2019</t>
  </si>
  <si>
    <t>jsln-58813</t>
  </si>
  <si>
    <t>ravisez vous avant de souscrire chez NEOLIANE SANTE
malgré un courrier recommandé avec A.R. ils refusent de résilier mon contrat prétextant qu'il n'y a pas de signature électronique et m'obligent à rester chez eux un an de plus malgré des prix exorbitants</t>
  </si>
  <si>
    <t>14/11/2017</t>
  </si>
  <si>
    <t>chris91170-65746</t>
  </si>
  <si>
    <t xml:space="preserve">Après 48 ans de cotisations la GMF a radier mon père car il a eu trois incident en 3 ans dont un non responsable et les deux autres uniquement de la carrosserie et un rétro....
C'est honteux. GMF ASSURÉMENT HUMAIN... une blague. </t>
  </si>
  <si>
    <t>25/07/2018</t>
  </si>
  <si>
    <t>01/07/2018</t>
  </si>
  <si>
    <t>jimmy68-81995</t>
  </si>
  <si>
    <t>Il y a quelques années j'ai décidé de quitter AXA pour une autre assurance vraiment moins chère de l'ordre de 50 % et à ma grande surprise 6 mois après j'apprends par courrier que ma résiliation a été refusée et que je dois à présent m'acquitter de 6 mois de cotisation en plus des 6 mois de cotisation de ma nouvelle assurance , je décide donc de demander des explications à ma conseillère sur le pourquoi je ne suis prévenu que 6 mois après,  ce sur quoi elle me répond qu'en réalité je ne suis pas assuré chez eux mais chez un sous-traitant du nom de solly azar basé en Israël....dans la loi Israélienne pour attaquer une société en justice il faut se trouver physiquement sur le territoire donc pour récupérer 900 euros ça ne valait pas le coup de prendre l'avion  puis ils m'ont quasi instantanément envoyé un huissier de justice Français pour le coup! et j'ai donc immédiatement payé. Bravo pour votre capacité à prendre l'argent des gens en échange de rien.</t>
  </si>
  <si>
    <t>16/12/2019</t>
  </si>
  <si>
    <t>01/12/2019</t>
  </si>
  <si>
    <t>gilles-d-134400</t>
  </si>
  <si>
    <t xml:space="preserve">Je suis satisfait du service notamment sur les tarifs.
Après, étant un conducteur particulièrement vigilent, aguerris peut-être chanceux, je n'ai eu à solliciter vos services qu'une seule fois (pour un préjudice imputable à ma compagne) alors que ça fait, je pense, environ 10 années que je suis assuré chez vous....
Mon avis sera plus précis le jour ou je solliciterai vos services pour des problématiques plus importantes et contraignantes qu'une simple souscription. En espérant tout de même que ce jour n'arrive jamais.
Bien cordialement.
</t>
  </si>
  <si>
    <t>24/09/2021</t>
  </si>
  <si>
    <t>pereira-m-125798</t>
  </si>
  <si>
    <t xml:space="preserve">Bon service rapide et pratique conseille agreable fluide dans les esplication je conseillerai surement á des proche dans le temps j espere que sa retera comme c est </t>
  </si>
  <si>
    <t>31/07/2021</t>
  </si>
  <si>
    <t>audrey-v-113082</t>
  </si>
  <si>
    <t xml:space="preserve">on ne peut rien faire sur votre site !! ni demander un devis ni changer de véhicule ! au jour d'aujourd'hui c'est une honte de devoir passer par un numéro de téléphone </t>
  </si>
  <si>
    <t>08/05/2021</t>
  </si>
  <si>
    <t>platon-99589</t>
  </si>
  <si>
    <t>La Matmut s'est lancée dans une grande opération de radiation de ses clients. Le seul fait de contacter l'assistance est pris en compte pour vous radier.</t>
  </si>
  <si>
    <t>03/11/2020</t>
  </si>
  <si>
    <t>bel-55784</t>
  </si>
  <si>
    <t>Je suis assuré à la MAAF depuis 10 ans. Il ya 2 mois dans un parking je me suis fait rentré dedeans par un vehicule. Mon epouse enceinte te mes enfants (8 ans et 10 ans) etaient dans la voiture. Constat effectué et temoin à l'appui, je me rend 1 jous apres à mon agence. Il m'envoi un expefrt qui regarde et qui propose de faire des travaux dont le constructeur du vehicule refuse de garantir les travaux. L'expert c'est focalisé sur tout le vehicule sauf le sinistre en question. Il nous propose de rafistoler un vehicule qui a 2 ans et 1/2. Plusieurs contact avec la MAAF qui se cache derriere l'expert comme si c'est moi qui est rentré dans l'autre vehicule (je passe de victime à accusé). Je fait uen reclamation (il y a 1 mois et demi et toujours pas de reponse). Je sollicite un rdv avec la directrice de l'agence mais au bout de 2 mois toujours pas disponibilité (pour un client qui a toujours payé ses factures en 10 ans d'ancienneté. Le propriétaire du vehicule adverse m'a appelé la semaine derniere pour savoir si mon epouse n'a pas eu de sequelle au niveau de sa grossesse suite à cet incident (mais ca la MAAF ne s'en ai pas soucié 1 seconde) et la il m'apprend que liui il a payé sa franchise et que son vehicule est reparé. C'set le monde à l'nevers mais malheureusement c'est possible avec la MAAF. Resultats : mon vehicule est avec un pare choc rafistolé, les rayures causées par le sinistres sont toujours la, une situation gravé dans la tete des mes enfants .... et en face un conducteur qui a une assurance beuacoup plus reactive que la mienne. Pendant 10 nas j'ai toujours conseillé la MAAF mais heureusement que ma famille et mes proches sont capable de faire de le sens inverse quand il entendent la sitaution dans laquelle je suis</t>
  </si>
  <si>
    <t>03/07/2017</t>
  </si>
  <si>
    <t>lou-55120</t>
  </si>
  <si>
    <t>CATASTROPHIQUE. j'ai cru gagner en rejoignant cet assureur (sous les conseils Malinx Le Lynx.) mais c'était une grave erreur. N'y allez SURTOUT PAS !!!</t>
  </si>
  <si>
    <t>03/06/2017</t>
  </si>
  <si>
    <t>lili-134628</t>
  </si>
  <si>
    <t xml:space="preserve">Une requête concernant la mauvaise intention d'une mutuelle concurrente a été superbement traitée par Mr Larbi
Un grand remerciement pour sa gentillesse et sa bonne connaissance des mutuelles </t>
  </si>
  <si>
    <t>michel-s-112821</t>
  </si>
  <si>
    <t xml:space="preserve">
 je voudrais que vous me fassiez 2 devis 
1 Tiers Maxi
2 Tiers essentiel
98/100 de mes déplacements se font à moins de 50km de chez moi
Je vs 0 km  
</t>
  </si>
  <si>
    <t>bernasete-71080</t>
  </si>
  <si>
    <t>la personne qui m'a répondu aujourd'hui est au tope ce qui n'est pas toujours le cas plusieurs fois j'ai été mise en attende et la communication a été coupée</t>
  </si>
  <si>
    <t>08/02/2019</t>
  </si>
  <si>
    <t>calugareanu-i-126832</t>
  </si>
  <si>
    <t>Bonjour
Je suis très satisfaite de ma commande sur votre site. Celle-ci est arrivée rapidement chez moi.
Je n'hésiterai pas à y effectuer d'autres achats.
Cordialement,</t>
  </si>
  <si>
    <t>masse-l-117263</t>
  </si>
  <si>
    <t xml:space="preserve">Prix raisonnables par rapport à la concurrence et service commercial très professionnel.
Pour les autres services j'espère ne jamais avoir à les tester.
</t>
  </si>
  <si>
    <t>16/06/2021</t>
  </si>
  <si>
    <t>fabien-d-124567</t>
  </si>
  <si>
    <t xml:space="preserve">Les 2 mois offerts ne sont pas appliqués. Pourquoi 
Hors que je reçoit une promotion sur ma boite mail.
Merci de revenir vers moi à ce sujet.
Je reste en attente de votre retour </t>
  </si>
  <si>
    <t>24/07/2021</t>
  </si>
  <si>
    <t>arbuste33-62091</t>
  </si>
  <si>
    <t>J'avais déclaré un cyclo volée pour mettre fin au contrat et comme je n'étais pas assuré tout risque c'est logique de pas me faire rembourser... mais comme si ce n'était pas assez, AMV m'a fiché auprès des assureurs comme ayant eu ce sinistre alors que normalement ça ne l'es regarde pas puisque jamais assurée en ces qualités.</t>
  </si>
  <si>
    <t>gest33-56306</t>
  </si>
  <si>
    <t xml:space="preserve">Qualité des appels odieux , ce soir 26/07 pour modif de contrat a 19h40 soit 20 minutes avant fermeture : réponse : ah ben non c'est l'été , je n'ai pas la main sur votre dossier ( client depuis 2008 ) . Je ne peux rien faire: </t>
  </si>
  <si>
    <t>Eurofil</t>
  </si>
  <si>
    <t>26/07/2017</t>
  </si>
  <si>
    <t>pj78000-92177</t>
  </si>
  <si>
    <t xml:space="preserve">Je suis sociétaire depuis des années, aucun sinistre déclaré depuis que je suis assuré avec mes 3 machines ! 50% de bonus ! la prime d'assurance augmente de 23 % sans raison, c'est inacceptable, je prends mes 3 motos et je vais m'assurer ailleures.
</t>
  </si>
  <si>
    <t>15/03/2021</t>
  </si>
  <si>
    <t>watin-m-112631</t>
  </si>
  <si>
    <t xml:space="preserve">Je suis satisfaite des services.
Communication agréable avec vos opérateurs. Je suis satisfaite des prix ainsi que votre accueil sur le site internet. </t>
  </si>
  <si>
    <t>04/05/2021</t>
  </si>
  <si>
    <t>leo-79277</t>
  </si>
  <si>
    <t>Inadmissible, j'ai fait une demande pour une assurance habitation et je reçoit une ATTESTATION pour une période ou je n'était pas dans l'appartement. Et on me fait payer pour une autre assurance que je n'ai jamais demander et encore moins accepté. C'EST UNE HONTE.
A fuir !</t>
  </si>
  <si>
    <t>18/09/2019</t>
  </si>
  <si>
    <t>pierre-m-128975</t>
  </si>
  <si>
    <t>Très bien je suis satisfait et vous contacte lundi pour bien reprendre le contrat avec vous car je ne souhaite pas résilier mon assurance en cours cordialement monsieur MARTIN</t>
  </si>
  <si>
    <t>jmc-91706</t>
  </si>
  <si>
    <t>Societaire depuis 50 ans,je ne comprends pas pour quelles raisons mon nouveau véhicule (UX 250) plus petit que le précédent(NX 350) est pour les même prestations beaucoup plus élevé</t>
  </si>
  <si>
    <t>21/06/2020</t>
  </si>
  <si>
    <t>dbened-101134</t>
  </si>
  <si>
    <t>40% d'augmentation en 3 ans , pour la même maison , sans aucun sinistre . 
4 appels téléphoniques , aucune explication ...je devais être rappelé , j'attends toujours !!!
Le prix de souscription était compétitif mais attention à la suite .
Je vais être contraint d'aller à la concurrence .</t>
  </si>
  <si>
    <t>08/12/2020</t>
  </si>
  <si>
    <t>audrey-103975</t>
  </si>
  <si>
    <t>Lors de notre premier contact j'ai dit au conseiller que je devais réfléchir, et que je le recontacterai, il a alors insister pour quand même m'envoyer un contrat, j'ai finalement opter pour une autre assurance , le lendemain je lai dit au conseiller qui m'a demander où j'avais souscrit puis as essayer de dénigrer son concurrent, je lui ai expliquer que lautre était plus avantageuse et moins chère, il s est énerver en me disant que c'était pas vrai, je lui ai donner quelque exemples de là où c'était plus avantageux , il est devenu très agressif et me citant le seul point où ils remboursant mieux , je lui ai demander d'arrêter et que mon choix était fait , mais cela et cela ne lui as pas suffi et il as continuer et devenant de plus en plus agressif jusqu a ce que je lève aussi la voie en lui disant d'arrêter, il m'a finalement dit bonne soirée et à brusquement raccrocher
Je déconseille vraiment de rentrer en contact avec eux car si vous n'allez pas dans leur sens vous vous faite agresser par téléphone</t>
  </si>
  <si>
    <t>10/02/2021</t>
  </si>
  <si>
    <t>antoine-l-128938</t>
  </si>
  <si>
    <t xml:space="preserve">c'est pas mal pour une première assurance, je suis dans l'ensemble satisfait, a voir dans les mois à venir. 
Le site est bien fait, c'est plutôt intuitif </t>
  </si>
  <si>
    <t>khamliche-h-136934</t>
  </si>
  <si>
    <t>je suis satisfait, 
rien a dire, mercii beaucoup
je recommande
j'attend voir au cas d'un problème, comment vous allez réagir, sinon a première appercu, c bien</t>
  </si>
  <si>
    <t>11/10/2021</t>
  </si>
  <si>
    <t>helena-m-108343</t>
  </si>
  <si>
    <t xml:space="preserve">Le service clientèle est satisfaisant pour le moment, je ne peux pas trop juger étant nouvelle cliente, pour ce qui est de la souscription, le personnel est à l'écoute et rapide, je verrais par la suite si j'ai un sinistre mais je ne peux pas évaluer pour le moment. </t>
  </si>
  <si>
    <t>mousti-58519</t>
  </si>
  <si>
    <t>La GMF : Assurance que je déconseille ! 18 ans d'assurance auto chez eux et radié pour un sinistre responsable et deux non responsables. Un recommandé vous est envoyé du jour au lendemain vous annonçant votre radiation ! Cette assurance résilie de façon abusive ses clients. Moralité: Payer une assurance et ne pas avoir de sinistres même non responsables. Honte à cette assurance !</t>
  </si>
  <si>
    <t>31/10/2017</t>
  </si>
  <si>
    <t>claude-m-123269</t>
  </si>
  <si>
    <t xml:space="preserve">satisfait prix et qualité réception téléphonique  parrainage  bon accueil  bonne journée  je vous recommanderais à d'autre personnes .
famille et amies </t>
  </si>
  <si>
    <t>13/07/2021</t>
  </si>
  <si>
    <t>faucilhon-c-115255</t>
  </si>
  <si>
    <t xml:space="preserve">L’accueil est vraiment très agréable et rapide, le service est efficace. Je n'ai jamais eu un quelconque problème.
Les prix sont dans la moyenne.
Bonne journée,
</t>
  </si>
  <si>
    <t>29/05/2021</t>
  </si>
  <si>
    <t>sophie-b-123389</t>
  </si>
  <si>
    <t>Très insatisfaite, sinistre non pris en charge malgré assurance Tout Risque.
Pas de contact direct possible auprès de Direct Assurance
Expert à charge pour éviter à l'assureur de payer</t>
  </si>
  <si>
    <t>14/07/2021</t>
  </si>
  <si>
    <t>moon-67247</t>
  </si>
  <si>
    <t xml:space="preserve">Assurance deplorable qui ne rembourse rien et qui vous engage pour un an avec reconduction tacite même si entre temps vous n'avez plus votre animal. SAV avec lequel il est impossible d'échanger. Harcelée depuis des mois pour payer une assurance pour des animaux que je n'ai plus. Recommandé envoyé et réceptionné mais non reconnu par l'assurance. A quelle moment la bêtise s'arrête t'elle ? </t>
  </si>
  <si>
    <t>paulogasgas-64425</t>
  </si>
  <si>
    <t>pratiquant la moto VERTE en randonnée suite à une chute dans un chemin et 4 cotes cassées je me suis retrouvé dans l'impossibilité de continuer mon périple La moto avec une reparation de fortune de la cocotte d'embrayage se retrouva sans pilote au gite ou je parvins à la trainer. Demandant le rapatriement de la bécane à mon domicile, quelle fut ma surprise d' essuyer un refus sous pretexte qu'elle etait roulante: il eut fallu auparavant la détériorer volontairement pour obtenir le césame, pas tres responsable comme attitude il me restait à tenter de regagner mon point d'arrivée à 150 km avec 4 cotes cassées(essayez pour voir)  sans me proposer de solution en pleine pampa auvergnate(vive l'Auvergne) je me suis pas senti tres entouré!!! Je sais ce qu'il me reste à faire lors du prochain renouvellement de contrat.</t>
  </si>
  <si>
    <t>03/06/2018</t>
  </si>
  <si>
    <t>syl-112263</t>
  </si>
  <si>
    <t>mettre une étoile c'est deja trop! fuiez
sachez que lors d'un sinistre ,excepté pour déclaré le sinistre vous aurez beaucoup de mal à obtenir des réponses à vos questions car injoignable au téléphone en dehors des heures de travail 9h - 12 h et 14h 17h, et pas d'adresse mail et évidemment pas d'agence!
j'ai eu un degats des eaux en octobre 2020 et aujourd’hui les travaux n'ont toujours pas commencés!</t>
  </si>
  <si>
    <t>30/04/2021</t>
  </si>
  <si>
    <t>dextro12--123330</t>
  </si>
  <si>
    <t xml:space="preserve">Suite à un accrochage sans le moindre dégât suite à stationnement, j'ai été victime  d'une fraude à  l'étranger.
J'ai contesté la signature du constat d'accident par courrier suite à signature forcée par le plaignant turque vivant en France et ne parlant pas notre langue, mis à témoins par deux agents fédéraux de la police suisse qu'il a  fait venir.
En un an, je n'ai jamais eu la moindre réponse de Eurofil, et personne n'est capable de m'en dire   plus entre le service des cotisations et des sinistres, sans parler des heures d'attente au téléphone.
Fischer Stéphane </t>
  </si>
  <si>
    <t>sandrine-l-126517</t>
  </si>
  <si>
    <t>Je suis satisfait de votre assurance je la recommande à tous mes amis et menbre de ma famille.  Niveau qualité prix je trouve que elle défis toute concurence</t>
  </si>
  <si>
    <t>04/08/2021</t>
  </si>
  <si>
    <t>marc-m-131493</t>
  </si>
  <si>
    <t xml:space="preserve">Je suis satisfait de direct assurance j ai pu obtenir un bon devis en tous risques et je suis satisfait de la démarche. Je vous souhaite bonne continuation merci </t>
  </si>
  <si>
    <t>06/09/2021</t>
  </si>
  <si>
    <t>benjamin-f-137922</t>
  </si>
  <si>
    <t>Bonne première impression sur le tarif et les garanties proposés par april moto en ce qui concerne l'adhésion à mon assurance moto en ce mois d'octobre 2021</t>
  </si>
  <si>
    <t>21/10/2021</t>
  </si>
  <si>
    <t>pas-de-pseudo-com-101068</t>
  </si>
  <si>
    <t>C’est une cie d’assurance très sérieuse et efficace ,la seule chose qui me gêne et je la quitte pour cette raison c’est l’augmentation annuel du contrat de deux cents euros sur un an sans modification de contrat,dans le doute je préfère partir avant la prochaine échéance.</t>
  </si>
  <si>
    <t>07/12/2020</t>
  </si>
  <si>
    <t>pathfind-57668</t>
  </si>
  <si>
    <t>une augmentation injustifiée de 55.27 cette année alors que je n'ai aucun sinistre depuis des années et que tout se passe par internet aucun contact direct avec l'agence</t>
  </si>
  <si>
    <t>08/07/2021</t>
  </si>
  <si>
    <t>takvorian-m-129856</t>
  </si>
  <si>
    <t xml:space="preserve">Très bon service, tarif raisonnable. Je suis très satisfait de cette compagnie d’assurance et de leurs garanties. 
Service rapide et facile d’accès pour valider et signer </t>
  </si>
  <si>
    <t>mercer???-133020</t>
  </si>
  <si>
    <t xml:space="preserve">Suite à la rupture conventionnelle de mon contrat de travail août 2021
Impossible de faire appliquer par MERCER FRANCE la portabilité de mon contrat (mutuelle) Après 16 ans d'ancienneté, je bénéficie de la portabilité pour une durée de 1an
J'ai transmis à MERCER à 3 reprises le document ouverture des droits ARE (Pôle Emploi) qui reprend l'ensemble des informations notamment le délai de carence + 'indemnisation qui débutera le 05 mars 2022
MERCER persite à me réclamer des attestations de paiement qu'il m'est impossible fournir car mon indemnisation débutera seulement le 5 mars 2022. Ils ne tiennent pas compte de mes explications
Pour finir,depuis hier je n'ai plus accès à mon Espace MERCER-  mon identifiant ne fonctionne plus, comme par hasard ...  donc impossible d'échanger avec MERCER
Pas d'autre solution que de saisir le médiateur et tribunal si nécessaire ?
</t>
  </si>
  <si>
    <t>15/09/2021</t>
  </si>
  <si>
    <t>laurent-g-117739</t>
  </si>
  <si>
    <t>on verra à l'usage si je reste satisfait, en tout cas vous répondez rapidement.
Par contre ma banque n'apparaissait pas dans les choix avec l'adresse postale</t>
  </si>
  <si>
    <t>21/06/2021</t>
  </si>
  <si>
    <t>ona-85355</t>
  </si>
  <si>
    <t>J'ai effectué un rachat total, car je suis agacée par l'absence totale de gestion, pour laquelle j'ai bien payé les frais</t>
  </si>
  <si>
    <t>30/12/2019</t>
  </si>
  <si>
    <t>lilou78760-88037</t>
  </si>
  <si>
    <t>Bientôt chez un concurrent sans infrastructure délirante. Pas de personnel , pas d'incompétence.</t>
  </si>
  <si>
    <t>06/03/2020</t>
  </si>
  <si>
    <t>karine-p-112151</t>
  </si>
  <si>
    <t>très bonne assurance bon service de suivi de client , juste dommage de ne a voir accès au documents bonus malus en ligne devis en ligne simple et rapide</t>
  </si>
  <si>
    <t>soares--94483</t>
  </si>
  <si>
    <t xml:space="preserve">Satisfait du service rappelé moi de que pouvez merci de rappelé de que vous pourriez merci beaucoup bonne soirée à vous 
J ai un contrat chez vous avec le même mail </t>
  </si>
  <si>
    <t>17/07/2020</t>
  </si>
  <si>
    <t>mamaman-106144</t>
  </si>
  <si>
    <t>Un conseiller est facilement joignable (avec un numéro non surtaxé !).
L'accueil est agréable et les explications très claires, ainsi que les conseils.
Le tarif est extrêmement compétitif, à garanties identiques.</t>
  </si>
  <si>
    <t>10/03/2021</t>
  </si>
  <si>
    <t>haldo-80556</t>
  </si>
  <si>
    <t>Par courriel nous venons d'être informé que le Montant de la cotisation prévu au 1/1/2020 subira une augmentation de 78,8% pour un chien ayant 7 ans,
Motif de l'augmentation : ils ont observé une augmentation des tarifs des vétos et des soins d'environ 8%, tout est approximatif, pas de référence à un indice ??? il reste encore à expliquer l'écart de 70,8 % ??
Nous avons envoyé un courriel pour avoir des explications, silence radio...
Ne vous laissez pas faire, Nous prenons le parti de résilier face au silence et à ce type d'abus</t>
  </si>
  <si>
    <t>30/10/2019</t>
  </si>
  <si>
    <t>stephane-p-129107</t>
  </si>
  <si>
    <t>Le prix est correct 
La non assistance meme lors d'un accident sans prendre l'option assistance est un point négatif...
Il est trop tôt pour noter de la satisfaction car c'est lors d'un sinistre que l'on peut evaluer la qualité de service et de prise en charge de l'assureur.</t>
  </si>
  <si>
    <t>23/08/2021</t>
  </si>
  <si>
    <t>aurelien-c-105363</t>
  </si>
  <si>
    <t>formule tout risque bien trop chere pour un voiture de 2001 !
impossible de faire baisser !!
je vais résilier d'ici peu car j'ai eu un devis de 466 euros chez la concurrence au lieu de 677 euros chez vous..pour prestation identique !
Merci davoir demander mon avis !</t>
  </si>
  <si>
    <t>uyttebroeck-a-109983</t>
  </si>
  <si>
    <t xml:space="preserve">Je suis satisfait du service, simple et rapide au niveau des formalité et des conseille à votre écoute.
Je suis ravi et conseillerai cette assurance à mes proches. </t>
  </si>
  <si>
    <t>11/04/2021</t>
  </si>
  <si>
    <t>janine23450-123132</t>
  </si>
  <si>
    <t xml:space="preserve">Grosse grosse erreur à ceux qui, malheureusement prendront l’olivier assurance !!! Plus de 6mois après le sinistre j’attends toujours l’indemnisation. Et malheureusement je ne suis pas la seule dans le même cas après plusieurs recherches. </t>
  </si>
  <si>
    <t>cedric-89153</t>
  </si>
  <si>
    <t>La pire assurance au monde. Dégât des eaux en Octobre 2019 à cause d'un charpentier, Pacifica n'a jamais relancé ou mis la pression pour reprendre les travaux. 2ème dégât des eaux en Avril 2020. Résultat : une maison de 600 ans avec des poutre imbibées.
PS : Pacifica n'a rien pris en charge pour le premier dégât des eaux !!!</t>
  </si>
  <si>
    <t>26/04/2020</t>
  </si>
  <si>
    <t>01/04/2020</t>
  </si>
  <si>
    <t>dany-78091</t>
  </si>
  <si>
    <t>O pointé sur toute la ligne. Je suis assurée depuis 2004 pour mon Pinscher Toy qui a 8 ans et je suis très mécontente de ECA. En effet mon petit Pinscher a une maladie qui est un SHUNT (son foie ne fonctionne pas) et depuis lage de 3 mois il est sous traitement à  VIE avec 2 médicaments matin et soir. Or en 2017 et 2018 ECA ne m'a pas remboursé ceux ci sous prétexte que ce sont des medocs pour les puces et pour la constipation. C'est une HONTE car l'un est un antibiotique. et malgré une attestation de mon vétérinaire je ne suis tjrs pas remboursée malgré des relances tel mails et courriers! En  plus de 24e en 2014 je suis passée à 51e !! je vais contacter le service juridique de mon assureur, car ils se moquent du monde  Cdt</t>
  </si>
  <si>
    <t>31/07/2019</t>
  </si>
  <si>
    <t>elodie-z-133866</t>
  </si>
  <si>
    <t>Excellent tarif et garantie imbattable!!! pour un scooter par rapport a d'autre assurance sur le marché merci encore!! je penserai à vous lorsque je passerai mon permis moto</t>
  </si>
  <si>
    <t>emma-117063</t>
  </si>
  <si>
    <t xml:space="preserve">Depuis avril j'essaye de m'inscrire à la MGEN : 
- Première fois : mon dossier est envoyé par la CPAM à la MGEN, au bout de 2 mois je n'ai aucune nouvelle et lorsque j'appelle, on me dit que les délais sont long que cela est normal. 
Problème : le lycée qui envoi les salaires aux AED ne veulent pas me payer temps que je n'ai pas d'attestation assurant que je suis à la MGEN. 
- Donc 2ème fois : je me rend directement sur place pour expliquer mon problème et là, on me dit qu'ils n'ont aucune trace de mon dossier ! Donc je m'inscrit directement sur place. 
- 10 jours plus tard, je ne suis toujours pas payé et je n'ai aucunes nouvelles de la MGEN, je décide donc d'appeler le 3676, 2 fois et les agents me disent tous qu'ils n'ont aucun document à mon nom ce que je cite "n'est pas normal". Impossible de contacter un conseiller du Var, les agents que j'ai au téléphone ont tous envoyé un mail à l'agence du Var pour qu'ils me rappellent AU PLUS VITE ! 
Et là toujours aucune nouvelle. J'ai réussi à contacter la conseillère qui s'est occupé de mon dossier ( PAR MAIL, toujours impossible à avoir pas téléphone) et celle-ci me dit qu'elle a bien transmit mon dossier au centre de gestion mais que "si le dossier s'est perdu, renvoyez nous le formulaire rempli avec les pièces justificatives". Cela veut donc dire qu'il est probable que mon dossier soit perdu ??? Et que je dois me débrouiller seule ! Il est impossible pour eux de joindre le centre de gestion pour voir le suivi de mon inscription ??? 
J'ai pourtant précisé que c'était très important puisque voila déjà deux mois que je travaille gratuitement, je ne perçois aucun salaire..... 
Je trouve cela scandaleux que ma demande soit minimisée à ce point... </t>
  </si>
  <si>
    <t>15/06/2021</t>
  </si>
  <si>
    <t>doum-50587</t>
  </si>
  <si>
    <t>Bénéficiaire du "bonus 50 % à vie en septembre 2008, le litige d'aujourd'hui m'offre l'occasion de voir que cette promesse n'a pas été respectée. 5 sinistres entre février 2013 et mai 2015 m'ont mérité d'abord une proposition d'augmentation de la franchise que j'ai acceptée. Sans autre cause la MAAF n'a pas tenu compte de mon accord et m'a exclu ! Aujourd'hui j'attends une réponse à une demande de médiation qui tarde à venir !!!</t>
  </si>
  <si>
    <t>22/12/2016</t>
  </si>
  <si>
    <t>aline--d-135171</t>
  </si>
  <si>
    <t xml:space="preserve">Point fort la rapidité de la démarche, aicune perte de temps, on se débrouille, il n'est pas nécessaire de passer des heures au téléphone pour avoir quelqu'un </t>
  </si>
  <si>
    <t>30/09/2021</t>
  </si>
  <si>
    <t>brubru70000-51943</t>
  </si>
  <si>
    <t>Un perp Horizon souscrit en 2007 que j'ai le droit de racheter de façon anticipée car étant dans un des cas de rachats prévus par la loi. Figurez-vous qu'ils ont réussi à perdre mon courrier alors que j'ai l'accusé de réception, et ils ne veulent rien savoir. Conseillers incompétents et qui se moquent de votre situation, bref à fuir cette société nullissime !</t>
  </si>
  <si>
    <t>pascal-76993</t>
  </si>
  <si>
    <t>Compagnie d'assurance à éviter</t>
  </si>
  <si>
    <t>21/06/2019</t>
  </si>
  <si>
    <t>01/06/2019</t>
  </si>
  <si>
    <t>pupier-v-116945</t>
  </si>
  <si>
    <t xml:space="preserve">Je suis très satisfaite de mon assurance. Elle est très efficace et très simple à utiliser lors d’un problème..! L’olivier assurance est une assurance fiable </t>
  </si>
  <si>
    <t>lionel-f-109906</t>
  </si>
  <si>
    <t>Propose un bon rapport au niveau du prix pour une assurance habitation, très compétitif par rapport à mes anciennes assurances pour assurer les mêmes biens mobiliers .</t>
  </si>
  <si>
    <t>bouchikhi-a-128312</t>
  </si>
  <si>
    <t>Prix incohérent , déjà client pour un premier véhicule, le devis en passant par l'olivier est plus chère de 45% pour le second comparé a un site de comparaison , de plus impossible d'avoir les 10% pour le second véhicule.</t>
  </si>
  <si>
    <t>17/08/2021</t>
  </si>
  <si>
    <t>julien-s-108280</t>
  </si>
  <si>
    <t>J'aurai aimer pu joindre un conseiller via tchat en ligne mais site assez compréhensible dans l'ensemble.
Le plus est le prix
Le moins sont les franchises</t>
  </si>
  <si>
    <t>27/03/2021</t>
  </si>
  <si>
    <t>charlie-59679</t>
  </si>
  <si>
    <t xml:space="preserve">Assuré depuis plus de 20 ans, la Macif nous a assuré sur l’habitation, la responsabilité civile ainsi que nos trois véhicules.
Courant 2014, nous avons progressivement résilié nos contrats et avons eu confirmation car nous avons déménagé, vendu nos véhicules, ainsi que notre logement et nous sommes partis en mer.
Courant 2015 nous avons été relancés pour une somme de 89 € qui correspond à notre responsabilité vie privée qui a été résiliée avec notre résidence principale et accepté par courrier de la MACIF.
J’ai donc expliqué à mon interlocuteur nos différentes actions et les résiliations effectuées. Il a convenu que nous avions résiliés trop tôt ! mais qu’effectivement il n,y avait pas lieu de nous relancer.
De ce fait les relances se sont arrêtées là.
De retour sur terre, nous avons contacté la Macif pour assurer notre futur véhicule.
A notre grande surprise, il nous a été dit que notre compte affiche un solde débiteur de 89 € et que compte tenu de cette antériorité ils ne veulent pas nous assurer et le compte a été bloqué.
Nous avons donc demandé un recours interne à la Macif pour qu’un responsable prenne en charge notre demande et rectifie cette erreur de solde impayé et accepte de nous assurer notre véhicule.
La réponse est encore négative (suite à 3 déplacements au cabinet)
Situation : 
J’ai trouvé un autre assureur pour mon véhicule. 
Ma compagne qui était sur mon contrat mais quand même à son nom subit donc cette situation et est en recherche également d’un assureur pour son futur véhicule.
Il est regrettable qu’une compagnie qui soit disant se disent les meilleurs ne prennent aucunes considération pour leurs sociétaires !! et bloquent un compte pour une somme si dérisoire !!
</t>
  </si>
  <si>
    <t>15/12/2017</t>
  </si>
  <si>
    <t>01/12/2017</t>
  </si>
  <si>
    <t>brahim--108544</t>
  </si>
  <si>
    <t xml:space="preserve">Mon interlocutrice a parfaitement répondu à mes attentes, elle m’a bien orienté dans mes démarches en m’expliquant clairement ce que je devais faire afin d’être remboursé . Je recommande </t>
  </si>
  <si>
    <t>30/03/2021</t>
  </si>
  <si>
    <t>dellisacri-112721</t>
  </si>
  <si>
    <t>J'ai été cambriolé il y a 16 mois et je ne suis toujours pas indemnisé.
Après les avoir menacés de déposer plainte, ils me proposent 1500 € pour plus de 15 000 € de préjudice et me réclament 1500 € de cotisations non payées suite à ma dénonciation des contrats.
Assureurs, mauvais payeurs, Generali le confirme une fois de plus et je ne vais pas en rester là!
A éviter.
Leur pub : nous sommes là pour vous (encaisser et ne jamais vous payer) serait plus juste.</t>
  </si>
  <si>
    <t>Generali</t>
  </si>
  <si>
    <t>assurances-professionnelles</t>
  </si>
  <si>
    <t>ftr77-74598</t>
  </si>
  <si>
    <t>Suite à un bris de glace, je n'ai pas de réponse depuis  7 semaines suite à ma réclamation. Ils n'ont pas eu de retour de leur expert. Est ce du dolosif? (sinistre 537618067). 
Enfin bref, le client (et encore plus l'ancien client) n'a pas l'écoute de l'assureur.</t>
  </si>
  <si>
    <t>neo23053193-128667</t>
  </si>
  <si>
    <t>Excellent service. Merci beaucoup Lissa d'avoir répondu à toutes mes questions, merci pour votre gentillesse... Je suis très satisfaite de notre conversation téléphonique.</t>
  </si>
  <si>
    <t>19/08/2021</t>
  </si>
  <si>
    <t>klot-139291</t>
  </si>
  <si>
    <t>Bonjour,M Daouda a été très aimable avec du professionalisme et beaucoup d'amabilité et gentillesse .Ii m,a bien informé sur les questions que je lui ai posé. 
bien cordialement.</t>
  </si>
  <si>
    <t>09/11/2021</t>
  </si>
  <si>
    <t>stevie-c-132693</t>
  </si>
  <si>
    <t>Je suis satisfait du service, du prix de la cotisation.
le site est tres bien fait et simple d'utilisation ainsi que toutes les informations dont j'avais besoin est fourni</t>
  </si>
  <si>
    <t>13/09/2021</t>
  </si>
  <si>
    <t>cocodrac71-89551</t>
  </si>
  <si>
    <t xml:space="preserve">Je ne sais pas comment il peuvent prétendre avoir 97% de clients satisfaits. J'ai réglé ma cotisation mi mars, et à ce jour ils ont  été incapable de faire une demande de résiliation correcte, elle a donc été refusé, et ils se donnent 30 jours pour me rembourser alors que cela fait déjà presque 2 mois qu'ils travaillent avec mon argent.
J'ai téléphoner à 5 reprises pour qu'ils fassent correctement les choses, et à aucun moment ils n'ont été capable de le faire. Après 3 appels ils n'avaient toujours rien fait. Ils portent très mal leurs nom Ni DIRECT ni Assurance. Je me demande dvraiment comment ils peuvent être capable de gérer correctement un sinistre, puisque que les simples papiers de  mise en place de l'assurance les déroutent. </t>
  </si>
  <si>
    <t>12/05/2020</t>
  </si>
  <si>
    <t>massinissa-b-107754</t>
  </si>
  <si>
    <t>Vous m'avait augmenté mon prix de mon assurance véhicule sans aucun problème et en plus avec augmentation de bonus. je ne suis pas de tout satisfait du service</t>
  </si>
  <si>
    <t>rv67-111804</t>
  </si>
  <si>
    <t xml:space="preserve">Prise en charge au top, suivi du dossier, et paiement des indemnités sans difficultés.
C'est dans les moments difficiles qu'on prend conscience de l'importance d'être bien couvert. </t>
  </si>
  <si>
    <t>philippe-c-105203</t>
  </si>
  <si>
    <t>les prix sont très raisonnable  je suis satisfait de mes contacts téléphoniques avec direct assurance  qui a tous géré lors de mon changement d'assurance</t>
  </si>
  <si>
    <t>02/03/2021</t>
  </si>
  <si>
    <t>4nt1n3a-63244</t>
  </si>
  <si>
    <t>Très bons services........</t>
  </si>
  <si>
    <t>13/04/2018</t>
  </si>
  <si>
    <t>sebastien-f-110160</t>
  </si>
  <si>
    <t xml:space="preserve">Bien le bonjour, je vous laisse se petit avis pour vous dire je suis satisfait de notre site. Il est clair,simple et efficace. Bonne journée ou bonne soirée.
</t>
  </si>
  <si>
    <t>12/04/2021</t>
  </si>
  <si>
    <t>nadege-p-109337</t>
  </si>
  <si>
    <t xml:space="preserve">Je suis satisfaite du service et du prix, devis très rapide.
Client depuis plusieurs années j'y suis revenu. 
Je conseille vivement cette assurance. 
</t>
  </si>
  <si>
    <t>lily-138177</t>
  </si>
  <si>
    <t xml:space="preserve">Après leur conseil avisé, je devais être éligible à la loi Hamon pour mars 2021 donc j'ai contracté mon contrat pour février 2021 6/mois après...rien j'ai dû rentré 3 fois sur 3 mois différents avec des écarts énormes entre les dates pour au final être assuré en août entre temps j'ai payé 2 mois + j'ai été prélevé par surprise encore 2 mois. Ils m'ont assuré 2 mois au final les documents je n'ai pas réussi à les rentré car il y a eu des neufs sur leur appli' 10jours après les  2 mois cela fait 1 semaine que vous n'êtes plus assuré. Bien entendu il y a un problème dans le montant des remboursements en dehors que cela fait 10 jours qu'il aurait pu m'arriver quelque chose de grave sans le savoir sur la route. J'ai dû payé hors de prix une nouvelle assurance pour résiliation de contrat ! Et en encore sortir une grosse somme . Je ne pouvais pas me réassurer chez eux avant 1 1ans ! C'est scandaleux et le service est horrible </t>
  </si>
  <si>
    <t>24/10/2021</t>
  </si>
  <si>
    <t>nicka49-97099</t>
  </si>
  <si>
    <t xml:space="preserve">Mutuelle très, très chère, obligatoire pour les personnels de l'Education nationale en fonction non de leur choix mais basée sur leur salaire annuel.
Remboursements de visites à des spécialistes sur la base de généralistes quel que soit les examens effectués ; aucune réponse concernant d'éventuelles prises en charge (appareils auditifs).
Aucune réponse aux nombreux mails, lettres recommandées, coups de fil pour obtenir un "oui" ou un "non" (les personnels de la MGEN connaissent-ils le sens de ces 2 mots qu'un enfant de 2ans maîtrise ?)
J'ai signalé que le montant annuel de mon salaire était inférieur d'environ1500€ à celui sur lequel se basait la mutuelle pour ses prélèvements, avec photocopie émanat du service des impôts à l'appui.... aucune réponse !
J'ai, par ailleurs, été "encouragée" à souscrire une assurance dépendance en plus de ma cotisationannuelle (24€/mois)...
Lorsque j'ai voulu quitter cette "chère" murtuelle, j'ai voulu savoir si cette nouvelle assurance était indépendante de ma cotisation annuelle de manière à pouvoir aviser : AUCUNE REPONSE ! ! (mails, téléphone, lettres recommandées)
J'ai donc fait opposition à cette assurance, et Ô, miracle, courrier plutôt désagréable dans la semaine qui a suivi, avec, en prime, 2 coups de téléphone m'intimant l'obligation de lever cette opposition puisque la mutuelle n'avait pas été contactée ! ! !
Une des personne (très désagréable !) qui a fini par me conracter m'a dit d'emblée que "je ne comprenais rien".
Après avoir obtenu d'elle un "non", j'ai raccroché... Et ma belel histoire d'amour avec la MGRN s'est arrêtée enfin.
Mais après avoir fait tous les papiers de ma nouvelle mutuelle, cette dernière m'a demandé mon "attestation de droit à la SECU", puisque c'est la MGEN qui devait me fournir cette attestation, et qui devait être parvenus à ma nouvelle mutuelle avant le 31/12/2109.
Cette attestation est enfin arrivée... le 14 février 2020, et je n'étais donc couverte sur le plan maladie ni par ma nouvelle mutuelle ni par la MGEN ! ! 
Depuis, mes remboursements sont rapides et réguliers, mes remboursements pour une visite à un spécialiste sont en accord avec le prix demandé par ce dernier.
J'ajoute que j'ai moi-même choisi la somme que je consacre mensuellement à ma nouvelle mutuelle, et qu'elle n'est pas d'emblée et unilatéralement prélevée en fonction de mon salaire.
Alors, MGEN : à FUIR ! !  Danger !
</t>
  </si>
  <si>
    <t>07/09/2020</t>
  </si>
  <si>
    <t>wiersch-j-131476</t>
  </si>
  <si>
    <t>Je suis satifaite, mais javais des questions et pas possible de contacte le service support pour aide donc je continue avec doute. Prix etait correcte et facile en generale pour signer contract</t>
  </si>
  <si>
    <t>mecontent78-137962</t>
  </si>
  <si>
    <t>Dès qu'il s'agit d'un rachat, partiel ou total, vous passerez en procédure écrite avec tout ce qui est possible pour retarder le versement, semaines après semaines.
Scandaleux.
Bien sûr,  le Conseiller n'y est pour rien et fait ce qu'il peut mais peut peux.</t>
  </si>
  <si>
    <t>pier1330-59342</t>
  </si>
  <si>
    <t>Je fais partie des personnes remerciées après 36 ans d'adhésion. Motif :"en raison de l'altération de notre relation commerciale, la Maif a mis fin à vos contrats". J'avais fait savoir mon mécontentement lors d'un sinistre auto non-responsable. Voilà la face cachée, très loin de celle qu'elle veut faire paraître à travers ses spots publicitaires pour redorer son image. "Militant, mutualiste..." En fait, c'est quand vous avez des soucis et besoin d'elle, qu'elle trouve un prétexte pour vous lâcher. On est loin de l'esprit Maif de départ.</t>
  </si>
  <si>
    <t>03/12/2017</t>
  </si>
  <si>
    <t>maxime-p-106723</t>
  </si>
  <si>
    <t>je suis tres satisfait du service ainsi que de sont rapport qualité prix.
je recomande fortement ils sont au top
service rapide et joignable a tout moment</t>
  </si>
  <si>
    <t>pat080-99061</t>
  </si>
  <si>
    <t xml:space="preserve">Bonne Mutuelle, toujours à l'écoute, répondant à mes sollicitations.
Dommage, à tendance à fermer ses bureaux locaux. 
Aucune contre indication.
</t>
  </si>
  <si>
    <t>22/10/2020</t>
  </si>
  <si>
    <t>stephane-loiseau-111516</t>
  </si>
  <si>
    <t xml:space="preserve">mon assurance sur plusieurs véhicules depuis des décennies, et j'en suis satisfait. Je la recommande à tous. Elle devrait penser à récompenser ses clients fidèles avec des tarifs plus attractifs.     </t>
  </si>
  <si>
    <t>24/04/2021</t>
  </si>
  <si>
    <t>bernard-g-139445</t>
  </si>
  <si>
    <t xml:space="preserve">Je ne manquerai pas de recommander votre assurance, pour la clarté du site et les prix pratiqués. Sous réserve que vous ayez la même efficacité en cas de sinistre. </t>
  </si>
  <si>
    <t>11/11/2021</t>
  </si>
  <si>
    <t>2b-42637</t>
  </si>
  <si>
    <t>cette compagnie est constitué des vrais incompetants je ne conseil à personne même mon pire ennemi ,se  méfier , pas d'erreurs pour aller vers cette compagnie , j'ai vécus du jamais vus , si vous êtes déjà client ,alors résilier dès maintenant si vous avez plus d'1 an en utilisant la loi hamon</t>
  </si>
  <si>
    <t>27/04/2018</t>
  </si>
  <si>
    <t>celine-t-110817</t>
  </si>
  <si>
    <t>Je suis satisfaite de la prise en charge de mon sinistre ainsi que la mise en relation avec les différents prestataires, la voiture a été remorquée 20 mins après mon appel, elle a été emmenée directement dans un garage agréé pour le passage de l'expert. Il nous reste a attendre en croisant les doigts très fort pour qu'elle soit réparable !</t>
  </si>
  <si>
    <t>18/04/2021</t>
  </si>
  <si>
    <t>camille-p-122491</t>
  </si>
  <si>
    <t>JE CHANGE DES QUE JE PEUX!!!!ASSURANCE A FUIR, J'EN AI DEJA PARLER AUTOURS DE MOI! J'ai pris tout le pack tt risque apriori ça ne sert a rien, car pas de pret de voiture avant une semaine, franchise a regler et 10% de la facture, je viens de m'inscrire que j'ai déjà envie de fuir!!!!</t>
  </si>
  <si>
    <t>06/07/2021</t>
  </si>
  <si>
    <t>gorlez-francis-35290</t>
  </si>
  <si>
    <t>l'assurance la plus mauvaise du monde
Je vois qu'ils ne sont pas améliorés, toujours aussi mauvais. Dans leur gestion des incidents et autre. 0 en qualité de garantie, gestions client et satisfactions, et 0 en prix car c'est toujours trop cher pour leur garantie et leur gestions clients.</t>
  </si>
  <si>
    <t>Sogessur</t>
  </si>
  <si>
    <t>18/03/2020</t>
  </si>
  <si>
    <t>pirelli31-85457</t>
  </si>
  <si>
    <t>Service commercial plus que limite</t>
  </si>
  <si>
    <t>03/01/2020</t>
  </si>
  <si>
    <t>max-115971</t>
  </si>
  <si>
    <t xml:space="preserve">J'ai assuré mon chien il y a plus de treize ans chez assur o'poil, avec jusqu'à présent des remboursements qualifiés de "corrects".
L'âge de mon chien 13 ans et demi, ils commencent à rechigner en compliquant les choses en réclamant des documents jamais demandés et bien sûr retardant au maximun le remboursement en espérant que l'on se lasse.
Cher "assur o'poil" on ne se lassera pas.
</t>
  </si>
  <si>
    <t>meihdine-h-117464</t>
  </si>
  <si>
    <t>ma maison ainsi que mes véhicules y sont assurés j'en suis pour le moment satisfait, les échanges par mails sont relativementsefficaces donc très bien !</t>
  </si>
  <si>
    <t>18/06/2021</t>
  </si>
  <si>
    <t>remi-s-122454</t>
  </si>
  <si>
    <t>Parfait réactif et a l'écoute. 
Rappel très rapidement après avoir fais un comparateur d'assurance en ligne.
Les prix est très correct.
Rien a redire dessus.</t>
  </si>
  <si>
    <t>05/07/2021</t>
  </si>
  <si>
    <t>aissa-n-130629</t>
  </si>
  <si>
    <t xml:space="preserve">Bonjour je trouve que je reverse beaucoup pour tous les contrats que j'ai chez vous.  Puis je vous demandez une ristourne? Cela serai commerciale de votre part.
</t>
  </si>
  <si>
    <t>christophe-g-115503</t>
  </si>
  <si>
    <t>prix compétitif mais servie client de mauvaise qualité, discussion compliqué du fait de la langue française pas toujours maitrisée, non respect des horaires pour les RDV téléphoniques</t>
  </si>
  <si>
    <t>sebastien-h-128438</t>
  </si>
  <si>
    <t>Tarifs correct en comparatif pour une assurance 2 roues.... L'inscription est simple, pratique et très rapide.... Plus qu'à attendre la petite vignette verte</t>
  </si>
  <si>
    <t>18/08/2021</t>
  </si>
  <si>
    <t>sisi22-72124</t>
  </si>
  <si>
    <t>Fuyez la Matmut 
J'ai été victime d'un vandalisme il y a 3 semaines. On m a volé la poussette et siège auto de ma fille et jusqu'à aujourd'hui ils cherchent des futilités pour éviter de me rembourser.
J'ai fourni facture a mon nom, dépôt de plainte. On me répond qu'il faut justifier par relève bancaire l'achat du matériel. Il s agit de cadeau offert par des membres de ma famille à qui je ne parle plus aujourd'hui.
Il faut non seulement leur raconter nos vies mais en plus supplier un remboursement.
Elle est belle la matmut..
Cliente depuis 10 ans, mes parents plus de 30 ans mais quand on a des soucis faut surtout pas compter sur cette assurance 
J'ai hésité plusieurs fois à résilier tout mes contrats chez eux je ne l'ai jamais fait. Aujourd'hui je n'hésite plus
FUYEZ LA MATMUT. 
Vous prélevez tous les mois ils savent le faire(sans demander la provenance de vos fonds cette fois ci ) mais vous aidez ils ne savent pas.</t>
  </si>
  <si>
    <t>13/03/2019</t>
  </si>
  <si>
    <t>fougnie-l-127704</t>
  </si>
  <si>
    <t xml:space="preserve">Satisfait du service prix attractifs simplicité pour le devis bonne prise en charge facilité de paiement et sécurité du paiement bonne prise en charge </t>
  </si>
  <si>
    <t>12/08/2021</t>
  </si>
  <si>
    <t>soufiane-g-136472</t>
  </si>
  <si>
    <t xml:space="preserve">Je suis satisfait de votre service les prix sont correct très abordable, je vous remercie et je vous souhaite de passer une bonne journée cordialement </t>
  </si>
  <si>
    <t>07/10/2021</t>
  </si>
  <si>
    <t>arcangeli-m-139224</t>
  </si>
  <si>
    <t>Satisfait du support client, des prix, de la globalité du service.
Rapidité, efficacité du service, c'est réellement une plus value, compagnie acceptant les conducteurs sans malus ni bonus. Un bon point la confiance</t>
  </si>
  <si>
    <t>08/11/2021</t>
  </si>
  <si>
    <t>laure-85863</t>
  </si>
  <si>
    <t>Je suis titulaire d’un contrat Matmut automobile  tout risque  (que je suis évidemment en train de rompre).J’ai été victime d’un accident de la circulation (une voiture m’a percutée par l’arrière). Je ne suis pas en tords dans cette accident mais victime. Mon véhicule a été classé en épave par l’expert mandaté par La matmut. On m’a proposé une compensation en dessous de la valeur de ma voiture basée sur aucun élément (annonces fictives de véhicule non comparable, non prise en compte des factures d’entretien). J’ai fait un dossier complet avec plus de 15 annonces réelles non prise en compte. La compensation offerte ne me permet pas d’avoir un véhicule équivalent. Je n’ai eu aucun soutien de la Matmut que ce soit en termes de démarche, de rapidité de gestion, et de gestion humaine du dossier. La matmut vous appelle uniquement pour vous faire souscrire de nouveaux contrats, lorsque vous voulez faire valoir vos droits pour lesquels vous payez depuis des années, vous aurez le droit à rien. Avec une assurance tout risque, dans un accident non en tort, vous perdez de l’argent avec la Matmut, assureur à fuir. La Matmut ne défend pas ses assurés. La personne qui m’a percutée (100% en tort) n’a rien eu à dépenser !</t>
  </si>
  <si>
    <t>13/01/2020</t>
  </si>
  <si>
    <t>krys-89520</t>
  </si>
  <si>
    <t>En désaccord depuis 2 ans sur le montant de l'indemnisation que me doit la macif suite à la privation de mon véhicule à cause d'un accident dont je ne suis pas responsable. La macif me doit plus de 2000€ mais comme elle doit se retourner contre l'assurance adverse et que celle-ci refuse de payer, la macif ne veut rien faire et me propose royalement 100€ en geste commercial! Une honte! Juridiquement la macif est tenue de saisir les tribunaux contre l'assurance adverse, mais les loups ne se mangent pas entre eux, c'est connu. Résultat c'est toujours les victimes qui le sont deux fois plus! merci et bravo la macif! Une honte! A fuir!</t>
  </si>
  <si>
    <t>11/05/2020</t>
  </si>
  <si>
    <t>lijack84-54263</t>
  </si>
  <si>
    <t>Problème pour obtenir un crédit auto si plus de 75 ans.
Et pourtant la MAIF asurent en contrat VAM les plus de 75 ans.
Où alors, on marche à pied !</t>
  </si>
  <si>
    <t>25/04/2017</t>
  </si>
  <si>
    <t>sofiouchka-108519</t>
  </si>
  <si>
    <t xml:space="preserve">Impossible de les joindre. Je suis restée plusieurs fois 1h en attente sans avoir personne.
Il y a soi-disant un site internet pour suivre dossier mais quand ils écrivent ils ne donnent pas le bon n° de bénéficiaire donc cela ne fonctionne pas. On dirait qu'ils font tout pour retarder le paiement.
On parle ben d'une compagnie de la Société Générale. Comment peuvent-ils continuer à fonctionner comme cela ?
</t>
  </si>
  <si>
    <t>Sogecap</t>
  </si>
  <si>
    <t>maker93-97103</t>
  </si>
  <si>
    <t>délai très long, aucune réponse, aucun support, aucun conseil. On sent bien que les vendeurs ne sont pas du cote des assures. je vais biensur change d'assureur, ainsi que celui de mes parents qui m'avaient pourtant conseille, et sont assures chez eux depuis plus de 30 ans. inacceptable</t>
  </si>
  <si>
    <t>preci5-85783</t>
  </si>
  <si>
    <t xml:space="preserve">Bonjour, 
Je reçois ce jour un recommandé me disant qu'ils ne renouvellent pas nos contrats pour le motif suivant qui semble très léger et incohérent : altération de notre relation commerciale. Tout cela parce que nous étions pas d'accord avec un montant demandé par téléphone. Une fois en rdv en agence celui ci n'avait rien à voir avec ce qui m'avait été dit au téléphone. En effet il fallait ouvrir un compte et la personne ne l'avait pas precisé au telephone. J'ai donc demandé qu'ils réécoutent mon appel et malheureusement ils n'enregistrent pas. Nous n'avons donc pas donné suite pour ce dossier mais avons quand même assuré la nouvelle voiture. Quelques mois après une personne de la Macif m'a téléphoné pour savoir si j'avais des choses à dire et je lui ai parlé de ce problème. Cet appel s'est très bien passé et elle m'a même demandé que faire pour se faire pardonner et que nous étions de bons clients sans problème, bons payeurs etc... et aujourd'hui je reçois ce recommandé. Je suis cchoquée et ne comprends toujours pas. Est ce qu'une personne travaillant là bas aurait transformé nos propos? Je précise que nous sommes des personnes correctes. Je ne comprends pas. </t>
  </si>
  <si>
    <t>11/01/2020</t>
  </si>
  <si>
    <t>davidt33-55113</t>
  </si>
  <si>
    <t>Cette assurance est une veritable catastrophe ! Toujours dans l'attente de mon cheque de remboursement suite a resiliation de mon contrat habitat il y a.... 10 mois!!!!
x relances, x promesses et toujours rien. 
Sevice clients et consommateurs lamentables, tout simplement HONTEUX !
Un conseil, payez à peine plus chér mais avec 1 agence a proximité, on évite ce genre de déconvenue !</t>
  </si>
  <si>
    <t>12/06/2017</t>
  </si>
  <si>
    <t>grace-k-134278</t>
  </si>
  <si>
    <t xml:space="preserve">Je suis extrêmement  satisfait concernant le prix de mon assurance auto chez Direct Assurance.
La procédure était tout simplement  efficace sans problème.
</t>
  </si>
  <si>
    <t>dpages-50515</t>
  </si>
  <si>
    <t>A fuir. Prix affichés faibles, prix pratiqués ne sont pas les moins chers du marché</t>
  </si>
  <si>
    <t>20/12/2016</t>
  </si>
  <si>
    <t>geraldine-l-133188</t>
  </si>
  <si>
    <t xml:space="preserve">service rapide et précis, facile d'utilisation et facile de mise en oeuvre
Parfait pour la prise d'une nouvelle assurance et sa réception, à conseiller </t>
  </si>
  <si>
    <t>17/09/2021</t>
  </si>
  <si>
    <t>valentine-c-125144</t>
  </si>
  <si>
    <t xml:space="preserve">je suis très satisfaite.Il est très facile d'avoir les informations d'une couverture à une autre et de faire son choix en toute connaissance de cause. </t>
  </si>
  <si>
    <t>aissa-55377</t>
  </si>
  <si>
    <t>Désespérée.....Suite au vol de mon véhicule, je réclame à Direct assurance le bilan technique d'évaluation que je dois transmettre à ma maison de crédit pour la prise en charge de ma perte financière. 1er mail le 29 avril suivi d'un mail de relance toutes les semaines. Je ne parle même pas des appels ou tu attends pendant 15 mn pour entendre dire "désolé veuillez renouveler votre appel....Quand tu arrives finalement à joindre un conseiller on te dit vous l aurez mardi prochain. Le mardi suivant tu penses que ton problème va être réglé et....Non c'est pour le mardi suivant. Bref 45 jours après je n'ai toujours rien. j' ai juste le sentiment qu'on me pend pour une truffe. Du coup J'hésite entre me déplacer de Marseille aller chercher ce document sur place ou contacter un avocat car je pense que je ne l'obtiendrais pas autrement.
Qui sait me dire si il y a un accueil au public pour aller récupérer des documents?</t>
  </si>
  <si>
    <t>15/06/2017</t>
  </si>
  <si>
    <t>malia-88788</t>
  </si>
  <si>
    <t>Mutuelle complètement fausse prélèvements ne correspondants à rien
Vente forcée par téléphone</t>
  </si>
  <si>
    <t>09/04/2020</t>
  </si>
  <si>
    <t>nayak51-99843</t>
  </si>
  <si>
    <t>Par 2 fois, j'assure un véhicule chez l'Olivier. Je n'ai, heureusement, eu aucun sinistre pour l'instant et ne peut donc en effectuer une notation.
Par contre, pour l'accueil, disponibilité tarif, professionnalisme: rien à redire si ce n'est BRAVO!
Le petit plus à améliorer; un autocollant pour apposer la vignette sur le véhicule serait le bienvenu.
Continuez ainsi</t>
  </si>
  <si>
    <t>08/11/2020</t>
  </si>
  <si>
    <t>gino-70552</t>
  </si>
  <si>
    <t>Malgré plusieurs tentatives et en suivant la procédure je ne suis JAMAIS arrivé à créer mon espace.
Il faut peut etre un permis</t>
  </si>
  <si>
    <t>24/01/2019</t>
  </si>
  <si>
    <t>tyronne-c-105438</t>
  </si>
  <si>
    <t>Je suis satisfait du service, souscription rapide et agréable pour un jeune chauffeur.
Le prix est très correct vu le modèle de véhicule choisit, le paiement est rapide et sécurisé.</t>
  </si>
  <si>
    <t>dos-santos-laranjeiro-d-121992</t>
  </si>
  <si>
    <t xml:space="preserve">Je suis satisfait de mon assurance je recommande vivement l olivier assurance. 
Les prix sont plus que correct et répondent parfaitement à mes attentes 
</t>
  </si>
  <si>
    <t>ambre-j-130847</t>
  </si>
  <si>
    <t>Super rapide et incomparable niveau tarif, 3 fois moins cher que mon ancienne assurance avec les mêmes garanties. Je recommande sans soucis. Je vais peut-être passer mes autres assurances chez vous.</t>
  </si>
  <si>
    <t>stephane-b-133573</t>
  </si>
  <si>
    <t>qualité prix de l assurance excellent très satisfait je recommande autour de moi continuer comme cela et le personnel téléphonique trés aimable et explique bien nos contrats désirés</t>
  </si>
  <si>
    <t>20/09/2021</t>
  </si>
  <si>
    <t>vivi-76891</t>
  </si>
  <si>
    <t>sinistre qui a eu lieu le 17 mai dernier. à ce jour  personne ne nous tient au courant de l'avancement du dossier. mon fils a été blessé et non responsable. son scooter est en épave mais aucun remboursement en vu et ni indemnisation pour sa perte de salaire. évidemment personne ne répond au téléphone !!! sauf pour souscrire</t>
  </si>
  <si>
    <t>18/06/2019</t>
  </si>
  <si>
    <t>morin-g-130850</t>
  </si>
  <si>
    <t>Tarification assurance voiture attractive mais pas de souplesse pour adaptation du contrat en cas de pret long de la voiture a un ami par exemple.
Assurance VAE nulle.
Assurance habitation correcte mais conseiller agence non formés.
Pas d'offre package fidélité.</t>
  </si>
  <si>
    <t>emmanna-50928</t>
  </si>
  <si>
    <t xml:space="preserve">La Maif est une très bonne assurance , surtout pour les gros accidents . Elle rembourse efficacement et la relation clientèle est très appréciable.Elle affiche un prix correct comparé à d'autres.
</t>
  </si>
  <si>
    <t>04/01/2017</t>
  </si>
  <si>
    <t>emeline-m-124071</t>
  </si>
  <si>
    <t>Bonne assurance, plusieurs contrats déjà pour nous à la GMF, prix correct par rapport aux concurrents. bon service d'accueil par téléphone, service client et assistance!</t>
  </si>
  <si>
    <t>21/07/2021</t>
  </si>
  <si>
    <t>mistermass-51363</t>
  </si>
  <si>
    <t>vous dites que vous nous tenez au courant mais vous rappelé jamais, aucun effort avec les client qui ont de l'ancienneté, vraiment très déçus. Je compte changer d'assurance dans les prochains jour.</t>
  </si>
  <si>
    <t>16/01/2017</t>
  </si>
  <si>
    <t>frederic-d-110227</t>
  </si>
  <si>
    <t>Je trouve la baisse annuelle, en fonction de gain de bonus supplémentaire dérisoire ! Au titre que cela est selon les sinistres enregistrés dans l'année passée concernant le dprt (37) 
Alors qu'en PLUS nous étions en confinement et que les Français ont beaucoup moins roulés et par la même ont eu moins d'accident...??!!!!!</t>
  </si>
  <si>
    <t>13/04/2021</t>
  </si>
  <si>
    <t>jean-paul-d-113894</t>
  </si>
  <si>
    <t>Je suis satisfait des services de la GMF et l'exécution des contrats, mais concernant les tarifs là, c'est autre chose, tous les contrats que j'ai actuellement chez vous sont trop chers plus particulièrement pour la hyndai où le tarifs est tres nettement supérieur à la concurrence.</t>
  </si>
  <si>
    <t>16/05/2021</t>
  </si>
  <si>
    <t>corinne-100549</t>
  </si>
  <si>
    <t>Franchement lamentable,, depuis deux mois j'attends mon indemnisation prévoyance, tous les documents requis ont été envoyés en temps et heure et bien réceptionnés, malgré la multiplication de mes appels , personne n'est en mesure de m'expliquer un tel retard . Bien evidemment ce retard d'indemnisation risque d'avoir de lourdes conséquences sur un autre organisme qui me demande de justifier de toutes les ressources percues. je me heurte à une indifférence générale et surtout je constate l'incompétence du personnel. J'envisage d'envoyer un recommandé, mais je me demande si cela aura un réel impact! A fuir absolument!</t>
  </si>
  <si>
    <t>Malakoff Humanis</t>
  </si>
  <si>
    <t>24/11/2020</t>
  </si>
  <si>
    <t>soso3103-129696</t>
  </si>
  <si>
    <t xml:space="preserve">Ne tomber jamais en panne avec cette assureur car vous devrez vous assister seul... en panne sur l autoroute en Espagne avec 3 enfants dont un nourrisson en plein cagnard  5h plutard ils relancer encore... heureusement les Espagnols sont intervenus </t>
  </si>
  <si>
    <t>math59130-90958</t>
  </si>
  <si>
    <t>Conseiller à l'écoute, réponse rapide et efficace.
Les démarches sont simples et rapidement prises en compte.
Changement d'adresse facile, prises en charge également.</t>
  </si>
  <si>
    <t>12/02/2021</t>
  </si>
  <si>
    <t>matthieu-48625</t>
  </si>
  <si>
    <t>Je ré-ouvre un avis... j'avais publié ici il y a un an car insatisfait de la gestion de mon sinistre dégât des eaux par la MAIF. La réponse sur le web avait été rapide et d'une courtoisie digne d'une publicité... franchement j'y avais cru... mais nous sommes un an après... et MAIF à endormi le dossier : refusant de répondre à mes multiples sollicitations de faire intervenir une tiers expertise (comme le prévoit le contrat en cas de litige). 
En 2 mots : dégât des eaux sous notre douche au 1er étage. La garanti MAIF inclut "la recherche de fuite". Après passage des experts... MAIF nous impose de changer intégralement notre douche (accusée d'être infiltrante) avant de pouvoir être indemnisé du sinistre (refaire le plafond). A regret nous faisons donc les travaux et le plombier constate la véritable origine de la fuite : une tuyauterie dans le mur. Le changement de douche n'était pas du tout nécessaire... mais c'est trop tard... Je réclame donc à la MAIF de rembourser son ERREUR.
Depuis silence....
Je suis sidéré par la gestion que la MAIF a de ses adhérents... elle qui se vante d'être "militante"...
Que la MAIF assume ses erreurs et respecte ses adhérents (plutôt que ses experts) et leur sinistre... ils y aura moins de plaintes sur internet ! Courtoisement</t>
  </si>
  <si>
    <t>16/09/2017</t>
  </si>
  <si>
    <t>patricia-137456</t>
  </si>
  <si>
    <t>Suite a mon appel telephonique du 14 octobre 2021 j ai eu entierement satisfaction pour ma demande mon conseiller Daouda il est tres professionnel et a repondu a mes attentes je le recommande avec 5 etoiles</t>
  </si>
  <si>
    <t>14/10/2021</t>
  </si>
  <si>
    <t>vincent-b-126316</t>
  </si>
  <si>
    <t>Je suis satisfait du service et de la réactivité. Je suis content d'être à la GMF. Parfois, un peu trop d'attente au téléphone.
Bonne journée
Bien à vous</t>
  </si>
  <si>
    <t>mustapha-y-134183</t>
  </si>
  <si>
    <t>Je suis satisfait du service qui est vraiment simlple et preatique.
Excellent !
Prix sont convenables par rapport à la concurences.
Au top je vous l'ai recommande.</t>
  </si>
  <si>
    <t>phy-139346</t>
  </si>
  <si>
    <t>Bonjour Daouda
Merci pour votre bon accueil votre professionnalisme, cela fait plaisir d'avoir des interlocuteur tel que vous.
Je vous souhaite une bonne continuation et un bon avenir
Philippe BAUDE</t>
  </si>
  <si>
    <t>10/11/2021</t>
  </si>
  <si>
    <t>florianarb-89967</t>
  </si>
  <si>
    <t>Je déconseille fortement Direct Assurance.
J'ai souscris une assurance auto chez eux car à l'époque il n'était pas trop cher avec des conditions raisonnables. Mais évidemment au moindre problème il n'y a plus personne.
Ils ont commencé par me dire que pour mon accident les responsabilités étaient de 50 -50 alors que c'était faux. Les conseillers m'ont dit tout et n'importent quoi au téléphone pour justifier leur position. Et en fonction du conseiller j'avais des justifications différentes. Au bout de quelques semaines ils admettent avoir fait une erreur (donc les conseillers que j'ai eu au téléphone m'ont bien raconté n'importe quoi). Et donc je ne suis pas responsable de l'accident. Vient le moment de l'expertise, avec un expert choisi et payer par l'assurance...
Bien sûr l'expertise est également fantaisiste, je demande donc les documents permettant de justifier la valeur de l'expert (au téléphone l'expert s'est notamment engagé à me donner son étude de marché). Je demande également des informations complémentaires à propos du rapport d'expert qui ne fait pas figuré toutes les informations réglementaires. Je demande également à l'assurance pourquoi elle ne m'a pas informé des autres dédommagement auxquels j'ai le droit.
 Ils ne répondent pas à mes courriers (en AR) par contre ils m'appellent de temps en temps. A chaque fois ils doivent me rappeler le lendemain sans faute et puis plus de nouvelle jusqu'à ce qu'une autre personne me rappelle un mois plus tard pour faire le même cinéma.
Bref, si vous signé chez direct assurance au moindre problème il ne faut pas leur faire confiance et bien vérifier tout ce qu'ils disent. Et ensuite il faut être prêt à dégainer un avocat et leur faire un procès car c'est tout ce qu'ils comprennent.</t>
  </si>
  <si>
    <t>fefe82-57271</t>
  </si>
  <si>
    <t xml:space="preserve">Ils nous prennent pour des cons ils vous font miroiter les conseillers clients ne vous disent jamais la même choses  et vous pendant ce temps vous espérer mais chacun vous sort une version différentes </t>
  </si>
  <si>
    <t>12/09/2017</t>
  </si>
  <si>
    <t>bailly-112927</t>
  </si>
  <si>
    <t>Très bien je recommande j'ai beaucoup aimé la première dame qui s'est occupé du dossier le monsieur derrière a été très agréable c'est très agréable de tomber sur des professionnels</t>
  </si>
  <si>
    <t>lau-78166</t>
  </si>
  <si>
    <t xml:space="preserve">Cette assurance ne sert pas à grand chose. Les contrats ont une liste d'exclusion interminable sans compter l'hypocrisie de certains "conseiller" qui vous assure que vous serez remboursé. On a détecté à l'âge de 3 mois un risque de dysplasie pour mon chien. Au téléphone on m'a fait part que santévet prenait en charge l'opération pour prévenir cette maladie selon certains critères comme l'âge (moins de 5 mois ) et le degré de laxité des hanches. Mon chien cochait toutes les cases mais on m'a répondu une fois l'opération faite que le risque était antérieur à la conclusion du contrat. Un peu normal pour une maladie héréditaire. Ils mettent cette prise en charge en avant mais en pratique ils ne remboursent pas. J'ai envoyé dans le délai de rétractation mon souhait de me rétracter et on m'a opposé qu'il y avait eu commencement d'exécution. La blague.... je déconseille fortement. </t>
  </si>
  <si>
    <t>03/08/2019</t>
  </si>
  <si>
    <t>jean-claude-r-137317</t>
  </si>
  <si>
    <t>travaillant beaucoup avec cette compagnie (concessionnaire moto) tous se passe bien ,pour les devis , la relation client ainsi que les sinistre et suivi je recommande</t>
  </si>
  <si>
    <t>13/10/2021</t>
  </si>
  <si>
    <t>serdo-35129</t>
  </si>
  <si>
    <t xml:space="preserve">Apres un sinistre déclaré le 3 novembre grâce à l application Macif je n ai eu apres avoir essayé plusieurs contacts qu un interlocuteur  qui m a demandé de faire intervenir des professionnels afin d'obtenir des devis chose faite devis envoyé à deux reprises et pour le moment je suis toujours en attente Que se passe t il la Macif serait-elle sur le déclin </t>
  </si>
  <si>
    <t>05/12/2019</t>
  </si>
  <si>
    <t>julien-h-130022</t>
  </si>
  <si>
    <t xml:space="preserve">le prix est intéressant, souscription rapide, a voir les garantie dans le temp , la publicité ma inciter a visiter votre site internent et votre devis ma convaincu pour souscrire </t>
  </si>
  <si>
    <t>29/08/2021</t>
  </si>
  <si>
    <t>basile65-109748</t>
  </si>
  <si>
    <t>Bonjour,
Je viens d'avoir un conseillé Direct Assurance au téléphone qui m'a expliqué que je ne pouvais pas assurer mon deuxième véhicule chez vous.
Pourrais je avoir une explication?
Cordialement</t>
  </si>
  <si>
    <t>09/04/2021</t>
  </si>
  <si>
    <t>sunny-81796</t>
  </si>
  <si>
    <t xml:space="preserve">demande beaucoup de documents pour rembourser mais ne rembourse jamais ou alors prennent beaucoup de temps avant de rembourser. quand on essaie de les joindre aux téléphones, on doit patienter pendant plus de 10 min. </t>
  </si>
  <si>
    <t>19/12/2020</t>
  </si>
  <si>
    <t>lilie62-126931</t>
  </si>
  <si>
    <t>En arret maladie depuis dec 2018 .
Passage en invalidité cat 2 en juillet 2021..
Mon employeur a déclaré mon arret en juin 2021 pour un complément de revenu.
Avev le passage en invalidité je perd 1100 euros par mois.
Les delais sont bcp trop long.
J ai deja appelé 4 fois les conseillers me dises quil y a un delai de 3mois mais quand on calcul bien...en 1 mois et demi ils traitent 1 journee de retard.
Je ne vais pas tenir financièrement j ai 3 enfants.</t>
  </si>
  <si>
    <t>djam-102691</t>
  </si>
  <si>
    <t xml:space="preserve">J’ai mes contrats d’assurance à la Pacifica depuis 16 ans et je recommande vivement cette assurance.
Les contacts sont rapides , le suivi excellent.
Selon les interlocuteurs depuis 16 ans soit c’est 5/5 soit 4/5 , la personnalité des employés joue dans le contact mais le plus important c’est la prise en compte et elle est rapide et bien gérée. Je n’ai eu que de rares problèmes mais en 2016 , 3 dégâts des eaux en 4 mois avec un service rare puisque le conseiller est même intervenu auprès du syndic en RAR pour faire cesser la fuite d’une canalisation commune dans ma cave que le conseil syndical refusait de payer !  Merci pacifica </t>
  </si>
  <si>
    <t>15/01/2021</t>
  </si>
  <si>
    <t>anne-marie-l-110186</t>
  </si>
  <si>
    <t xml:space="preserve">Conseillers GMF toujours à l’écoute . Bravo pour votre compétence ! Aide toujours précieuse lors d’un sinistre. Je recommande la GMF à mon entourage. </t>
  </si>
  <si>
    <t>myriam-93838</t>
  </si>
  <si>
    <t>Bien je recommande direct assurance parce que les tarifs sont avantageux par rapport aux agences. Cependant s’il arrive quelque chose je crains de ne pas pouvoir parler directement avec un conseiller.</t>
  </si>
  <si>
    <t>11/07/2020</t>
  </si>
  <si>
    <t>domi-90266</t>
  </si>
  <si>
    <t xml:space="preserve">
L'entreprise de piscines XXXX est venue cet après-midi et a  installé un nouvel électrolyseur en remplacement du défaillant, a vérifié son bon fonctionnement et donné des explications sur son utilisation.
Nous pouvons conclure ce dossier et nous nous félicitons l'aide juridique de la Maif, patiente et efficace, avec l'intervention d'un expert, ce qui a permis de faire valoir nos droits face à une entreprise dont le SAV défaillant a fait trainer le remplacement de l'électrolyseur en panne depuis le 28 mars 2019. Au mépris des engagements de tout professionnel installant de nouveaux appareils elle n'a jamais répondu à mes courriers signalant le problème. </t>
  </si>
  <si>
    <t>05/06/2020</t>
  </si>
  <si>
    <t>cadixa-60109</t>
  </si>
  <si>
    <t>Nous venons de quitter la Maaf après de nombreuses années. En effet il est très intéressant de faire des comparaisons car sur l'ensemble de nos contrats Maaf nous faisons une économie de 460 € par an (soit 5 pleins de notre espace).</t>
  </si>
  <si>
    <t>02/01/2018</t>
  </si>
  <si>
    <t>01/01/2018</t>
  </si>
  <si>
    <t>jc06140-65187</t>
  </si>
  <si>
    <t xml:space="preserve">J'ai été résilié sans prendre la peine de donner une raison après un sinistre qu'ils n'ont pas pris en charge et pour lequel aucun retour ne m'a été fait!
Avec les assurances du crédit mutuel si vous n'avez pas besoin d'eux ils vous aime ayez un problème et on vous jettera comme une m.... ! 
même mon conseillé n'est pas en mesure d'avoir une explication de leur part !  
je vous épargne la personne détestable qui m'a répondu au téléphone quand j'ai déclare ce sinistre.
</t>
  </si>
  <si>
    <t>02/07/2018</t>
  </si>
  <si>
    <t>lmdc-139008</t>
  </si>
  <si>
    <t>Le 2/11/2021, j'ai modifié mon contrat VAM en ajoutant l'option Panne 0 km et ai reçu le jour-même les CP avec confirmation de la prise d'effet à la date du 02/11/2021.
le 4/11, mon véhicule ne démarre plus (j'étais à environ 2 km de mon domicile). J'appelle donc le numéro MAIF ASSISTANCE à 13h00: 15 minutes d'attente, puis une dame décroche enfin. J'expose mon cas et cette dame me répond que la remontée ne s'est pas effectuée dans leur système et que MAIF ne peut prendre en charge ma demande.
J'ai ensuite contacté le numéro commercial à 13h30. Un homme m'a répondu. Je lui fais part de ma situation et il me met en attente. A 14h00 passé, j'ai raccroché car j'étais toujours en attente. Promesses contractuelles non tenues, temps d'attente extrémement longs. Je n'ai jamais connu une telle situation avec des assureurs précédents. Je suis sidérée et très déçue.</t>
  </si>
  <si>
    <t>05/11/2021</t>
  </si>
  <si>
    <t>richard-g-114791</t>
  </si>
  <si>
    <t>Je paie un pseudo sinistre depuis 2017 non déclaré par "la victime" à son assurance puisque pas assuré, pas le propriétaire du véhicule, pas de permis sur lui...signalé lors de ma déclaration de sinistre à vous que je n'aurai pas du faire. Je suis passé de 505,00 par an en 2015 à 900 euros à ce jour...honteux</t>
  </si>
  <si>
    <t>25/05/2021</t>
  </si>
  <si>
    <t>etoile-49-101279</t>
  </si>
  <si>
    <t xml:space="preserve">j'ai pris cette assurance pour mon chien à chaque visite on à 20 euros de franchise de déduit mais là j'y suis allée pour le vaccin et le contrôle de mon chien pour son suivi de santé qui nécessite une prise de sang je l'ai donc fais en même temps que son vaccin  Eca ne me rembourse qu'un forfait de 50 euros  et ne me rembourse pas la visite de mon chien je pers donc 60 euros Je ne recommande pas du tout cette assurance je vais résilier mon contrat.
</t>
  </si>
  <si>
    <t>11/12/2020</t>
  </si>
  <si>
    <t>fiston-59819</t>
  </si>
  <si>
    <t>Madame, Monsieur, J'accuse reception de votre courrier recommande date dans lequel vous m'informez que vous refusez de m'indemniser mon accident de la vie privee de ma chute Dans ma baignoire que j'ai déclare au motif que celui-ci tombe sous le coup d'une exclusion de garantie. Or, il y a de toute évidence une contradiction entre les conditions générales et les conditions particulières de notre contrat. En effet, vos articles prévoit l'indemnisation des accidents avec fractures Faisant référence à la jurisprudence, je vous prie de bien vouloir revoir votre position et procéder à mon indemnisation dans les meilleurs délais. Dans cette attente, veuillez agréer, Madame, Monsieur, mes salutations distinguées.Client depuis 14 ans sans sinistres</t>
  </si>
  <si>
    <t>20/03/2019</t>
  </si>
  <si>
    <t>jerome-n-115508</t>
  </si>
  <si>
    <t xml:space="preserve">j'espère que notre aventure ce déroulera bien , les prix sont très raisonnable , les services très intéressant et j'espère que le petit boitier fonctionnera bien :)  </t>
  </si>
  <si>
    <t>laura-91181</t>
  </si>
  <si>
    <t xml:space="preserve">Très satisfaite de ce devis en ligne. Claire et précis. Et les prix très attractifs. 
Bien contente de trouver moins cher que chez certains assureurs. </t>
  </si>
  <si>
    <t>seblfd-65217</t>
  </si>
  <si>
    <t>J'ai eu un vol à la roulotte sur mon véhicule (bris de glace) auteur pris sur le fait par la police... Je dois tout de même payer une franchise. Mais là où je suis vraiment mécontent c'est sur la réactivité de leurs services sinistres. Sur leur demande j'ai dû refaire une déclaration de sinistres... et à partir de là s'est ensuivi un mic Mac de procédure. On m'a trainé de service en service, des non-réponses à des mails, des changements d'interlocuteurs tous les jours. Résultat plus d'1 mois que je n'ai plus de voiture pour une simple vitre cassée et que je dois faire du covoiturage pour aller travailler.</t>
  </si>
  <si>
    <t>03/07/2018</t>
  </si>
  <si>
    <t>oratmort-104840</t>
  </si>
  <si>
    <t>Je suis à la MGEN depuis une dizaine d'années et je n'ai jamais eu aucun soucis au niveau des remboursements. Les tarifs par contre me semble un peu plus élevés que la moyenne.</t>
  </si>
  <si>
    <t>eric-fages-97849</t>
  </si>
  <si>
    <t>Bonjour,
J'ai effectué le remboursement anticipé de mon prêt immobilier en date du 23/04/2020, et j'ai adressé ma demande de résiliation d'assurance emprunteur auprès de METLIFE le 01/06/2020 en lettre reco avec A/R, en joignant l'attestation de remb anticipé de la Banque.
J'ai relancé plusieurs fois sur l'adresse email : dip@metlife.fr  selon indication téléphonique et indication de leur site, sans réponse de leur part.  Les prélèvements continuent depuis le 23/04/2020, c'est à dire depuis plus de 5 mois, alors que le contrat indique que le dossier doit être traité sous 3 mois maximum, avec remboursement des sommes non dues.
Je ne suis pas content de la situation et souhaite une résolution au plus vite de ce dossier.
Merci par avance
Eric Fages</t>
  </si>
  <si>
    <t>marisa-b-129457</t>
  </si>
  <si>
    <t xml:space="preserve">Pour l'instant satisfaite du service simple pour signer le contrat. Je ne sais pas ce que ça va se passer après. Il faudra me poser la question dans 1 an. </t>
  </si>
  <si>
    <t>eloise59-85692</t>
  </si>
  <si>
    <t>Super courtier, j'ai trouvé une mutuelle en parfaite corrélation avec mes besoins</t>
  </si>
  <si>
    <t>09/01/2020</t>
  </si>
  <si>
    <t>tobya-r-135535</t>
  </si>
  <si>
    <t>service au top, ultra rapide et très intuitif. À voir après le service client, je n'ai pas eu affaire à quelqu'un la manipulation  est simple rapide et super facile ??</t>
  </si>
  <si>
    <t>faouzi-d-122488</t>
  </si>
  <si>
    <t>S'il était possible de corriger soit même le profil . Changement d'adresse par exemple. cela serait top. pas le temps d'appeler, ni d'aller à l'agence. Grosse perte de temps !</t>
  </si>
  <si>
    <t>em75-62151</t>
  </si>
  <si>
    <t>Un service client déplorable, plus de délais de 2 mois pour une simple réponse à ma demande !</t>
  </si>
  <si>
    <t>09/03/2018</t>
  </si>
  <si>
    <t>bruno-89023</t>
  </si>
  <si>
    <t xml:space="preserve">Cette assurance prélève six mois de cotisations aprés la résiliation et ne réponds pas au téléphone ni aux mails. </t>
  </si>
  <si>
    <t>20/04/2020</t>
  </si>
  <si>
    <t>louloutte571303-69068</t>
  </si>
  <si>
    <t>J'ai un sinistre depuis bientôt trois pour un ordinateur à ce jour pas de cotation de leur part et pas de réponse du médiateur depuis un an.</t>
  </si>
  <si>
    <t>20/12/2019</t>
  </si>
  <si>
    <t>coco-99352</t>
  </si>
  <si>
    <t xml:space="preserve">Assurance à fuir à toute jambe, j'ai souscrit en ligne, je devais payer seulement 144€ par mois, au lieu de ça ils m'ont pris 285€ pour seulement 10 jours étant donné qu'ils ont résilier mon contrat sans même me prévenir, ce qui fait que j'ai rouler au moins 1 semaine sans assurance. Et ils osent encore me demander de l'argent.
Niveau réponse de leur pars quand on leur envoie un message ou un mail, c'est le grand désert, jamais aucune réponse, ils sont incompétent. J'ai demandé un remboursement, et j'imagine que j'en verrai jamais la couleur. Je déconseille fortement cette assurance, ce sont des profiteurs. Quand j'ai réussi à les avoir au téléphone (ce qui est rare) la personne au bout du fil me mettais H24 sur attente pour demander conseille a ces "supérieur", sois disant elle en a vue 3 qui ne savaient pas ce qui c'était passer avec mon dossier, conclusion ils sont aussi incompétent pour s'occuper d'un dossier. </t>
  </si>
  <si>
    <t>29/10/2020</t>
  </si>
  <si>
    <t>layb-65085</t>
  </si>
  <si>
    <t xml:space="preserve">Insatisfaite au plus haut point!
Assurée TOUS risques depuis 3 ans.
8 mois qu'un sinistre a été ouvert. 
8 mois que l'assurance ne fait rien et qu'elle prétend faire quelque chose.
Précisions que le montant de l'indemnisation est ridicule.
Tombée sur une personne ne souhaitant pas faire de constat, celle-ci étant en tord. 
Je me retrouve à devoir me battre pour ce qui doit me revenir. 
Je subis un préjudice et l'assurance n'a même pas été fichu de m'aiguiller... MERCI!
Histoire d'un rétroviseur. 
Je ne vous la conseille pas.
Certes, elle est moins chère que ses concurrents.
Mais ne vaut-il pas mieux payer plus cher et être assuré de la meilleure des manières? 
Je suis suivie par un conseiller qui sait à peine aligner une phrase en français. 
Il me répète sans cesse la même chose, qu'il faut attendre, qu'ils ne peuvent rien faire.
Rien n'est fait pour que le sinistre soit enfin CLOS.
Aurai-je dû ne pas le déclarer pour avoir un boulet en moins?
Trop bons, trop ###!
Si vous n'avez aucun sinistre, tout va bien! 
Tout se complique dès lors... Qu'un sinistre apparaît... 
Peut-on néanmoins prévoir le comportement de tous les conducteurs sur la route? 
Réclamer son dû, cela doit-il être aussi insurmontable que ça? 
Moi, je dis NON ! 
Je paye... Pour quoi? 
Pour faire joli? Parce que j'ai envie de dépenser de l'argent par les fenêtres ?? 
</t>
  </si>
  <si>
    <t>27/06/2018</t>
  </si>
  <si>
    <t>violette50-121428</t>
  </si>
  <si>
    <t xml:space="preserve">Adhérente à la Maif depuis plus de 20 ANS, tout va bien tant qu'il n'y a pas de sinistre.
Mais à la 1ere demande de prise en charge suite à sinistre, cela ne fonctionne plus, pas d'indemnisation, interlocuteurs inexistants, ou de mauvaise foi, non professionnels
Ce qui fonctionne bien ce sont les prélèvements sur mon compte en Banque (pompe à fric), entreprise (que je ne nommerai pas assurance) bien  plus cher que d'autres.
  A FUIR
</t>
  </si>
  <si>
    <t>rabhi-o-134164</t>
  </si>
  <si>
    <t xml:space="preserve">Je suis satisfait, les prix que me conviennent assez. J’espère ne pas m’être trompé et que notre collaboration se passe du mieux possible et c’est avec certitude que je signe chez vous </t>
  </si>
  <si>
    <t>roi-arthur-92491</t>
  </si>
  <si>
    <t xml:space="preserve">prix me convient - simple et rapide - le site est ludique, facile d'utiltisation, lecture simple et rapide 
je recommande Direct Assurance autour de moi 
</t>
  </si>
  <si>
    <t>27/06/2020</t>
  </si>
  <si>
    <t>charles-106677</t>
  </si>
  <si>
    <t xml:space="preserve">Olivier assurance est très cher, le service n'est pas terribles, ils ne sont pas arrangeant difficile à contacter et facture des frais à la volée, un conseil simple ne choisissez pas Olivier assurance ! </t>
  </si>
  <si>
    <t>servant-v-138800</t>
  </si>
  <si>
    <t>je suis satisfait du service. le prix et pour moi un peu élever mais étant donner mes conditions c'est raisonnable, sa répond a mes attentes. Donc je pourrais recommander l'olivier assurance.</t>
  </si>
  <si>
    <t>zzzzzz-54750</t>
  </si>
  <si>
    <t>Après une dizaine d'années cliente chez eux,  le siège de la maaf à décidé de me résilier l'assurance car j'ai fais appel à plusieurs assistance dépannage alors que j'ai souscris à l'option zéro kM</t>
  </si>
  <si>
    <t>17/05/2017</t>
  </si>
  <si>
    <t>01/05/2017</t>
  </si>
  <si>
    <t>morgane-69959</t>
  </si>
  <si>
    <t xml:space="preserve">Assurée Maif depuis maintenant 3 ans.
J ai eu un accident non responsable en aout 2018, voiture réparée sans aucun frais avancé (garage partenaire). L equipe Maif a été professionnelle et efficace. 
Seul bémol, mon coefficient diminue d'années en années mais le tarif stagne (voir augmente ! 1e30 de plus par mois pour un meilleur coefficient cette année) ce qui est démotivant. </t>
  </si>
  <si>
    <t>06/01/2019</t>
  </si>
  <si>
    <t>sandra-v-109852</t>
  </si>
  <si>
    <t>Je suis satisfaite du service.
Bon rapport prix/couverture.
Il est aisé de naviguer sur le site et de réaliser une simulation.
Pratique et gain de temps : possibilité de souscrire rapidement un contrat dássurance et payer son échéance en ligne.</t>
  </si>
  <si>
    <t>sebastien-v-122056</t>
  </si>
  <si>
    <t xml:space="preserve">Parfait ! Super contact avec le commercial , prix plus que correct , super garanties, vraiment rien a redire 
Au top ! Je recommanderai avec plaisir ! </t>
  </si>
  <si>
    <t>victor-p-131415</t>
  </si>
  <si>
    <t xml:space="preserve">Super c’est vraiment des prix adorables j’avais peu de moyens pour m’assurer et grâce à April je roule en toute tranquillité a présent ! Merci April ! </t>
  </si>
  <si>
    <t>jay-93618</t>
  </si>
  <si>
    <t>Les prix me conviennent. Mais je préfère le faire au téléphone ou face à face. En réalité je appeler et attendue pour 10 min pour au final le faire sur internet.</t>
  </si>
  <si>
    <t>09/07/2020</t>
  </si>
  <si>
    <t>mapelli-m-108555</t>
  </si>
  <si>
    <t>1ère adhésion et je n'ai rencontré aucun problème.
Je suis pleinement satisfaite, simple &amp; rapide c'est le top !
Un grand merci.
Je recommande cette assurance.</t>
  </si>
  <si>
    <t>htiouech-r-124252</t>
  </si>
  <si>
    <t xml:space="preserve">Je suis satisfait de votre service 
Je suis un particulier,  j'ai choisi votre compagnie par recommandation d'un ami ,j'espère que vous me faites satisfaction </t>
  </si>
  <si>
    <t>caveglia69-69611</t>
  </si>
  <si>
    <t>incomprehension sur la grille des prix. La prix est différent entre l'avis d'échéance et le prix mentionné dans les conditions prticuliéres. !</t>
  </si>
  <si>
    <t>21/12/2018</t>
  </si>
  <si>
    <t>01/12/2018</t>
  </si>
  <si>
    <t>florindia-86225</t>
  </si>
  <si>
    <t>iMPOSSIBLE D'OBTENIR DE LEUR PART LE TABLEAU DES GARANTIES ASSOCIEES A MON CONTRAT MUTUELLE</t>
  </si>
  <si>
    <t>23/01/2020</t>
  </si>
  <si>
    <t>lumyfox-94775</t>
  </si>
  <si>
    <t xml:space="preserve">Après avoir souscrit un contrat avec SwissLife pour une prévoyance des indépendants. J'ai été en arrêt maladie pendant 3 mois sans jamais avoir aucune indemnisation. Dans un 1er temps, un refus d'indemnisation de la part de SwissLife. Dans un 2eme temps, ils reviennent sur leur décision mais avant d'indemniser ils vous demandent de passer devant un médecin expert qui expertise uniquement votre contrat d'assurance et en aucun cas votre état de santé. Cela fait maintenant près de 1 mois que je ne suis plus en arrêt maladie et je n'ai plus de son plus d'images. Je déconseille fortement cette assurance ! </t>
  </si>
  <si>
    <t>21/07/2020</t>
  </si>
  <si>
    <t>guillaume-r-130393</t>
  </si>
  <si>
    <t xml:space="preserve">Simplicité au top je recommande direct aussrance. J'ai pu assuré mon véhicule immédiatement. Je suis très satisfait de cette compagnie d'assurance. 
Cotisations très correct </t>
  </si>
  <si>
    <t>stella-v-127698</t>
  </si>
  <si>
    <t>Je suis satisfaite de ma première assurance. 
Le prix est abordable et les option au top plus cas voir le service client. 
Je suis heureuse d'avoir souscris avec vous merci.</t>
  </si>
  <si>
    <t>legardinier-h-139163</t>
  </si>
  <si>
    <t>Je découvre votre assurance que j'ai vu à la TV les prix sont attractif et intéressant je verrais dans le temps ou pas si vous êtes bien en attendant vous êtes très réactif merci</t>
  </si>
  <si>
    <t>ghyselinck-l-115835</t>
  </si>
  <si>
    <t>je suis satisfait pour le moment du service
je joint au plus vite les documents demandés
je suis satisfait pour le moment du service
je joint au plus vite les documents demandés</t>
  </si>
  <si>
    <t>03/06/2021</t>
  </si>
  <si>
    <t>agnes-103105</t>
  </si>
  <si>
    <t>Assurance assez chère.
Communication assez difficile.
Très compliqué de résilier une assurance chez eux, ils ont toujours un prétexte (bidon) pour ne pas résilier l'assurance.
A FUIR !!!</t>
  </si>
  <si>
    <t>22/01/2021</t>
  </si>
  <si>
    <t>rouleparafer-56195</t>
  </si>
  <si>
    <t>La bureaucratie D'Afer est totalement inefficace. Le remboursement d'une prime suite a un décès est très long et nécessité de nombreux appels téléphoniques ainsi que des dizaines d'échanges de mails. Malgré mes réclamations je n'ai jamais reçu le cadeau de mon dernier parrainage (il y a quelques années déjà). Dommage, car la gestion financière est bonne</t>
  </si>
  <si>
    <t>11/09/2017</t>
  </si>
  <si>
    <t>lju-66283</t>
  </si>
  <si>
    <t>Bonjour à tous, j'ai reçu un courrier de résiliation de mon assurance habitation car, nous avons eu un sinistre en 2016 ( fuite d'eaux au niveau du réfrigérateur ) et en 2017 ( infiltration d'eaux sur toiture ) Cela fait 24 ans que je suis assuré à la Maaf, je n'ai eu aucune autre assurance que celle ci et j'ai 7 contrats chez eux ( perso et pro ) c'est pour dire à quel point j'étais satisfait de cette assurance, on se sent évidemment trahi par ce poignard reçu par courrier après 24 ans de cotisations. Si vous êtes assuré à la Maaf je vous souhaites qu'ils ne vous arrivent rien, la Maaf n'a pas et, pour preuve, de considération envers sa clientèle la plus fidèle.</t>
  </si>
  <si>
    <t>20/08/2018</t>
  </si>
  <si>
    <t>mendes-s-109006</t>
  </si>
  <si>
    <t>Je suis satisfait par le service proposé, ils sont très réactifs et je recommande vivement l'olivier assurance sans hésitation
le temps d'attente est très court</t>
  </si>
  <si>
    <t>issou-55214</t>
  </si>
  <si>
    <t>Rapide , efficace , gentillesse au rendez vous,et c'est le meilleur tarif que j'ai trouvé .Bref je recommande.</t>
  </si>
  <si>
    <t>08/06/2017</t>
  </si>
  <si>
    <t>dimhop--103927</t>
  </si>
  <si>
    <t xml:space="preserve">Les garanties proposées sont larges et les tarifs dans la moyenne basse du marché. Donc le prix n'est pas simplement concurrentiel et n'est pas proposé avec des garanties faibles. Par ailleurs, j'ai eu 3 sinistres mineurs (2 dégâts des eaux, 1 sinistre électrique) , parfaitement pris en charge, et ce, très rapidement. Je suis extrêmement satisfait à ce jour </t>
  </si>
  <si>
    <t>jospat-79275</t>
  </si>
  <si>
    <t xml:space="preserve">Depuis janvier 2019, date à laquelle j'ai souscrit cette mutuelle, j'ai un problème de remboursement. Il faut systématiquement tout contrôler. Consultation  Osthéo 1 séance remboursée sur 5! Dépassement médecin 8 consultations non remboursées alors que nous avons souscrit le contrat avec médecine complémentaire! pour conclure mutuelle pas sérieuse du tout. Je signale que mon contrat Ma santé facile est géré pour les remboursements par Sogema
</t>
  </si>
  <si>
    <t>etourneau-k-108281</t>
  </si>
  <si>
    <t xml:space="preserve">Je suis très satisfait le service est très sérieux à l ecoute .les consultants sont très impliqués le service est très rapide et efficace très bon service </t>
  </si>
  <si>
    <t>deceptionmatmut-51207</t>
  </si>
  <si>
    <t xml:space="preserve">Assurance recommandée par ma famille il ya une trentaine d'années. Tous ma famille a depuis changé d'assurance. Je suis le dernier à y étre resté par habitude. Sans aucun accident depuis 20 ans, il a fallu que je fasse appel à leurs services pour me rendre compte de leur inefficacité. A quoi bon avoir des prix attractifs, si c'est pour se satisfaire de garanties médiocres. Je vais résilier mon contrat et je ne recommande absolument pas cette assurance.                                                                           </t>
  </si>
  <si>
    <t>11/01/2017</t>
  </si>
  <si>
    <t>king-gg-112820</t>
  </si>
  <si>
    <t xml:space="preserve">C'est un véritable chemin de croix afin de valider sa portabilité ANI.
Au bout de 2 mois d'appels et d'envoi des mêmes justificatifs à de multiples reprises, ma portabilité n'est toujours pas effective.
Le temps d'attente avec les conseillers est en moyenne de 10 mn et l'amabilité comme les compétences sont inexistantes.
Cette mutuelle et son personnel sont médiocres.
A éviter
</t>
  </si>
  <si>
    <t>assurantyui-76928</t>
  </si>
  <si>
    <t>si vous avez un animal ne payez pas de mutuelle mettez de l'argent de coté pour lui si votre chien n'est pas accidenté et encore vous n'aurez rien de remboursé !
la stérilisation n'est pas éligible, les vaccins, les visites de vétérinaires d'urgence, les médicaments, si ce n'est pas lié à une maladie ou un accident vous oubliez rien ne sera remboursé</t>
  </si>
  <si>
    <t>19/06/2019</t>
  </si>
  <si>
    <t>ludo-vic-51694</t>
  </si>
  <si>
    <t>Depuis presque un ans, j'ai le droit à la portabilité suite à mon licenciement, depuis tout les mois je doit prouvé ma situation de demandeur d'emploi, ce que je fais. Mais depuis quelques moi, comme par hazard, le service internet est consatement "non disponibles" , car j 'envoie des factures de remboursement ,elle me reviennent a chaque fois notant que je n 'ai pas fait ma déclaration de demandeur d'emploi alors que juste avant par téléphone on me dit que tout est ok... Là je viens d 'appeler pour signaler ce probleme qui arrive que trop souvent, la personne me rit au nez et me raccroche au nez.. SCANDALEUX</t>
  </si>
  <si>
    <t>26/01/2017</t>
  </si>
  <si>
    <t>hans-103478</t>
  </si>
  <si>
    <t>La GMF a depuis quelques temps un très mauvais service client . Les " conseillers" nouveaux conseillers n'écoutent absolument pas les clients , ils récitent ce qu'ils ont appris durant leurs 3 jours de formation...... Et ne savent rien d'autre ! J'ai plusieurs contrats chez eux et depuis des années ,cette année je vais sauter le pas et changer d'assureur , en pensant que j'aurais dû le faire bien plus tôt . Meilleur service ailleurs , pour moins cher j'ai trouvé des assurances où je suis assuré pour des risques supérieurs.</t>
  </si>
  <si>
    <t>31/01/2021</t>
  </si>
  <si>
    <t>fred-56202</t>
  </si>
  <si>
    <t>Nous souhaitions modifier notre contrat d'assurance auto suite à l'achat d'un nouveau véhicule. Nous avons contacté Direct assurance afin de faire le changement, le conseiller a refusé au motif qu'il était techniquement impossible d'opérer cette modification. il nous a été proposé un nouveau contrat . Bien que nous avons insisté en précisant qu'il s'agissait d'une voiture de remplacement, ils n'ont rien voulu savoir. Un véritable dialogue de sourds. Le but de cette manœuvre est de faire du chiffre ni plus ni moins. Cette pratique s'apparente à de la vente forcée ce qui est totalement interdit .</t>
  </si>
  <si>
    <t>23/07/2017</t>
  </si>
  <si>
    <t>samuel-113089</t>
  </si>
  <si>
    <t>Ne prend pas de client qui on était résilier pour faute de paiement 5 ans avant......
Les situations changes et les assurances aussi
Cordialement 
Merci</t>
  </si>
  <si>
    <t>michel-102094</t>
  </si>
  <si>
    <t xml:space="preserve">La matmut vous donne 65% de bonus!!! Mais vous jette au bout de 2 accident et comme vous avez été radié alors bonne chance pour trouver une assurance 
Merci la matmut !!! </t>
  </si>
  <si>
    <t>02/01/2021</t>
  </si>
  <si>
    <t>chicho-55002</t>
  </si>
  <si>
    <t>assuré depuis plus de 30 ans avec 65% de bonus 15%bonus matmut inclus je n'ai pas à me plaindre des services en agence ou par téléphone. Mes demandes toujours bien traitées avec un très bon accueil. Bémol peut être sur les tarifs moto depuis 20 ans avec une moto de plus de 10 ans .
Lors de sinistre dossier très vites pris en charges et les remboursements sont très rapides.</t>
  </si>
  <si>
    <t>02/06/2017</t>
  </si>
  <si>
    <t>delcruse-fructuoso-rosigna-p-124008</t>
  </si>
  <si>
    <t>Simple, pratique très facile et rapide d'utilisation. Les prix sont très compétitifs. Service clientèle sympathique et rapide. Je conceille sans problème</t>
  </si>
  <si>
    <t>20/07/2021</t>
  </si>
  <si>
    <t>khattou-n-121214</t>
  </si>
  <si>
    <t xml:space="preserve">Le service est efficace rapide et  un tarif avantageux. Une deuxième assurance prise avec une réduction de 10 pour cent pour le deuxième contrat.  Tout est fait en ligne. </t>
  </si>
  <si>
    <t>25/06/2021</t>
  </si>
  <si>
    <t>michele-m-111462</t>
  </si>
  <si>
    <t xml:space="preserve">Rien à dire, tout s'est toujours bien passé entre la GMF et nous. Bonne continuation. Veillez à ne pas trop augmenter vos tarifs surtout lorsqu'il y a le confinement
</t>
  </si>
  <si>
    <t>juris-74764</t>
  </si>
  <si>
    <t>Bonjour,
Je me suis inscrite à la Mutuelle Interiale en raison des services proposés. Cependant, je suis très déçue par la garantie prévoyance. Étant en arrêt maladie j'ai envoyé mon dossier pour la demande d'indemnisation dont la réception m'a été confirmée par sms m'indiquant que le centre de gestion a bien reçu mes documents. A ce jour, je n'ai plus du tout de nouvelles malgré mes relances téléphoniques et mails. La situation est suffisamment compliquée et stressante comme cela je trouve cela très dommage que l'atavisme d'Interiale rajoute des difficultés. Les personnes que j'ai pu avoir au téléphone sont très empathiques et rassurantes cependant, une fois que le téléphone est raccroché il n'y a plus rien... j'aimerais bien que le paiement se fasse rapidement car la situation financière est difficile à gérer. Enfin, je trouve cela dommage qu'il faille mettre un avis négatif pour que l'on se soucie de ma situation.
Adhérant ( au cas où...) 4065947</t>
  </si>
  <si>
    <t>Intériale</t>
  </si>
  <si>
    <t>04/04/2019</t>
  </si>
  <si>
    <t>valentine-56349</t>
  </si>
  <si>
    <t xml:space="preserve">Je suis extrêmement déçu. Client chez eux depuis deux ans j'ai toujours payé sans jamais demandera aucun remboursement (ni même vaccin vermifuge ou anti parisitaire qui sont pourtant compris dans ma formule). 
J'envoie le 18 juillet une facture avec feuilles de soins et ordonnance (donc tous les documents) afin de toucher un remboursements. Aujourd'hui le 28 juillet toujours rien. J'appel afin de savoir combien de temps cela prendra  !  Ils m'ont repondu mot pour mot  :  nous avons prit du retard sur les dossier nous traitons seulement les demande du 13 juillet. Votre dossier sera traité en mi-aout. Je trouve celà inadmissible sans parler du service client déplorable.
Je compte bien, pour septembre resilier mon contrat si le necessaire n'est pas fait. 
</t>
  </si>
  <si>
    <t>28/07/2017</t>
  </si>
  <si>
    <t>jean-pierre-p-135149</t>
  </si>
  <si>
    <t xml:space="preserve">Prix très compétitifs pour le moment j'ai souscrit 1 contrat auto en juillet et un autre pour notre seconde voiture maintenant,
J'espère qu'en cas de sinistres, tout se passera bien
</t>
  </si>
  <si>
    <t>lommy-95701</t>
  </si>
  <si>
    <t>Mutuelle catastrophique, A FUIR DE TOUTE URGENCE.
Merci à AG2R d'avoir bloqué mes garanties pendant 3 mois, et comme si ca ne suffisait pas refuse de me rembourser mes frais de santés. Pour motif cotisations impayés.. bravo ils ont tout compris. 
( pour info : Mode de paiement se font par Prélèvements trimestriels prélevés automatiquement )
Mutuelle qui ne mérite même pas 1 étoile. 0 . A FUIR.</t>
  </si>
  <si>
    <t>30/07/2020</t>
  </si>
  <si>
    <t>lepleypascal-103656</t>
  </si>
  <si>
    <t>Bonjour la personne que j’ai eu au téléphone est super gentille est très professionnelle . Merci pour ses explications et sa compréhension envers le client qui lui n’est pas particulièrement en forme s’il vous appel .
Effectivement je dois me faire opérer et merci de cette voix super gentille et agréable .</t>
  </si>
  <si>
    <t>23/03/2021</t>
  </si>
  <si>
    <t>momo-132977</t>
  </si>
  <si>
    <t>J'avais un renseignement à demander, j'ai eu NABIL au téléphone et j'ai eu un très bon accueil. Un monsieur très sympathique;
Cordialement
Jouanillou Monique</t>
  </si>
  <si>
    <t>isabmen-115002</t>
  </si>
  <si>
    <t>Si vous avez un jeune chien tout va bien se passer , au fur et à mesure votre cotisation va augmenter assez fortement tous les ans 5, 8 , 12, 15 euros puis votre chien à 10 ans et votre cotisation prend 50% d'augmentation .... Santé Vet par cette politique commerciale amène ses clients à partir quand votre chien plus agé à besoin de soins plus onéreux , BRAVO !!!</t>
  </si>
  <si>
    <t>27/05/2021</t>
  </si>
  <si>
    <t>chaliand-r-116006</t>
  </si>
  <si>
    <t>Parfait. 
Je suis très content du service qui m’a été proposé, ce fut rapide, efficace et compétitif.
Les conseillers ont été clair et précis, et la procédure numérique, limpide.</t>
  </si>
  <si>
    <t>sandrineg-92627</t>
  </si>
  <si>
    <t>J'ai effectué sur internet une déclaration de responsabilité civile le 15/06. Pas de nouvelle de Pacifica. J'appelle le 23/06, la personne en ligne m'informe que je vais être rappelée suite à ma déclaration, aucune info n'est alors donnée sur les démarches à effectuer ou la suite du dossier. 29/06, toujours sans nouvelle, j'appelle le service client qui me sermonne. Des gens avec des sinistres plus graves attendent plus longtemps que moi pour se renseigner sur les démarches à suivre ou la suite de leur dossier (!!!!). Si vous avez un Jérémy au téléphone, fuyez! Hautain, et surement incompétent: il a ouvert par erreur mon dossier qui ne le concernait pas et a en plus changez la date de déclaration de sinistre! il ose me dire que je suis impatiente. Je ne suis pas impatiente, juste dans l'ignorance! Il se permet de me dire qu'il ne comprend pas que j'ai autant de questions: je n'en ai eu que 2: que dois-je faire pour ma déclaration et comment se passe la suite...</t>
  </si>
  <si>
    <t>29/06/2020</t>
  </si>
  <si>
    <t>angeiil91-61001</t>
  </si>
  <si>
    <t xml:space="preserve">Assurance très chère pour au final avoir des problèmes sans solution.
Ils ne sont pas professionnels </t>
  </si>
  <si>
    <t>31/01/2018</t>
  </si>
  <si>
    <t>bertrand2455-93189</t>
  </si>
  <si>
    <t xml:space="preserve">Une nouvelle fois des problèmes avec Allianz. Après n'être battu pour obtenir réparation dans un dégât des eaux, voilà que ça recommence, impossible d'obtenir le reliquat de ce qu'ils me doivent (environ 4500euros.....quand même) malgré présentation des factures. On me répond qu'on n'a pas reçu les factures, extrêmement difficile à joindre, on trouve toujours un prétexte pour ne pas répondre, au bout du fil toujours des personnes qui sont responsables de rien, on vous dit qu'on vous rappelle mais jamais cela ne se produit..... Bref un enchaînement de mauvaise foi, et réponse à des questions que vous ne posez pas, histoire de faire diversion. Cette assurance est super si vous n'avez pas besoin d'eux sinon elle est lamentable. A fuir de toute urgence. Manque total de sérieux. Mesdames Messieurs de chez Allianz n'utilisez pas des mots comme solidarité et confiance, vous n'en connaissez pas leurs valeurs. Mais d'ailleurs quelles sont vos valeurs ? </t>
  </si>
  <si>
    <t>riko-88906</t>
  </si>
  <si>
    <t>Je suis handicape j ai eter harceler par un dame de chez eux elle ma dit de payer par cb et que j avais 1 mois pour essayer. Apres sa elle ma promis pleins de chose ils m.ont jamais envoyer les contrats de mes chiens !!! J ai envoyer une lettre recommander pour resilier leur reponse est que c'est trop tard!!!! Une femme ma appler pour me dire de cocher une case sur un mail  pour annuler ma lettre recommander je l.ai pas fait! J ai annuler les prelevement! Il me harcele au telephone et par mail! J'attend la fin du confinement pour porter plainte!!!!! A fuire de cette assurance !!!!!!!</t>
  </si>
  <si>
    <t>15/04/2020</t>
  </si>
  <si>
    <t>berenguer-p-128843</t>
  </si>
  <si>
    <t>Le prix me convient parfaitement un des plus bas du marché, pour le même véhicule, je suis satisfait du service, et très facile pour souscrire en ligne.</t>
  </si>
  <si>
    <t>20/08/2021</t>
  </si>
  <si>
    <t>nckayembe-87636</t>
  </si>
  <si>
    <t>Je paie mon assurance et je me retrouve avec un cabinet mandaté par celui-ci qui ment et qui a fait un rapport que je n'ai jamais reçu concernant mon sinistre, afin que celui-ci ne soit pas pris en compte par mon assurance. 
C'est consternant qu'en 2020 ce genre de pratique existe encore. 
J'ai donc contesté cette expertise en envoyant les documents qui prouvaient mes dires. 
Depuis l'envoi des preuves qui montrent bien que j'avais une infiltration en plus d'un problème de toit ils ont clôturé mon dossier sans même me mettre au courant mais en plus en mentant honteusement. 
Soit disant l'expert serait monté sur le toit pour constater que tout serait arrivé avant mon achat alors que cet expert avait déjà du mal à monter mes deux étages et ne disposait d'aucun matériel pour monter sur le toit et que j'étais avec pendant tout l'entretien. Et qu'à aucun moment le toit n'a été vérifié, ÉCOEURANT</t>
  </si>
  <si>
    <t>26/02/2020</t>
  </si>
  <si>
    <t>beber-76877</t>
  </si>
  <si>
    <t xml:space="preserve">Je suis très étonné de l'avis général
pour toute critique il faut fournir des éléments factuels 
personnellement je ne vois aucun problème  à ce qu'il y ait une vérification de l'identité et de l'adresse de domiciliation en cas de rachat de son épargne ce n'est qu'une question de sécurité . 
Je n'aimerais pas que n'importe qui puisse prélever sur mon compte évidemment
pour information il existe un espace numérique qui peut-être créé( via l'envoi et la réception de certains documents par voie postale , sécurité oblige)
 dans cet espace numérique il est possible d'établir une corrélation avec son compte bancaire de manière à pouvoir retirer, déposer ou arbitrer n'importe quelle somme à n' importe quel moment
 il faut savoir également que  la date de valeur est fixé au mercredi pour toute opération réalisé avant le précédent mardi avant 16h . 
Pour exemple j'ai personnellement  retiré une somme le 16 janvier pour une date de valeur au 18 janvier et le dépôt sur mon compte bancaire le 20 janvier par un simple clic de souris
peut-être que les gens qui critiquent devrait se renseigner avant de penser que tout est possible d'un  claquement de doigts . C'est de leur sécurité dont on  parle 
cordialement 
 un adhérent depuis 35 ans
</t>
  </si>
  <si>
    <t>regic-100084</t>
  </si>
  <si>
    <t>Le tiers-payant fonctionne, pas de signal autre que cette carte Tiers-payant 2 fois par an, cependant le tarif a doublé progressivement en quelques années... + Aucune formule de remboursement prévue pour les soins en paramédical, alors que je paye 1700€ par an !!
(une fois arrivé à joindre la commerciale qui répond de manière évasive et peu aimable)
Un échéancier est envoyé pour l'année suivante, mais évidemment je le reçois APRES les deux mois avant l'échéance du contrat, ce qui obligeait à le renouveler...
La galère pour résilier.. avant que ce décret du 1er décembre 2020 s'applique enfin :
la résiliation infra-annuelle entrera en vigueur au 1er décembre 2020. 
J'en profitera pour changer de mutuelle ce jour-là.</t>
  </si>
  <si>
    <t>13/11/2020</t>
  </si>
  <si>
    <t>sam-103470</t>
  </si>
  <si>
    <t xml:space="preserve">MMMA service des garanties décennales :
Qui est l'assureur à l'organisation en silo qui préfère payer plusieurs d'€ d'expertise plutôt que 200€ de réparation ?
Qui est l'assureur qui a besoin de près de 18 mois pour organiser 2 expertises basiques ? (fissures de plâtre)
Qui est l'assureur donnant pour directive à ses salariés chargés de clientèle de ne pas communiquer leurs noms (on repassera pour la proximité !)
Qui est l'assureur que l'on doit relancer régulièrement pour faire avancer un dossier ?
Quel est l'assureur qui ne répond pas aux courriers recommandés?
MMA, beaucoup de blabla, beaucoup de tracas...
</t>
  </si>
  <si>
    <t>MMA</t>
  </si>
  <si>
    <t>garantie-decennale</t>
  </si>
  <si>
    <t>joel-70585</t>
  </si>
  <si>
    <t>ses pas une bonne assurance au service santé  après la  vente quand vous voulez résilier il font des misère   ses pas une assurance que je vais vous communiqué</t>
  </si>
  <si>
    <t>25/01/2019</t>
  </si>
  <si>
    <t>mathieu-a-106233</t>
  </si>
  <si>
    <t>trés supris du haut niveau des prix , je pense résilier mon assurance ,j'ai maintenant une voiture éléctique mais je paye plus cher qu'en voiture thermique!</t>
  </si>
  <si>
    <t>ps91-102806</t>
  </si>
  <si>
    <t>Mutuelle très professionnelle, parfaitement adaptée aux exigences particulières des forces de Sécurité.
Bonne disponibilité, même par téléphone.
Renseignements précis et amabilité des correspondants.</t>
  </si>
  <si>
    <t>18/01/2021</t>
  </si>
  <si>
    <t>psychobud-69885</t>
  </si>
  <si>
    <t>La Macif n'est pas une banque dixit le conseiller de Mutavie. La Macif sait faire traverser l'atlantique a un super voilier mais n'a pas les capacités de faire un peu fructifier un compte en toute sécurité.</t>
  </si>
  <si>
    <t>04/01/2019</t>
  </si>
  <si>
    <t>hemery-marie-97747</t>
  </si>
  <si>
    <t xml:space="preserve">Honteux se faire virer d'une assurance parce qu'on m'a percuté ma voiture, 2 ans après 2 sinistres légé (de la taule) et 1 bris de glace, du coup la fréquence est trop forte !!! Les 2 ans de cotisations majoré ils les ont bien encaissé et mtn casser vous les poissards !!!
Je suis dégouté de voir ça... </t>
  </si>
  <si>
    <t>23/09/2020</t>
  </si>
  <si>
    <t>ninous-85838</t>
  </si>
  <si>
    <t xml:space="preserve">La maif refuse de m indemniser ils prennent les gens pour des Pigeons et des analphabètes passage d expert photos prouvant les dégâts la gestionnaire m a menti 
J envoie des recommandé à leur haute direction pas de réponses ont reçu les courriers solidaire du pipeau entre euc
M ont dégagé tout mes contrats voitures habitation en novembre je l ai apppris par hasard la succursale ne comprend pas la réaction du siège à Niort Cela faisait plus de 30 ans que j étais à la maif </t>
  </si>
  <si>
    <t>12/06/2021</t>
  </si>
  <si>
    <t>stephane-125595</t>
  </si>
  <si>
    <t>Assurance catastrophique. Voiture en panne, le dépanneur arrive assez vite puis tout s'arrête, il faut trouver un garage soi même, l'agence de location de voiture réservée (puisque bien sûr l'option véhicule de secours est souscrite et payée chaque année) n'a pas de véhicules de disponible et prévient 20min avant la fermeture des agences. De toutes façon l'assurance envoie le taxi à la mauvaise adresse (20km trop loin, dommages..). On rappelle, on nous demande de rester proche du téléphone puis silence radio. Bien sûr passé 18h impossible de contacter qui que ce soit. La quintessence de l'assurance : payez toute l'année et demmerdez vous le jour J. À fuir absolument.
Encore merci pour votre aide !</t>
  </si>
  <si>
    <t>andre-n-115821</t>
  </si>
  <si>
    <t xml:space="preserve">TRES SATISFAIT DE VOS SERVICES ET DE VOS TARIFS. jJe recommanderai volontiers votre formule si j'en ai l'opportunite.
Continuez comme cela pour la plus grande satisfaction de vos clients
</t>
  </si>
  <si>
    <t>sed2412-42902</t>
  </si>
  <si>
    <t>Assuré plus de 2 ans, j'ai demandé plusieurs fois pourquoi mon bonus de 50% voiture n'a pas été appliqué à mon assurance scooter.
Après plusieurs relances, ils me répondent. En parallèle, je constate que mon assurance a été résiliée à mon insu, sans avoir été notifié et sans raison définis dans un cadre légal (raison invoquée: résilié à échéance, mais je n'ai rien demandé et j'étais à jour avec mes cotisations)
A fuir…</t>
  </si>
  <si>
    <t>09/08/2020</t>
  </si>
  <si>
    <t>nanstrax-137991</t>
  </si>
  <si>
    <t xml:space="preserve">Passez votre chemin.
Rien a sauver chez Axa vie
Produits ultra chargés très chers lourds depassés et peu performants.
Conseillers au profil chasseur a 200% recrutés dans des reseaux de commerce generaliste (norauto, darty, carrefour etc...)
</t>
  </si>
  <si>
    <t>arion21-68647</t>
  </si>
  <si>
    <t>EXCELLENT RAPPORT QUALITE PRIX. EXCELLENTS CONSEILS</t>
  </si>
  <si>
    <t>15/11/2018</t>
  </si>
  <si>
    <t>julie-101621</t>
  </si>
  <si>
    <t xml:space="preserve">Assureur qui s'est permit de modifier le bonus de mon mari sans raison, 2 ans de procédure, appel une fois par semaine, LR, mail, médiateur, pour pouvoir récupérer notre relevé d'information juste et obtenir le remboursement des sommes prélevés à tord. Je ne recommande pas du tout cet assureur, qui fait le sourd en cas de problème avec un assuré.
Fuyez !
</t>
  </si>
  <si>
    <t>18/12/2020</t>
  </si>
  <si>
    <t>remy-97811</t>
  </si>
  <si>
    <t xml:space="preserve">La malchance d'un bris de glace ,l'année suivante une marche arrière malheureuse et cette année une conductrice ivre sans permis roulant à gauche donc choc imparable et nous voilà viré (  après plus de 40 années avec jusqu'à 6 véhicules + la maison et multirisque vie privée et BONUS à vie ?? )  En 1 an la maff zape 40 ans de bon contributeur  BRAVO </t>
  </si>
  <si>
    <t>24/09/2020</t>
  </si>
  <si>
    <t>adama-d-129706</t>
  </si>
  <si>
    <t>DEVIS QUI REPOND EXACTEMENT A MES ATTENTES.
LES PRIX ME CONVIENNENT PARFAITEMENT.
LE SERVICE EST SIMPLE ET TRES PRATIQUE POUR TOUTES LES PERSONNES SELON LEUR NIVEAU DE COMPREHENSION.</t>
  </si>
  <si>
    <t>fatiha-81319</t>
  </si>
  <si>
    <t>Bonjour, Vol de mon véhicule en date du 09/10/2019. Demande de justificatifs farfelus. Personnels très désagréable au téléphone limite condescendant. Et le comble du tout j'ai été résilié. Je déconseille fortement et bien sur toujours pas indemnisé.</t>
  </si>
  <si>
    <t>25/11/2019</t>
  </si>
  <si>
    <t>joce--108642</t>
  </si>
  <si>
    <t xml:space="preserve">Lamia m'a donné avec courtoisie et gentillesse tous les renseignements dont j'avais besoin je suis extrêmement satisfaite de cet échange téléphonique et très contente jusqu'à présent globalement de ma mutuelle santiane </t>
  </si>
  <si>
    <t>roy-b-107081</t>
  </si>
  <si>
    <t xml:space="preserve">je suis satisfait du service et de la rapidité d'assurer un véhicule les prix sont abordable et le transfert de fichier simplifié a recommandé a mes proche </t>
  </si>
  <si>
    <t>rabiaa-m-106697</t>
  </si>
  <si>
    <t xml:space="preserve">Je suis satisfait du service.
Merci 
Vos prix sont parmis les plus attractifs d'Internet. Continuer dans cette dynamique. Tout le monde y trouvera son bonheur. 
</t>
  </si>
  <si>
    <t>philos-103942</t>
  </si>
  <si>
    <t>Rapidité d’inscription et de souscription. Amabilité pendant les entretiens téléphonique. Simplicité du site internet et interface de l’espace personnel simple et efficace.</t>
  </si>
  <si>
    <t>jtabet-76462</t>
  </si>
  <si>
    <t>Cette société d'assurance est à fuir comme la peste.
Le prix est certes intéressant, mais en cas de sinistre vous devez tout faire vous-même.
Ci-après les commentaires sur le traitement MINABLE de mon sinistre.
La qualité du service client est DÉPLORABLE.
LE JOUR DU SINISTRE - MISE EN DANGER DE LA VIE D'AUTRUI
Sous le choc après mon accident, je n'ai pas contacté le bon service téléphonique.
Au lieu de me rediriger vers les équipes qui s'occupe du remorquage, la personne en ligne m'a dit que ce n'était pas son problème et m'a conseillé de rentrer chez moi avec mon véhicule accidenté.
REMORQUAGE DU VÉHICULE
Après enfin avoir réussi à organiser cela, je suis parti en vacances.
A mon retour deux semaines plus tard, j'appelle pour savoir où en est l'expertise.
On me répond que rien na été fait parce que personne ne sait où est mon véhicule, qui a été remorqué par la société de votre choix.
On me demande alors de le retrouver et de contacter moi même l'expert.
CECI EST LE SERVICE POUR LEQUEL JE PAYE
SUITE DU DOSSIER
Je n'a pas de reproches particuliers à faire au service téléphonique qui fournies des informations claires et précises dans un délais raisonnable.
NÉANMOINS, SANS MES RAPPELS, LES GESTIONNAIRES QUI TRAITENT LES AFFAIRES NE PRENNENT AUCUNES ACTIONS SUR MON DOSSIER, CE QUI EST POURTANT LEUR TRAVAIL.
SITUATION ACTUELLE
Aujourd'hui, plus de trois mois après mon accident, le sinistre n'est toujours pas clôturé.
Au téléphone, on m'annonce que la situation est la même que la semaine passée car ma demande n'a pas été traité.
ALLEZ VOUS ENFIN PRENDRE DES ACTIONS POUR CLÔTURER CE DOSSIER VIEUX DE PLUS DE TROIS MOIS?</t>
  </si>
  <si>
    <t>04/06/2019</t>
  </si>
  <si>
    <t>alain-v-108358</t>
  </si>
  <si>
    <t xml:space="preserve"> suite à votre demande, veuillez trouver, ci-joint, mon avis je vous informe que je suis satisfait du service et du prix , je recommande direct assurance. </t>
  </si>
  <si>
    <t>amine-baioui95-80609</t>
  </si>
  <si>
    <t xml:space="preserve">j'ai vu plusieur avis negatifs et cela me fais peur car on ma volé ma moto samedi dernier en moins de 10 min j'ai envoyé mon dossier rapidement. j'espere qu'il sera traité convenablement et rapidemant car ma moto etait mon moyen de transport pour le travail. pour l'instant je reste neutre j'attend de voir. car ma moto est tte neuve en plus sorti du concessionaire fin juillet donc j'ai les boule </t>
  </si>
  <si>
    <t>31/10/2019</t>
  </si>
  <si>
    <t>marques-c-111852</t>
  </si>
  <si>
    <t>très satisfaite, les prix sont plus que corrects, efficacité et rapidité.
Très bons renseignements par téléphone et prise en charge rapide, je recommande</t>
  </si>
  <si>
    <t>jbleteint-102695</t>
  </si>
  <si>
    <t>Très cher (510€/an), une bonne bande d'incapables. Sur un sinistre : j'ai la vidéo, on voit le véhicule qui me rentre dedans, avec sa plaque : pour eux, il n'y a pas de  tiers identifié et c'est à moi de payer la franchise de 250€. J'ai 50% de bonus, jamais d'accident. Ils sont  incapables de gérer quoi que ce soit ... on est en  janvier le sinistre à eu lieu en octobre. Passez votre chemin, à moins que vous ne soyez un pigeon.</t>
  </si>
  <si>
    <t>pollatz-j-135987</t>
  </si>
  <si>
    <t>satisfait du service. Rapidité pour l'obtention du contrat. Inscription et devis facile à faire. 
Clareté du contrat et des conditions, signature en ligne facile</t>
  </si>
  <si>
    <t>05/10/2021</t>
  </si>
  <si>
    <t>adrien-b-131528</t>
  </si>
  <si>
    <t>Très correct niveau prix, service ultra rapide :) 
2 eme voiture assuré chez vous et c'est toujours un plaisir! les commerciaux sont toujours dispo et joignable, ça change de certaines compagnie ;) ! 
MERCI :)</t>
  </si>
  <si>
    <t>ilford-104013</t>
  </si>
  <si>
    <t>Je suis très satisfait de ma mutuelle. Aussi bien dans le renseignement téléphonique que par voie postale.
Mon contrat couvre bien la part non remboursé de la sécurité sociale.</t>
  </si>
  <si>
    <t>marine-l-112628</t>
  </si>
  <si>
    <t xml:space="preserve">je suis satisfaite du service client reaction hyper rapide devis fait super vite et si probleme avec voiture reaction rapide equipe au top rien a redire la dessus </t>
  </si>
  <si>
    <t>brunel-f-128757</t>
  </si>
  <si>
    <t>J’suis satisfait de mon contrat. J’espère  bientôt enlever le malus.
Je reste à votre disposition pour tout informations 
Mail: brunel.faustin@gmail.com</t>
  </si>
  <si>
    <t>delli-k-137459</t>
  </si>
  <si>
    <t>Plutôt satisfait des services aux niveaux des tarifs et des prestations proposées par votre compagnie .
Ravie de votre accueil téléphonique.merci beaucoup</t>
  </si>
  <si>
    <t>janiss-64292</t>
  </si>
  <si>
    <t>Pitoyable, refuse second conducteur ma concubine, refuse mes bonus moto. Très couteux, désagréable, agence NATION Paris à éviter. Honteux à ce prix là.</t>
  </si>
  <si>
    <t>29/05/2018</t>
  </si>
  <si>
    <t>figuig35-55493</t>
  </si>
  <si>
    <t xml:space="preserve">bonjour franchement ne vous assuré pas chez matmut aucun service ,sa fait 10 anS  que je suis chez eux aucun problème avec ma voitures zero soucis habitation ,il mon jamais fait un geste commercial niveau accueil zero sur asnières une froideur j'ai jamais vu sa le monde tourne a l'envers nous sommes client il vous parle mal je suis sur asnières sur seine ,j'avais un probleme avec mon compte pour le prélevement je leur explique juste de refaire le prélevement il mon refuser il mon demander de payer la totalité des 6 mois d'assurance ,j'ai rien compris 10 ans d'ancienneté  il mon traité comme un rat mort  je vous le déconseille de vous assurer chez matmut ,ma mère etait chez Macif pendant 30ans rien a dire service au top a l'accueil et au téléphone je suis pas la  pour faire de la pub mais maintenant je vais m'assurer chez Macif  ,si  veulent me contacter mtmut  pas de soucis  </t>
  </si>
  <si>
    <t>20/06/2017</t>
  </si>
  <si>
    <t>bonnie-81148</t>
  </si>
  <si>
    <t xml:space="preserve">Je deconseille ses assureurs ils vous répondent  comme des robots ils s'en fichent de vous l'essentiel pour eux est de prendre des frais ils sont juste la pour ça. Aucun dialogue constructif je trouve pas normale qu'on puisse laisser des assureurs comme ça  qui profite des gens .je regrette de ne pas avoir regarder les avis avant j'ai payé  pour l'année  et comme j'ai eu des soucis de papiers...ils me radient et me remboursent une pacotille car pleins de frais qui vous retiennent .inadmissible !!!pourtant je les ai appelé  plusieurs fois pour leur expliquer, c'est pas leur problème. </t>
  </si>
  <si>
    <t>20/11/2019</t>
  </si>
  <si>
    <t>kylian--92708</t>
  </si>
  <si>
    <t xml:space="preserve">Les prix sont un peut chère pour un véhicule garé en jardin clos avec portail.
Ayant que 5ch fiscaux et 105ch... je vais sûrement me tourner vers un autres assureurs </t>
  </si>
  <si>
    <t>jenny-88094</t>
  </si>
  <si>
    <t xml:space="preserve">Non mais nous ne garantissons pas...  c'est ce que j'entends à chaque fois que j'ai besoin de cet assureur. Même avec les contrats les plus hauts. </t>
  </si>
  <si>
    <t>07/03/2020</t>
  </si>
  <si>
    <t>hamid-124322</t>
  </si>
  <si>
    <t xml:space="preserve">Chaque année le crédit mutuel augmente le tarif de mon assurance habitation. La loi le lui permet sous condition de me notifier cette augmentation 2 mois à l'avance afin de me permettre de résilier mon contrat. 
Sauf que chaque année, le crédit mutuel ne m'envoie aucune notification. 
Pas de courrier postal. Le comble c'est que je chaque année le crédit mutuel affirme le contraire. Il affirme qu'un courrier a bien été envoyé par la poste et que celui-ci ne m'est pas parvenu. Je réside dans mon logement depuis 22 ans et je reçois tous mes courriers. Je n'ai jamais perdu quoi que ce soit sauf ces avis d'augmentation de tarification du crédit mutuel une fois par an. Bizarre ...
Bien sûr le crédit n'apporte aucun élément pour prouver ces envois imaginaires : pas de référence de courrier et encore moins un numéro de suivi de la poste. 
Chaque année je me plains et on me ressort la même explication. 
Un autre argument tout aussi bidon qu'utilise le crédit mutuel pour prouver que j'ai bien été notifié de ces augmentations, c'est le fait qu'un document a été déposé dans mon espace client pour m'avertir des nouveaux tarifs dans les temps réglementaires. 
Sauf que je ne reçois jamais de notification par email pour m'avertir de la mise à disposition du document en question. Du coup chaque année je ne me rends compte de l'augmentation que trop tard. 
Ce qui est étrange c'est que je reçois systématiquement de telles notifications dès qu'un document concernant mon compte bancaire est déposé dans mon espace client mais jamais lorsque les fameux documents qui annoncent une augmentation de mon assurance y sont déposés. Re bizarre ...
Lorsque j'explique cela au crédit mutuel, il fait semblant de ne pas voir la différence entre déposer un document dans un espace client et envoyer une notification. C'est pourtant ce principe qu'utilisent tous les fournisseurs de service que ce soit pour Internet, la téléphonie, et même la banque du crédit mutuel (!)
C'est le plus sérieusement du monde que je suis invité  "à consulter régulièrement mon espace personnel" ... 
J'ai laissé le meilleur pour la fin : lorsque je me connecte sur mon espace client, il est impossible, je dis bien impossible de retrouver le document à partir des différents menus et rubriques qui sont disponibles. J'ai tout essayé et je n'y arrive pas. 
Sur ce point, le crédit mutuel ne m'a jamais répondu. Il fait semblant de ne pas comprendre la question. De toute façon un courrier papier a également été envoyé par la poste ...
Après des dizaines d'emails échangés avec ma conseillère, ma conclusion est que cela n'est plus un problème de défaillance technique ou organisationnelle au niveau de l'assurance habitation du crédit mutuel mais va bien au delà de cela. L'image que le crédit mutuel donne est celle d'une entreprise mal organisée, avec des processus non maitrisés, non conformes à la législation. Une entreprise dans laquelle les conseillers clientèle ne disposent pas d'information correctes et vérifiés et n'ont aucune marge de manoeuvre pour les retrouver ou les valider. Ces pauvres conseillers se retrouvent obligés de donner des explications fausses, incomplètes et à côté de la plaque à leurs clients. Rien ne sert d'insister, le client est d'emblée considéré comme fautif et de mauvaise foi. Vous aurez exactement les mêmes réponse chaque années aussi incongrues et surtout non conformes à la loi soient elles. </t>
  </si>
  <si>
    <t>23/07/2021</t>
  </si>
  <si>
    <t>eustache-a-107998</t>
  </si>
  <si>
    <t xml:space="preserve">je suis satisfait du prix très bien placé je recommanderais votre site .
je ne doute pas que les autres service seront de même qualité 
cordialement Mr eustache </t>
  </si>
  <si>
    <t>25/03/2021</t>
  </si>
  <si>
    <t>william-d-126733</t>
  </si>
  <si>
    <t xml:space="preserve">Je suis satisfait du produit vendu, prix bon marché,
Je recommande vivement cette assurance . Ce n’est pas cher et très bon qualité prix j’espère avoir de bons service </t>
  </si>
  <si>
    <t>05/08/2021</t>
  </si>
  <si>
    <t>coimbra-d-108756</t>
  </si>
  <si>
    <t>Personne très agréable, humaine et bienveillante au téléphone. 
Un service ultra-rapide puisqu'il me fallait une assurance pour le jour même. 
Des prix vraiment abordables.</t>
  </si>
  <si>
    <t>sanza-g-124525</t>
  </si>
  <si>
    <t>Je suis satisfait du prix, ca reste voir comment et votre service.
Simple pour m'inscrire. Je vais recommande ce service a mes proches.
Je souhate faire adhere mon fils.</t>
  </si>
  <si>
    <t>sybau-117389</t>
  </si>
  <si>
    <t xml:space="preserve">depuis mars 2020 nous tentons de faire comprendre a :"CREDIT AGRICOLE ASSURANCE PACIFICA" 94 rue Bergson 42100 saint Etienne que notre assurance caravane est resiliée au 19 février 2020 mais malgré les documents que nous avons fournis( pacifica n'a pas retrouvé les originaux) les prélèvements ont continués et cerise sur le gâteau Pacifica nous met un cabinet de recouvrement sur le dos car nous avons un contentieux  de 74€????????????????
lorsque je téléphone j'ai l'impression d'être prise pour une demeurée  
le suivie des dossiers parait nébuleux et aléatoire </t>
  </si>
  <si>
    <t>17/06/2021</t>
  </si>
  <si>
    <t>petj345-99360</t>
  </si>
  <si>
    <t xml:space="preserve">Je suis satisfait de l'olivier assurance mais je n'ai pas eu de sinistre récent pour juger. je ne parlerai donc que des démarches administratives.
Les plus de l'olivier: les prix proposé c'est indéniable, la rapidité de recevoir une /des offres, la facilité de  l'envoi réciproque des premiers documents. J'ai reçu le jour même de ma décision ma carte verte provisoire pour deux mois.
les moins de l'olivier: Dommage même pour les personnes assurées chez l'olivier pour tous nouveaux contrats ils faut refournir tous les documents (j'ai trouvé çà pénible). Dommage aussi il faut payer deux mois d'avance à la signature suivant le véhicule et le moment ca peut faire une grosse somme. Un fractionnement sur l'année de cette somme serrait je pense le bienvenue.
sinon Rien à redire: rapide, Sérieux, efficace sur le système administratif </t>
  </si>
  <si>
    <t>moumoune-96396</t>
  </si>
  <si>
    <t xml:space="preserve">Très difficile àjoindre, pas le même discours d'une hôtesse à l'autre, les prix ne corespondent pas à se qui a était convenu , aucun rappel lorsqu'on laisse les coordonnées sur la messagerie </t>
  </si>
  <si>
    <t>17/08/2020</t>
  </si>
  <si>
    <t>chantalou-102615</t>
  </si>
  <si>
    <t>Dommage de ne pas pouvoir mettre zéro comme note ! mon mari et moi sommes à cette Mutuelle depuis 10 ans (contrat groupe lorsque mon mari a été à la retraite). Au début cela fonctionnait plutôt normalement, mais depuis 4 ans cela s'est dégradé énormément. Je n'ai pratiquement aucun remboursement depuis 1 an, malgré mes nombreux appels, mails.. jamais la même personne et en plus des délais très longs pour avoir une réponse. On se contente de me dire "je remonte l'information". On me dit qu'il n'y a pas de télétransmission avec la CPAM. Je leur ai déjà envoyé des attestations de droit à 3 reprises en 2020 et le problème est toujours d'actualité. Je demande à parler à un responsable, il n'y en a pas... Hier, on m'a dit que j'étais inconnue au fichier CPAM, ce qui est absolument faux. Du coup, j'ai contacté à nouveau la CPAM hier. Réponse ce jour (et non 2 mois plus tard comme chez Harmonie Mutuelle), c'est à Harmonie Mutuelle d'activer la télétransmission, seuls eux peuvent intervenir.
Bref, Harmonie Mutuelle est à fuir absolument. J'attends mes remboursements et après bien sûr je les quitte !!! Si vous avez de bons retours d'autres Mutuelles, merci de communiquer.</t>
  </si>
  <si>
    <t>maximus1737-58428</t>
  </si>
  <si>
    <t xml:space="preserve">Passez votre chemin.
Contrat souscrit en février 2017 à ce jour je n'ai toujours pas de carte verte. 
L'olivier prétexte des documents manquants ( photocopie permis, carte grise...) a chaque mail c'est un document différent. Bien entendu je leur ai déjà envoyé chacun en triple au munimum par courrier et par mail. 
Nouveauté du jour on me réclame 215 euros de plus pour optenir ma carte verte définitive. Mais en quelle raison?  
Bref il recule l'échéance alors que j'ai payé depuis février et je ne sais toujours pas si mon véhicule est assuré. 
Oubliez donc cet assureur.
</t>
  </si>
  <si>
    <t>30/10/2017</t>
  </si>
  <si>
    <t>coco-113362</t>
  </si>
  <si>
    <t>A FUIRRRRRRRRRRRRR!!!!! Depuis souscription le 30/10/2020 que des problèmes. Envoi des pièces a plusieurs reprises, dossier passe d'un conseiller a un autre sans suivi. Attente interminable au téléphone pour ne pouvoir joindre qu'un télé travailleur qui va transmettre le dossier au service concerné.Incompétence totale.Ai payé une assurance et 3 mois après toujours pas d'attestation ni vignette.............</t>
  </si>
  <si>
    <t>pascal-49558</t>
  </si>
  <si>
    <t>je ne recomande pas groupama ,des prix attractif au depart,puis tous les ans augmentation de 10 pourcent.,garantie moyenne,et le personnel tres désagréable..la pire assurance que j'ai faite</t>
  </si>
  <si>
    <t>25/11/2016</t>
  </si>
  <si>
    <t>01/11/2016</t>
  </si>
  <si>
    <t>anthony-s-106874</t>
  </si>
  <si>
    <t>Simple et pratique. Je fais juste une demande pour la mise en place de mon contrat et je trouve que la procédure est assez simple. Direct Assurance s'occupe des différentes démarches</t>
  </si>
  <si>
    <t>17/03/2021</t>
  </si>
  <si>
    <t>lefranc-57274</t>
  </si>
  <si>
    <t xml:space="preserve">Tres bonne assurance tres arengante et plus humaine que certaine ayant pignon sur rue ! Le service y est rapide et facile surtout. Juste bemole la ligne gratuite pour les joindres est un peu long à répondre mais cela reste raisonnable. </t>
  </si>
  <si>
    <t>ricosse-p-113755</t>
  </si>
  <si>
    <t>je suis satisfait du service et les prix me conviennent. en revanche le fait d'être obligé d'écrire le commentaire est quelque peu embêtant mais rien de grave</t>
  </si>
  <si>
    <t>14/05/2021</t>
  </si>
  <si>
    <t>geraldine-101913</t>
  </si>
  <si>
    <t>Impossible de les joindre par téléphone, plus de 30 mn d'attente et rien
Site internet ne fonctionne pas, d'où le numéro spécial? 
Ne recommande absolument pas. Honteux</t>
  </si>
  <si>
    <t>28/12/2020</t>
  </si>
  <si>
    <t>chorfi-c-107864</t>
  </si>
  <si>
    <t>5 étoiles à tout, parfait je recommande très bien renseigné personne professionnelle, je le recontacterai comme convenu pour d'autres véhicules, merci à Suleiman</t>
  </si>
  <si>
    <t>julie-71440</t>
  </si>
  <si>
    <t>J'ai souscrit chez Santiane le 12/02/19 ... et vite résilié pendant qu'il en était encore temps (délai de rétractation de 14 jours) ils cherchent à vous amadouer avec un tarif qui vous correspond même si les garanties de ne vous correspondent pas exactement (plein de blablas et de belles promesses)   suite à ça, j'ai contacté mon assureur auto qui a repris leur contrat (garanties) il m'a dit qu'elles étaient inférieures  à ce que je souhaitais réellement et m'a fait constater qu'ils m'avaient fait souscrire une prévoyance santé, chose que je n'ai jamais demandé. Lorsque j'ai posé la question au commercial de santiane, il n'était plus du tout clair et je me suis faite avoir dans la précipitation, bah oui, il fallait signer le contrat vite vite.</t>
  </si>
  <si>
    <t>19/02/2019</t>
  </si>
  <si>
    <t>garibaldi-113503</t>
  </si>
  <si>
    <t>j attend depuis 2 mois 2 remboursements de 30 euros chacun impossible de les joindre au telephone,c est une honte en mars 2021 je change de mutuelle pour une autre plus competente CECEMA ......A FUIR</t>
  </si>
  <si>
    <t>12/05/2021</t>
  </si>
  <si>
    <t>bedisse-k-128715</t>
  </si>
  <si>
    <t>Je suis satisfait de la qualité-prix service , je recommande directe assurance les yeux fermés qualité et tarifs à prix très attractifs.!!!!!!!!!!!!!!!</t>
  </si>
  <si>
    <t>paltsou-c-110524</t>
  </si>
  <si>
    <t xml:space="preserve">je suis satisfaite de la relation client ; mon interlocuteur a été très clair et précis ;il a répondu à mes questions et m a aidé à faire les bons choix , prix dans la moyenne </t>
  </si>
  <si>
    <t>15/04/2021</t>
  </si>
  <si>
    <t>lionel-f-109055</t>
  </si>
  <si>
    <t>Clair net et précis, site de qualité, nombreuses options proposées, devis et souscription très rapide, je suis très satisfait de cette transaction. Merci.</t>
  </si>
  <si>
    <t>benoit-62038</t>
  </si>
  <si>
    <t>Je suis très déçu par la Macif (mon assureur depuis 20 ans, auto, habitation...). J'ai pris une option l'année dernière pour assurer mes appareils mobiles, et aujourd'hui ils refusent le dédommagement d'un vol sous prétexte d'une clause d'exclusion dans les conditions particulières, qui sont constables uniquement...en agence! (alors que j'ai souscrit cette assurance au téléphone, et que sur leur site internet ne sont disponibles que les conditions générales, avec des exclusions déjà très précises..) c'est limite de la malhonnêteté...</t>
  </si>
  <si>
    <t>06/03/2018</t>
  </si>
  <si>
    <t>alexandraannonier-52517</t>
  </si>
  <si>
    <t>Je reçois aujourd'hui un courriel qui m'indique que je suis obligée de les rembourser de 34.70 euros, plus de 7 mois après ma résiliation suite à un changement de statut pro ! Je n'ai jamais reçu aucun courrier de leur part en amont m'expliquant le pourquoi du comment je devais cette somme et quand j'essaye de joindre leur SAV hotline, on me raccroche au nez systématiquement après plus de 3 min d'attente surtaxées ! ON MARCHE SUR LA TÊTE ! A fuir !</t>
  </si>
  <si>
    <t>17/02/2017</t>
  </si>
  <si>
    <t>marvin-l-126986</t>
  </si>
  <si>
    <t>Je suis content merci j'espère payer moins chère au fil du temp
J'aimerais par la suite souscrire une assurance RC PRO chez vous car je  vais monter une société de transport</t>
  </si>
  <si>
    <t>07/08/2021</t>
  </si>
  <si>
    <t>thierry-r-102858</t>
  </si>
  <si>
    <t>efficacité et rapidité de résultat. Notre objectif de prix est respecte ce que nous souhaitions avant tout. merci de votre travail. Nous le faisons savoir autour de nous.</t>
  </si>
  <si>
    <t>19/01/2021</t>
  </si>
  <si>
    <t>endi-85614</t>
  </si>
  <si>
    <t>Bonjour,
J'ai fait une souscription chez vous et je vous ai communiqué l'ensemble des documents demandés.
J'ai payé par carte bancaire directement en ligne et le paiement est bien passé.
Par contre, je n'ai toujours pas reçu la carte verte définitive malgré tous ces éléments. Mon ancienne assurance vous a même contacté pour répondre à vos questions parce que vous ne vouliez pas le faire.
Lors de mon dernier échange téléphonique avec vous il y a 2 jours, vous m'avez dit que le dossier pouvait maintenant être finalisé suite à leur appel, et qu'on allait revenir vers moi pour finaliser le dossier.
Je ne trouve quand même pas ça normal de vous courir après alors que je suis nouveau client chez vous.
De plus, je n'arrive même plus à accéder à mon espace client sur le site Active Assurances. En effet, j'ai un message d'erreur qui stipule que le numéro de client n'existe pas!
Le service client me donne à chaque fois une réponse différente et j'avoue que je suis complètement perdu!</t>
  </si>
  <si>
    <t>07/01/2020</t>
  </si>
  <si>
    <t>dede-61818</t>
  </si>
  <si>
    <t xml:space="preserve">suite a un degat des des eaux en decembre 2017 la maaf deborder a confier a un tiers de gere    ces sinistre  devis refuser artisan qui travaille pour eux ex poser toile de verre a 3 euros du m?  sur un devis  a 1950e estime par eux a 700e  </t>
  </si>
  <si>
    <t>27/02/2018</t>
  </si>
  <si>
    <t>bruno-j-105367</t>
  </si>
  <si>
    <t>Les prix me conviennent.
Des pb dans l'interface : comment fait-on quand on vend sa voiture ?
Des pb dans le chat : on fait semblant que c'est "en direct" et on vous répond "ya personne"</t>
  </si>
  <si>
    <t>hamidi-m-109469</t>
  </si>
  <si>
    <t>Je suis satisfait du service l'oliver l'assurance ainsi que leurs prix qui sont imbattables et en accord avec ma renault modus qui m'a permis d'économiser.</t>
  </si>
  <si>
    <t>patrice-l-126557</t>
  </si>
  <si>
    <t xml:space="preserve">Je suis ravis du contrat d'assurance que j'ai reçu très bonne accueil de la part de la personne u pour me proposer le contrat je vous en remercie beaucoup </t>
  </si>
  <si>
    <t>nathalie-c-126181</t>
  </si>
  <si>
    <t>Très satisfaite du service le prix me convient. on peut souscrire très facilement. Tu t'es fait en ligne elle reçoit nos papier provisoire directement par mail.merci</t>
  </si>
  <si>
    <t>03/08/2021</t>
  </si>
  <si>
    <t>zeff-75296</t>
  </si>
  <si>
    <t>une bonne écoute avec mon interlocutrice au téléphone, performance qualités prix c'est pour moi,</t>
  </si>
  <si>
    <t>23/04/2019</t>
  </si>
  <si>
    <t>amir949k-96205</t>
  </si>
  <si>
    <t xml:space="preserve">à eviter  j'était assuré comme jeune conducteur chez direct assurance  avec  Assurance connectée YouDrive soit disant il vaut fait gagner jusqu'a 50% de réduction, c'est totalement faux pendant le confinement j'ai pas roulé et ils ne m'ont  remboursé que 5€ sur une assurance qui ma couté 650€ sous prétexte que j'ai pris un virage trop vite ,  à éviter  </t>
  </si>
  <si>
    <t>12/08/2020</t>
  </si>
  <si>
    <t>thierry-m-127269</t>
  </si>
  <si>
    <t xml:space="preserve">Le site va vite c’est cool impeccable facile à naviguer facile pour assurer un véhicule je conseil fortement en 10 minute c’est régler cordialement monsieur Pichard Guillaume </t>
  </si>
  <si>
    <t>09/08/2021</t>
  </si>
  <si>
    <t>mohamed-k-129973</t>
  </si>
  <si>
    <t xml:space="preserve">Bonne Réactivité se déplace jusqu’à chez vous pour vous assurer avec toute les garantie qu’ils faut.
Une confiance totale.
Je recommande vivement Mapa.
Merci 
</t>
  </si>
  <si>
    <t>Mapa</t>
  </si>
  <si>
    <t>multirisque-professionnelle</t>
  </si>
  <si>
    <t>philis-54920</t>
  </si>
  <si>
    <t>vraiment déçu, plus de 10 jours pour répondre à un mail, du mal à les avoir au téléphone (30 min d'attente minimum), assurance de plus en plus chère, j'attends depuis 15 jours mon relevé d'information. Il était temps que j'aille voir ailleurs</t>
  </si>
  <si>
    <t>26/05/2017</t>
  </si>
  <si>
    <t>le-rolland-e-124710</t>
  </si>
  <si>
    <t xml:space="preserve">J ai entendu une amie au travail venter la qualité de vos services.
Ni une ni deux je n ai pas longtemps réfléchi pour venir vers vous lors de l achat de ma nouvelle voiture </t>
  </si>
  <si>
    <t>reda-c-130182</t>
  </si>
  <si>
    <t xml:space="preserve">Je suis satisfait du tarif proposé sur le site internet . Tout risque avec pack tranquillité  et un service téléphonique au top . Je recommande vivement </t>
  </si>
  <si>
    <t>phipri-127498</t>
  </si>
  <si>
    <t>Coté tarif, ça m'a changé la vie (nous sommes 4 a  y être assuré), côté remboursements classiques (pharmacie, consultations..) parfait, rapide. Côté remboursements particuliers c'est une bataille. Seul moyen de communiquer, les mails (faut en envoyer plusieurs de rappel) et le téléphone, leur site n'étant absolument pas utile pour toute réclamation ni envoie de documents pour être rembourser, juste utile pour savoir si un remboursement est en cours ou non ou s'il a eu lieu.
aujourd'hui, j'ai eu Georges au tel pour un soucis de prélèvement erroné, très aimable, à l'écoute et a su répondre à mes demandes.</t>
  </si>
  <si>
    <t>jamy-66450</t>
  </si>
  <si>
    <t xml:space="preserve"> j'ai fait réparer en Octobre 2018. un dégât des eaux qui à durer peut  être 6 mois un an ou plus comment savoir , situé derrière une trappe  . Ce dégats des eaux à pour origine le tuyau d'arrivé d'eau  
ce qui à provoquer maintes moisissure . situé sous une trappe derrière une cloison donc difficile à percevoir . La Maif fait venir un expert en Février 2019 qui conteste que les moisissures sont dues au dégâts des eaux et sont plus anciennes Cela fait 20 ans que mon habitation est assurée à la MAIF . Et il veulent reprendre la somme mirobolante et extraordinaire de 125 Euros qu'ils m'ont avancé
  Vraiment Militant et  la MAIF mais avec qui     </t>
  </si>
  <si>
    <t>25/02/2019</t>
  </si>
  <si>
    <t>gice-50829</t>
  </si>
  <si>
    <t>les tarifs oui mais je suis toujours dans l'attente de ma réduction pour parrainage ,,,,,,,,,
hé bien oui j'ai parrainé ma fille en avril 2020 et rien nada wahlou !</t>
  </si>
  <si>
    <t>lauvergnat-h-107231</t>
  </si>
  <si>
    <t>Je suis satisfait car cette méthode est simple et pratique. Les prix de l'assurance automobile  sont plutôt intéressant avec des personnes réactives et compétentes.</t>
  </si>
  <si>
    <t>Une honte. Une assurance sans foi ni loi.  
Suite à un Sinistre habitation que la banque refuse de reconnaître, ils refusent aussi de fait l assurance emprunteur. La situation dégénère de jour en jour. Nous perdons tout. Ils ne reagissent pas 
Monsieur le Directeur General region Centre.
Comme prévu, et en toute logique, la situation dégénère d heure en heure. 
À la rue donc frais supplémentaires,
En dépression, donc plus de travail.
Plus de travail, plus de possibilité de combler le compte.
Les prélèvements de crédits ne sont plus pris en charges.
Nous avons eu la bonne idee de tout centraliser au CREDIT mutuel.
Tous nos comptes y compris pro se bloquent au fur et à mesure, plus aucun prelevement ne passe. Donc l'EDF va venir enlever les compteurs. 
AXA n est plus payé non plus, donc plus de voitures, plus rien d autres n est assuré, 
La boutique non plus.donc nous allons devoir la fermer. 
L agent local Axa tente de nous, avec les autres commerçants.
En fait, nous sommes en train d être étouffés chaque jour un peu plus.
Et vous? 
Aucune nouvelle.</t>
  </si>
  <si>
    <t>16/06/2017</t>
  </si>
  <si>
    <t>pouche-98561</t>
  </si>
  <si>
    <t>Direct assurance Spécialisé en automobile. Qualité prix corrects et compétitifs selon certains véhicules, moins intéressant sur certaines autres contrats.</t>
  </si>
  <si>
    <t>09/10/2020</t>
  </si>
  <si>
    <t>brazy-136924</t>
  </si>
  <si>
    <t>Suite a un problème de connexion,                   
 j ai eu « Abo » au téléphone et m'a résolu mon problème en quelques minutes
Efficace et très poli</t>
  </si>
  <si>
    <t>mammeri-a-107997</t>
  </si>
  <si>
    <t xml:space="preserve">Je suis très bien servi merci a vous est à votre équipe j'espère que cela va continuer et que nous serions tous le temps satisfait cordialement monsieur Mammeri Ali </t>
  </si>
  <si>
    <t>modus-68014</t>
  </si>
  <si>
    <t xml:space="preserve">Conseillers incompétents, modifications de contrat non prises en compte, Une semaine de délai pour rajouter un conducteur secondaire au contrat (pour un autre véhicule assuré auprès d'une autre compagnie cela a été immédiat !) bref j'arrête là la liste des griefs. Fuyez cette compagnie. </t>
  </si>
  <si>
    <t>24/10/2018</t>
  </si>
  <si>
    <t>danydou-98619</t>
  </si>
  <si>
    <t xml:space="preserve">Gestion du sinistre chaotique: cabinet d'expertise incompétent (mélange des dossiers) du grand n'importe quoi. Conseillers injoignables...
Indigne d'une assurance digne de ce nom. </t>
  </si>
  <si>
    <t>11/10/2020</t>
  </si>
  <si>
    <t>marina-63659</t>
  </si>
  <si>
    <t xml:space="preserve">Je vous déconseille vivement cette assurance.
Nous avions sur conseils de notre banque ouvert deux assurances chez Pacifica, habitation et auto, nous décidons en octobre dernier de résilier notre contrat habitation. Commencèrent alors tous nos problèmes. 
Pacifica arrête de prélever sans raison et en janvier nous informe que si nous ne payons pas 400€ ils résilient le contrat. Nous payons. Avant la fin du mois nous avons un accident, nous contactons Pacifica et là ils nous informe que notre contrat a été résilié car nous n'avions pas payé les 400€. Malgré toutes les preuves Pacifica refuse de nous assurer. Dans la foulée ils nous envoient une lettre de résiliation. 
Nous contactons notre banque qui nous assure à nouveau chez Pacifica, mais cette fois selon la banque, nous devrions anticiper chaque fois 3 mois.
Nouvelle surprise, lors du premier prélèvement, Pacifica nous prélève 6 mois au lieu de  3, nous les contactons mais ils disent que c'est comme ça et même si c'est écrit dans le contrat qu'ils devaient prélever trois mois, ils ne peuvent rien faire.
Il ne nous reste qu'à les dénoncer partout où nous pourrons. </t>
  </si>
  <si>
    <t>30/04/2018</t>
  </si>
  <si>
    <t>lilou-89448</t>
  </si>
  <si>
    <t xml:space="preserve">en Novembre dernier j'ai souscrit une A.V. "Rente4life" avec rentes garanties. L'assureur m' enlève des parts sans aucune explications. En plus des frais trimestriels  ils me prélèvent des frais mensuels de 1307€ pour une capital versé de 170 000€. Je n'ai pas de réponse à ma demande d'explication sur ce prélèvement mensuel. De plus je pense avoir été très mal conseillé, on a bien insisté sur les rentes garanties à vie mais beaucoup moins sur ce que cela allait me coûté. Quelqu'un est-il dans le même cas? </t>
  </si>
  <si>
    <t>08/05/2020</t>
  </si>
  <si>
    <t>albarao-c-133770</t>
  </si>
  <si>
    <t>Un paiement en deux ou trois fois par Carte Bancaire serait un plus pour les formules annuels lorsqu'elle sont imposés 
Très très bon service commercial au téléphone! Rassurant !</t>
  </si>
  <si>
    <t>marion-136631</t>
  </si>
  <si>
    <t xml:space="preserve">Jamais couvert quand le sinistre survient. 
Cela tombe toujours à côté et vous n'êtes jamais indemnisé. Et pourtant on paye, on paye, on paye ses primes pour rien somme toute ou juste pour être en règle avec la loi.
Je vais donc transférer tous mes contrats souscrits auprès d'AXA chez un autre assureur. </t>
  </si>
  <si>
    <t>08/10/2021</t>
  </si>
  <si>
    <t>alain-v-122047</t>
  </si>
  <si>
    <t>Je suis satisfait des prestations de la GMF, j'ai ,un sinistre en cours dont je n'ai pas eu de réponse: forçage d'un verrou de porte d'entrée chez mon fils à maisons alfort. (mandataire pour ses affaires)</t>
  </si>
  <si>
    <t>ferhane-d-115228</t>
  </si>
  <si>
    <t xml:space="preserve">Je suis satisfait pour l'inscription. Rapide et efficace. Reste plus qu'à attendre la carte verte définitive avec impatience afin d'etre couvert et rouler l'esprit libre. </t>
  </si>
  <si>
    <t>28/05/2021</t>
  </si>
  <si>
    <t>martine--p-132948</t>
  </si>
  <si>
    <t>Excellent service client, à l'écoute, rapide et efficace. Les réponses apportées sont utiles et correspondent au besoin. Je recommande AMV également pour ses tarifs tout à fait corrects</t>
  </si>
  <si>
    <t>clotildery-55992</t>
  </si>
  <si>
    <t>Très difficile d'obtenir son assurance vie pour ma part je galère depuis 13 mois depuis la mort de ma mère, mes frères aussi.</t>
  </si>
  <si>
    <t>huget-c-116094</t>
  </si>
  <si>
    <t xml:space="preserve">Je suis satisfait du service très rapide est à conseiller à tout le monde un ami à moi me l'a conseillé est je ne suis pas déçu de cette assurances.. </t>
  </si>
  <si>
    <t>05/06/2021</t>
  </si>
  <si>
    <t>zirick-88947</t>
  </si>
  <si>
    <t>Efficace et pas cher, et non, cette fois ci c'est L'olivier Assurance. De plus leur service client est super aimable.</t>
  </si>
  <si>
    <t>17/04/2020</t>
  </si>
  <si>
    <t>jm-102214</t>
  </si>
  <si>
    <t>Pour un  recevoir   un conseil    ...   il prefere la communication tv   ...  mais  c ' est pas la Maaf que je prefere  ... avec cette jolie choré....</t>
  </si>
  <si>
    <t>05/01/2021</t>
  </si>
  <si>
    <t>salliou-a-113306</t>
  </si>
  <si>
    <t>Pour un jeune conducteur je trouve que les prix et les services donner par olivier assurance sont vraiment bon. Je conseille fortement cette asuurance a direct assurance qui propose les meme services mais plus cher.</t>
  </si>
  <si>
    <t>10/05/2021</t>
  </si>
  <si>
    <t>pippa-57189</t>
  </si>
  <si>
    <t>J'ai pensé il y a quatre ans trouvé le remplacement de mon ancienne mutuelle de mon employeur, aujourd'hui je suis très déçue augmentation de 300 euros car on dépasse La soixantaine, le site est pratique mais la réponse est longue trop longue et puis aucun effort pas d'humanité les profits à tout prix ( pub à la tv c'est nous qui payons!!!!)
Des réponses insipides à croire qu'ils ne lisent pas nos mails, ils répondent pour vous demander plus de docs mais lorsque vous chercher à les joindre pour discuter par exemple des tarifs et revoir votre contrat plus personne!!! je suis très en colère car j'ai un dossier dentaire en cours et très mal reçue!!!
je ne laisse pas mes coordonnées car tout ce que j'avance a déjà été dit soit par mail soit dans mes appels ( quand suis arrivée à les joindre)</t>
  </si>
  <si>
    <t>08/09/2017</t>
  </si>
  <si>
    <t>nicole-l-114547</t>
  </si>
  <si>
    <t xml:space="preserve"> même plus que satisfaite franchement. 
Simple, rapide,et efficacité plus plus merci beaucoup pour le service que vous nous apporter.
Les conseillers sont à notre écoutent et cela pour moi est très important. </t>
  </si>
  <si>
    <t>22/05/2021</t>
  </si>
  <si>
    <t>deprez-j-139594</t>
  </si>
  <si>
    <t>je trouve que le tarif un peu cher  au vu des deux contrat chez vous, merci de revoir vos tarifs pour l'année a venir. Merci de faire le nécessaire. Cordialement</t>
  </si>
  <si>
    <t>14/11/2021</t>
  </si>
  <si>
    <t>papy-116115</t>
  </si>
  <si>
    <t>depuis plus de 30 ans très bien sous tous rapports ( conseils, remboursements, prix ,disponibilité ) 10sur10 pour moi je recommande ! comme assureur (auto ,habitation ,santé )</t>
  </si>
  <si>
    <t>06/06/2021</t>
  </si>
  <si>
    <t>eric-103755</t>
  </si>
  <si>
    <t xml:space="preserve">Je suis adhérent  depuis plus de vingt années. 
Très bonne mutuelle.
Réactive et au service de ses adhérents,  lors des contacts et échanges téléphonique.
Continuez.
</t>
  </si>
  <si>
    <t>cec006-75706</t>
  </si>
  <si>
    <t>Ils sont incompétents, perdent les documents et refusent de rembourser...les longues minutes d'attente au téléphone s'ajoutent a la nullité des personnes qui vous répondent...bref une mutuelle lamentable</t>
  </si>
  <si>
    <t>07/05/2019</t>
  </si>
  <si>
    <t>samira-54037</t>
  </si>
  <si>
    <t>Je suis azmine samira, assurée chez direct assurance, le 27 novembre 2016, j'ai eu un accident de voiture, une personne alcoolisé et non assuré m'est rentré à l'arrière provoquant des dégâts matériels sur mon véhicule à l'arrière comme à l'avant ( avec le choc j'ai été projeté ). Les forces de police ( la gendarmerie ) sont intervenus et ont établi un procès verbal. Le 20 décembre 2016 mon véhicule est passé sous les mains de l'expert et à établir des réparations à hauteur de 2066 euros . Ouf enfin je vais pouvoir réparer mon vehicule et partir travailler avec. Hé bin non!!! Depuis le mois de décembre mon véhicule est non roulant, au garage et à contrario depuis plus de 4 mois je suis prélevé mon adorable compagnie tout les mois en temps et en heure. Quand je les ai au Telephone pour savoir ce qu'il en est, j'ai pour seule réponse : " je vous comprend mais faut attendre la compagnie adverse qu'elle nous réponde" attendre combien de temps? Bin attendre un mois pour qu'il nous réponde sinon on les relance et attendre encore un mois . Sachant que depuis plus 4 mois direct assurance les à relancer que 2 fois !!!! À croire que c'est à nous de faire leur travail. Faut imaginer il est vrai que pour une compagnie aussi importante que direct assurance débloquer 2066 euros à une de leur assurée victime leur provoquerait faillite ! "J'en suis désolée et je vous comprend!" Ancienne assurée depuis plus de 10 ans chez la maaf, je regrette amèrement cette compagnie et ce qui est sur est qu'à l'heure actuelle je ne recommande direct assurance à personne, juste pour faire une économie de quelques euros, cela n'en vaut vraiment pas la peine. Bien entendu, si j'avais les fonds, je leur aurait avancer moi même en attendant qu'il me rembourse .... mais étant mère célibataire, enfant en bas âge, vivant et travaillant en région parisienne cela m'est invivable. Mais heureusement pour moi, j'ai la compréhension de mon adorable compagnie, quelle empathie !!! Soyons sérieux je suis tout de même ahurie par le mépris et le silence qu'une compagnie aussi importante puisse apportée à ses assurées tout cela dans le principal objectif, ne pas payer ! Mais pour les prélèvements ils sont présent. MERCI DIRECT ASSURANCE!!!</t>
  </si>
  <si>
    <t>12/04/2017</t>
  </si>
  <si>
    <t>fanny-l-130000</t>
  </si>
  <si>
    <t xml:space="preserve">Le tarif est très intéressant mais je souhaiterais êtres contacter car j'ai mis en remplacement d un véhicule mais ayant déjà payé le mois passé et que mon véhicule et état vendu en début de mois ,et qu'on me fais payer 2 mois d avance je ne comprend pas </t>
  </si>
  <si>
    <t>kennykaine-66816</t>
  </si>
  <si>
    <t xml:space="preserve">J’ai souscrit un contrat d’assurance automobile chez eux. J’ai renvoyé tous les documents nécessaires excepté mon permis de conduire car j’etais en train de le refaire, preuve de dépôt de dossier à la préfecture.
Ils me relancent plusieurs fois et à chaque fois je leur répond, preuve de mail,  que dès que j’aurai le permis en ma possession je leur ferai parvenir. 
La semaine dernière je suis victime d’un accident de la route, après 10 bonnes minutes d’attente au téléphone, mon interlocutrice me signale que mon contrat est résilié depuis 3 semaines. Je n’ai reçu ni mail ni recommandé pour me signifier cette résiliation. La prime d’assurance a été encaissée par active assurance . J’ai rendez vous demain avec mon avocat. Si plusieurs personnes sont dans mon cas et veulent se joindre à moi. Contactez moi. </t>
  </si>
  <si>
    <t>14/09/2018</t>
  </si>
  <si>
    <t>covaciu-f-130133</t>
  </si>
  <si>
    <t xml:space="preserve">Je suis très content de avoir rencontré Olivier assurance, toujours au top rien a dire , l’assurance est pas cher , superbe accueil, au téléphone super </t>
  </si>
  <si>
    <t>sunshine-86950</t>
  </si>
  <si>
    <t xml:space="preserve">Cocoon m'a radié le jour de ma souscription à mon insu. Je m'en apercois par hasard deux semaines après. Réclamation depuis 1 semaine, j'appelle plusieurs mais même discours cela va être traité, delais interminables et toujours repoussés. Dossier toujours pas mis à jour. Toujours pas accès aux remboursements depuis 3 semaines. </t>
  </si>
  <si>
    <t>10/02/2020</t>
  </si>
  <si>
    <t>visser-v-132648</t>
  </si>
  <si>
    <t xml:space="preserve">devis et signature rapide, maintenant on peut profiter de cette assurance, espérent que nous n'avons pas besoin, facile a souscrire rapide et efficace  </t>
  </si>
  <si>
    <t>nasser-h-108504</t>
  </si>
  <si>
    <t>J'ai eu 2 sinistres ou je n'étais pas mis en cause et aucun suivi de dossier, je change d'assurance dés le prochain renouvellement de contrat !
La premiere fois le conseiller me dis de ne pas porter plainte que cela ne donnera aucune suite, et la seconde fois j'ai eu 1 appel et puis plus jamais recontacté, et à chaque fois que j'essaye de les contacter je met 20min à attendre sans avoir de réponse !</t>
  </si>
  <si>
    <t>verma9269-63038</t>
  </si>
  <si>
    <t>Ma mutuelle d’entreprise a pris fin le 31 mars et Axa a tout de suite pris le relais, mais Génération tarde à dénotifier ma caisse CPAM et tous mes remboursements sont bloqués. J’ai fait les démarches via leur formulaire en ligne...toujours pas de nouvelles. Encore bloqué au niveau CPAM et Axa... comme quoi, c’est obligatoirement le bordel de changer de mutuelle même quand on s’y prend en avance, c’est grave.</t>
  </si>
  <si>
    <t>07/04/2018</t>
  </si>
  <si>
    <t>liudmila81-87949</t>
  </si>
  <si>
    <t>En réclamation depuis presque un mois sur la facture de l'orthodontie adulte refusée par la SECU, j'ai enfin réussi à avoir quelqu'un pou m'informer que je n'avais pas envoyé de facture. Et ceci malgré le fait que la lettre AR avec celle-ci a été réceptionnée par eux le 06/03/20, 3 mails via le site ont été reçus également (j'ai les accusés de réception) et 3 appels où les conseillers confirment d'avoir transféré la facture au service concerné. Un circle vicieux, ils me la demande, je la renvoie et il disent que non. Je ne conseille pas, absolument à éviter. La concurrence des assurance étant très rude, vous pouvez trouver un meilleur deal. Le prix n'est trop cher pour absence du service derrière.</t>
  </si>
  <si>
    <t>11/03/2020</t>
  </si>
  <si>
    <t>jean-luc-r-124046</t>
  </si>
  <si>
    <t>rapide, pratique
prix interessants
pas de demarches fastidieuses et ils s'occupent de tout, je recommande vivement Direct Assurances pour habitation et véhicule</t>
  </si>
  <si>
    <t>diazbrigida-53174</t>
  </si>
  <si>
    <t>très mauves service, depuis 2015 que nous sommes clientes et aucun remboursement pour les 7 personnes inclus, double charge, le payement mensuel de mutuel plus les frais médical, a quoi ça sert?</t>
  </si>
  <si>
    <t>11/03/2017</t>
  </si>
  <si>
    <t>01/03/2017</t>
  </si>
  <si>
    <t>bribi-62232</t>
  </si>
  <si>
    <t xml:space="preserve">Je recherche une mutuelle senior. Le commercial m’a envoyé une formule non senior ! le tarif couple proposé est plus cher de 5€ parce que plus âgé de deux ans. Les explications ne sont pas données au téléphone et lorsque j’en demande on me répond sur un ton excédé. On m’a raccroché au nez à 18h jeudi dernier après 19mn d’attente au lieu de 5mn annoncées. C’est odieux ???? Mon commercial ne me rappelle pas. </t>
  </si>
  <si>
    <t>12/03/2018</t>
  </si>
  <si>
    <t>anais-maia--108436</t>
  </si>
  <si>
    <t xml:space="preserve">Bonne mutuelle mais qui malheureusement ne prend pas en charge les frais au niveau des médecines douces, psy... La prise en charge au niveau optique est aussi faible même si je relève mon niveau de garantie. </t>
  </si>
  <si>
    <t>latchimeng-63231</t>
  </si>
  <si>
    <t>Très bon accueil téléphonique, personnel agréable etrde bons conseils........</t>
  </si>
  <si>
    <t>bibi47-57869</t>
  </si>
  <si>
    <t>Dommage que l'on ne pense qu'aux nouveaux assurés pour leur faire cadeau de certains mois d'assurance</t>
  </si>
  <si>
    <t>20/09/2018</t>
  </si>
  <si>
    <t>guibout-e-130207</t>
  </si>
  <si>
    <t>Je suis satisfaite des services pour l’instant.
L’accueil et les commerciaux sont agréables et compétents, les tarifs sont abordables. Je recommande a 100%.</t>
  </si>
  <si>
    <t>thomas-a-124807</t>
  </si>
  <si>
    <t xml:space="preserve">Très satisfaite de cette assurance à voir si j’ai un souci un jour j’espère que tout ce passera comme dans les publicités que l’ont peu voir partout. </t>
  </si>
  <si>
    <t>pilou80-91420</t>
  </si>
  <si>
    <t>Adhérent  chez intériale et fonctionnaire de l'état depuis 35 ans voilà ce qui m'arrive. Depuis 18 mois, je suis en arrêt de travail pour "des pathologies" graves. Le 12 décembre 2019 mon emlpoyeur me plaçait en disponibilité d'office "pas d'avis" donc illégale. Ayant souscrit une prévoyance et oui 183 euros de de cotisation, j'ai fourni tous les documents demandés. Depuis le mois d'avril Rien aucune réponse si ce n'est une mise en attente. Aujourd'hui et grâce à cette mutuelle je suis INTERDIT BANCAIRE, je fais l'objet de menaces de saisies de la part de mes créditeurs et le pompon, je ne touche aucun centimes puisque tout est prélevé par ma banque pour couvrir les découverts. Depuis le mois d'avril, je ne mange que des pâtes grâce à cette mutuelle et le pire c'est que je ne peux lus me soigner. Après maints appels et discussions stériles, je me demande si une plainte envers cette mutuelle serait susceptible de la faire bouger?</t>
  </si>
  <si>
    <t>lapeyre-m-113916</t>
  </si>
  <si>
    <t>je suis satisfait de l'assurance. le prix et l’accueil téléphonique. Les garanties proposées et la facilitée de finalisé mon dossier. Je recommande l'olivier asssurance tous ceux qui ont des difficultées a s'assurer.</t>
  </si>
  <si>
    <t>mary-103610</t>
  </si>
  <si>
    <t>Mepris total de l'assuré , aucun interlocuteur par sociétaire. J'ai eu un dégat des eaux  non responsable, au mois de mai, impossible d'obtenir l'indemnisation prévue et malgré de nombreux appels aucune information.On a l'impression que l'assureur est l'expert de la compagnie et que si on conteste son indemnisation , il vous ignore et ne peut remettre son évaluation en question même si la partie adverse accepte une indemnisation supérieure. Seule solution, le proces</t>
  </si>
  <si>
    <t>03/02/2021</t>
  </si>
  <si>
    <t>rafael-c-123642</t>
  </si>
  <si>
    <t>Bon prix, à voir avec le temps si c'est une bonne assurance ou pas. J'espère pas me tromper et payer des centaines d'euros pour rien dans la nature haha</t>
  </si>
  <si>
    <t>16/07/2021</t>
  </si>
  <si>
    <t>lasnegras-69616</t>
  </si>
  <si>
    <t>Bonjour,
je suis très satisfaite des prestations et de la qualité  du service client, aucuns soucis de remboursements qui se font rapidement et que je reçois régulièrement dans ma boîte mail. Les conseillers en ligne sont généralement agréables et de bons conseils.
Cordialement</t>
  </si>
  <si>
    <t>pissenlit1er-72309</t>
  </si>
  <si>
    <t>N'assure pas contre le vole sous prétexte de son age.?</t>
  </si>
  <si>
    <t>annouchka-80207</t>
  </si>
  <si>
    <t>Très bon contact avec Gwendal, très bien expliqué.</t>
  </si>
  <si>
    <t>18/10/2019</t>
  </si>
  <si>
    <t>mora-m-126431</t>
  </si>
  <si>
    <t xml:space="preserve">Satisfaite de la facilité d’utilisation et de souscription en ligne. Pour le moment, je recommande votre assurance dans l’attente de voir la réactivité et la suite des événements </t>
  </si>
  <si>
    <t>patrice-99027</t>
  </si>
  <si>
    <t xml:space="preserve">J avais une assurance vie chez eux qui se terminait au mois de mars 2020...  Quelques années que je n avait plus payer.... Mais je me dis que je peux récupérer un peu de sous.... Et bien. Réponse.. Non. C était une assurance décès.... Et malheureusement.. Je suis pas decede avant 2020... Donc. J ai droit à rien.... Et même pas de détails. Comme j étais jeune a l époque du contrat... 40 ans après. Je ne me souviens plus des sommes versée...  Donc.... Liser bien entre les virgules quand vous signer chez eux... </t>
  </si>
  <si>
    <t>21/10/2020</t>
  </si>
  <si>
    <t>kevin-l-123513</t>
  </si>
  <si>
    <t xml:space="preserve">Personnel très à l'écoute, qui m'a rappelé plusieurs fois lorsque le téléphone a coupé.
Rapide et efficace. Tarifs compétitifs même si je les trouve élevés en général pour des scooters.
</t>
  </si>
  <si>
    <t>michel-b-113184</t>
  </si>
  <si>
    <t>Je suis toujours autant satisfait par l'ensemble des services proposés par la GMF. Des personnes compétentes à notre écoute et à notre service. Merci beaucoup.</t>
  </si>
  <si>
    <t>09/05/2021</t>
  </si>
  <si>
    <t>damerval-m-123763</t>
  </si>
  <si>
    <t>Je suis satisfaite du prix et des conditions de mon assurance. J'espère que je n'aurai pas besoin de vous contacter. En tous cas, au niveau qualité prix je pense avoir choisi le mieux</t>
  </si>
  <si>
    <t>18/07/2021</t>
  </si>
  <si>
    <t>fabrice-f-112785</t>
  </si>
  <si>
    <t>le tarifs ne baisse pas pourtant aucun sinistre depuis que je suis chez cette assurance aucun geste commerciale de votre part afin de conserver les adhérents</t>
  </si>
  <si>
    <t>enee-69556</t>
  </si>
  <si>
    <t>Alors que je faisais remarquer à un conseiller au téléphone que la MACIF n'était pas bon marché, il m'a répondu, que à la MACIF, ils n'étaient pas des marchands de tapis et que je n'avais qu'à aller chez AXA, merci du conseil c'est ce que je vais faire</t>
  </si>
  <si>
    <t>19/12/2018</t>
  </si>
  <si>
    <t>kernoua-uchet-s-122631</t>
  </si>
  <si>
    <t xml:space="preserve">Très satisfaite du service merci le contacte téléphonique agréable et service rapide les documents arrivent rapidement et la signature pour le contrat efficace </t>
  </si>
  <si>
    <t>07/07/2021</t>
  </si>
  <si>
    <t>berengere-100191</t>
  </si>
  <si>
    <t>Après 1 accident, alors que j'ai toujours payé mes cotisations, ils m'ont viré et inscrits sur la liste AGIRA ! Ils cherchent donc à n'assurer que des clients qui n'auront pas d'accidents et qui ne leur coutent rien !!!  Et 1 mois avant la fin de mon contrat ils ont bloqué l'accès à mon compte internet alors que je paie toujours et que je suis encore cliente chez eux , une honte !</t>
  </si>
  <si>
    <t>17/11/2020</t>
  </si>
  <si>
    <t>baron-101329</t>
  </si>
  <si>
    <t>Je recommande c’est rapide et efficace 
En quelque clique nous somme renseigné et abonner rien à dire sur le service client au téléphone c’est parfait et compréhensible.</t>
  </si>
  <si>
    <t>dofre-70892</t>
  </si>
  <si>
    <t>à partir du moment ou on a 50% à vie il ne devrait plus y avoir de franchises pour les assurés tout risque .il ne devrait pas y avoir d'augmentation de cotisations annuels pour les assurés avec 50% à vie .</t>
  </si>
  <si>
    <t>02/02/2019</t>
  </si>
  <si>
    <t>brulincu-m-114945</t>
  </si>
  <si>
    <t xml:space="preserve">Je suis satisfait des services,C'est très rapide et sûr, une très belle expérience de voir comment ce sera à partir de maintenant, merci beaucoup pour </t>
  </si>
  <si>
    <t>mabru-m-138282</t>
  </si>
  <si>
    <t>Très satisfait du service client et de leur réactivité ! des prix assez compétitifs et de bonnes garanties. Je recommande à mes amis et à ma famille !</t>
  </si>
  <si>
    <t>26/10/2021</t>
  </si>
  <si>
    <t>alex-71108</t>
  </si>
  <si>
    <t xml:space="preserve">L'olivier vous fait signer un contrat et souhaite ensuite prélever le triple du tarif convenu sans justification 
Le service client est déplorable incapable de trouver une solution afin de réparer les erreurs commises par leurs conseillers 
Tout ceci après 3 ans sans aucun sinistre chez eux 
A fuir </t>
  </si>
  <si>
    <t>vince121982-80480</t>
  </si>
  <si>
    <t>J'ai déclaré un dégât des eaux le 17 juillet. La prise en charge initiale était rapide et j'étais satisfait. Une fois le premier contact avec une entreprise partenaire, celle-ci m'annonce qu'elle ne se déplace pas jusqu'à chez mois car je suis trop loin! Je recontate l'assurance qui semble étonné et me renvoie vers une autre entreprise partenaire. Après plus d'une semaine j'ai enfin un contact avec l'entreprise qui m'explique que vu la saison (vacances estivales) le RDV sera possible début septembre ! Pas vraiment le choix donc j'accepte. 
10 jours avant le dit RDV, l'entreprise m'envoie un mail pour m'annoncer que finalement ils ne peuvent pas venir et me recontacteront pour fixer un nouveau RDV. Furieux je contacte à nouveau l'assurance pour savoir quoi faire. On me conseille de faire appel à un artisan local. J'en contacte un qui vient très rapidement et qui vu l'ampleur des dégâts me conseille de d'abord faire intervenir l'expert de l'assurance. Je recontacte l'assurance qui me transmet les coordonnées de l'expert qui doit me contacter rapidement. Après trois jours sans nouvelles, je contacte l'expert et on m'annonce que la prise de contact s'effectue en générale sous 20 jours !!!! J'ai plus qu'à attendre à nouveau. 
Finalement l'expert me contacte et nous nous mettons d'accord pour un RDV le 13 novembre!!!!! Depuis le mois de juillet, ma douche est inutilisable. Heureusement que nous en avons 2.
J'espère que le RDV avec l'expert se passera bien mais dès que ce sinistre est terminé je ne pense pas rester auprès des ACMs, c'est un traitement inadmissible au regard des tarifs que nous payons</t>
  </si>
  <si>
    <t>28/10/2019</t>
  </si>
  <si>
    <t>charrel-p-126677</t>
  </si>
  <si>
    <t>Je suis satisfait des prix, je suis moyennement satisfait du service car sur 3 personnes eu au téléphone j’ai eu version différentes sur les pièces à fournir</t>
  </si>
  <si>
    <t>marie-v-132510</t>
  </si>
  <si>
    <t xml:space="preserve">Agréablement surprise du prix proposé pour mon assurance et de la simplicité d inscription en ligne.
Et de la rapidité pour s inscrire.  Je recommande vivement. </t>
  </si>
  <si>
    <t>12/09/2021</t>
  </si>
  <si>
    <t>julien-f-112967</t>
  </si>
  <si>
    <t>Je suis satisfait de mon assurance  , la  qualité des services , le prix et correct et l'aide dans mes démarches , je le recommande a mes contacts au top !</t>
  </si>
  <si>
    <t>07/05/2021</t>
  </si>
  <si>
    <t>chaboche-j-116442</t>
  </si>
  <si>
    <t>Très satisfait d ce qui m'est proposé, j'ai été aiguiller par une conseillère qui a été très professionnelle. Merci encore pour la disponibilité dont elle fait preuve.</t>
  </si>
  <si>
    <t>09/06/2021</t>
  </si>
  <si>
    <t>miliechan-59005</t>
  </si>
  <si>
    <t>J ai malheureusement souscrit chez eux ce soir et après avoir vu tout les commentaires négatifs, j ai essayé de résilier ce dit contrat en appelant tous les numéros fourni deux sont en ligne occupé et un dit rappeler plus tard. J ai donc envoyé des mails pour rompre ce contrat mais si je reste sans réponses, je vais prendre les dispositions necessaires... cela confirme mes soupcons mais je me suis laisser avoir merci...</t>
  </si>
  <si>
    <t>21/11/2017</t>
  </si>
  <si>
    <t>bertrand-r-139483</t>
  </si>
  <si>
    <t xml:space="preserve">Satisfaite de vos services 
Je recommande vivement vos services et le service client pour  leurs efficacité et amabilité envers leurs clients 
Merci beaucoup </t>
  </si>
  <si>
    <t>12/11/2021</t>
  </si>
  <si>
    <t>depouzrom-75930</t>
  </si>
  <si>
    <t xml:space="preserve">Sinistre géré avec professionnalisme et humanité, rien à dire, je recommande vivement Direct Assurance pour l'habitation. </t>
  </si>
  <si>
    <t>15/05/2019</t>
  </si>
  <si>
    <t>olympe-59533</t>
  </si>
  <si>
    <t xml:space="preserve">. DÉFAUT D'INFORMATION OU COMMENT "FERRER UN CLIENT"
Mon mari a changé de voiture et souhaitait prolonger son ancien contrat.  Plutôt que de proroger le contrat existant, elle a fait un nouveau contrat. Résultat : elle ferre le client pour un an : il ne peut plus changer d'assureur pendant 1 an!
</t>
  </si>
  <si>
    <t>10/12/2017</t>
  </si>
  <si>
    <t>nrv-114360</t>
  </si>
  <si>
    <t>Une honte!
Augmentation de 80% de la cotisation d'une année sur l'autre sans explication et sans prévenir!
ON tombe au téléphone sur des personnes qui font de leur mieux mais ne savent que dire: je me renseigne... et cela prend des semaines pour avoir une non -réponse
 A éviter absolument</t>
  </si>
  <si>
    <t>20/05/2021</t>
  </si>
  <si>
    <t>dav-96820</t>
  </si>
  <si>
    <t>Un assureur qui ne respecte pas  ses clients!!! Exaspérant! Même le siège social ne répond pas aux différents mails envoyés!! Du jamais vu dans la relation clientèle!</t>
  </si>
  <si>
    <t>29/08/2020</t>
  </si>
  <si>
    <t>beaurain-s-139363</t>
  </si>
  <si>
    <t xml:space="preserve">DÉJA ASSURÉ DEPUIS 4 ANS CHEZ L'OLIVIER ASSURANCE, JE SUIS PARFAITEMENT SATISFAITE DU SERVICE CLIENT ET ÉGALEMENT DE LA PRISE EN CHARGE EN CAS DE PROBLÈMES AVEC LE VÉHICULE. </t>
  </si>
  <si>
    <t>pitpit-98159</t>
  </si>
  <si>
    <t xml:space="preserve">Ils changent la responsabilité sur des sinistres sans nous prévenir. Puis ils corrigent mais vous trimbalent de numéros en numéros et de service en service et résultat au bout de 3 semaines le bonus malus n'est toujours pas corrigé et pas de remboursement des cotisations qui étaient avec le bonus/malus de 0.95.
</t>
  </si>
  <si>
    <t>30/09/2020</t>
  </si>
  <si>
    <t>kenzo--113885</t>
  </si>
  <si>
    <t xml:space="preserve">Comme première assurance c à était bien 
après 1 an il ont augmenté le tarif d'un tiers sans valable raison faites gaffe à  après 10 mois               </t>
  </si>
  <si>
    <t>ida-ali-l-126084</t>
  </si>
  <si>
    <t xml:space="preserve">je suis satisfaite du service le prix me convient un peu plus moins cher aurait été l'idéal personnels efficaces et aimable et répond très rapidement au téléphone  j'espère que cela ne changera pas </t>
  </si>
  <si>
    <t>02/08/2021</t>
  </si>
  <si>
    <t>grisou36-128305</t>
  </si>
  <si>
    <t xml:space="preserve">suite a deux sinistres non responsable ,deux pare brises felaient causes par un vehicule qui m,as double et projete un gravier sur mon pare brise ,je ne suis absolument pas responsable de ces sinistres ,mais lors de ma declaration a l'assurance ,la personne que j'ai eu eu au telephone m"a dit au 3eme sinistre vous serez radies de l'assurance hors je ne suis en aucuns cas responsable de ces deux sinistres ,faute a pas de chance ,meme sinistre ,meme vehicule dans le mois ,je me suis renseignee aupres d'une autre assurance qui m'a dit que n'etant pas responsable il ne tenait pas compte de ces sinistres .Donc ayant egalement un autre vehicule, la maison et la mutuelle assures a pacifica  ,je vais changer d'assurance  tres vite </t>
  </si>
  <si>
    <t>imen-j-126623</t>
  </si>
  <si>
    <t xml:space="preserve">Simple et pratique.
Nouvelle dans cette assurance, je donne mon avis final après la première année d'engagement.
Utilisation facile du site, bien guidé. </t>
  </si>
  <si>
    <t>helga-p-112899</t>
  </si>
  <si>
    <t>le site est fait de manière visuellement accessible, seulement   que entre le prix /An et le prix/mois il y a en écart parfois considerable. Mais on ne peux pas tous se permettre de payer d'un seul coup donc vous nous faites payer les intérêts. C'est le désavantage pour les personnes avec un pouvoir d'achat limité et un benefice pour l'assureur.</t>
  </si>
  <si>
    <t>laurent-e-121978</t>
  </si>
  <si>
    <t>Je suis satisfait du service de demande en ligne, les prix sont vraiment bons La présentation est très claire, les informations présente et j'ai été bien guidé  durant l'inscription.</t>
  </si>
  <si>
    <t>dams-103032</t>
  </si>
  <si>
    <t>Très bonne assurance tant que vous n'avez pas de sinistre ... suite à un cambriolage chez moi, ils remboursent 0 euro car j'ai fait l'erreur de laisser un store ouvert ! Donc, prenez une autre assurance qui vous assurera vraiment contre les risques de la vie réelle !</t>
  </si>
  <si>
    <t>21/01/2021</t>
  </si>
  <si>
    <t>pascale-c-113424</t>
  </si>
  <si>
    <t xml:space="preserve">Je suis satisfaite du prix. Il est très attractif. 
Reste plus qu'à voir dans le temps si il n'y aura pas de surprise. Pour l'instant je recommande APRIL MOTO.!
</t>
  </si>
  <si>
    <t>agnano-v-139308</t>
  </si>
  <si>
    <t>Le service client est souvent très agréable.
Les prix sont attractifs, mais les franchises plus élevées que d'autres assureurs, ce qui fait hésiter avec les autres compagnies.</t>
  </si>
  <si>
    <t>claude-g-116177</t>
  </si>
  <si>
    <t xml:space="preserve">AVOIR PLUS DE RECONNAISSANCE SUR LES TARIFS QUAND NOUS SOMMES UN CLIENT FIDELE ET SANS UTILISATION DE L ASSURANCE DEPUIS DE NOMBREURSES ANNEES DONC IL SERAIT BIEN D AVOIR AU MOINS UNE FOIS UNE TRES BELLE REMISE SUR LE TARIF ASSURANCE  </t>
  </si>
  <si>
    <t>joseph-50499</t>
  </si>
  <si>
    <t>CommeTsLsAssureursIlsPeuvtVsRadierSansMotif ValableSansSinistreResponsableLaPetiteChefEtSesLarbins DeL'agenceD'AngletDisentQu'ilFallaitLireLesConditions GénéralesRemisesQu'aprèsSignatureDu Contrat</t>
  </si>
  <si>
    <t>jean-baptiste-u-116999</t>
  </si>
  <si>
    <t>Je suis très satisfait du tarif , des conseilles puis dés appel téléphonique sens attente rapide et efficace 
Une assurance que je conseillerais à mes proches</t>
  </si>
  <si>
    <t>eldp-68252</t>
  </si>
  <si>
    <t xml:space="preserve">Je suis expert d'assuré, mes clients victimes d'une inondation et de coulées de boue sans précédent dans le village le 24 mai 2018 ont a ce jour toujours pas été indemnisés. 70 appels en trois jours au service indemnisation, aucune réponse. </t>
  </si>
  <si>
    <t>31/10/2018</t>
  </si>
  <si>
    <t>dede007-57394</t>
  </si>
  <si>
    <t>Assurance qui n'assure pas!!! La gestion des sinistres auto est véritablement LA-MEN-TABLE!!! Impossible de les joindre par mail (envoyez-vos photos par la poste!!!). Par téléphone, c'est la vraie galère pour les avoir et quand vous avez la promesse d'être rappelé par le "responsable", vous attendez! Vous avez dit "assurément humain"? Je réponds: GMF: assurance Ge M'en Fous des sociétaires quand ils ont besoin de moi.</t>
  </si>
  <si>
    <t>mp-76332</t>
  </si>
  <si>
    <t xml:space="preserve">Je suis cliente chez NEOLIANE COMPAGNONS depuis janvier 2019, c'était la première fois que j'assurais un animal, mais quelle déception
J'ai envoyé au moins 10 mails aucune réponse, juste une pour me dire qu'ils ne prenaient pas en charge une intervention
J'ai posé des questions aucune réponse quelle honte
L'on se fait rouler dans la farine par ces prestataires qui ne le sont pas </t>
  </si>
  <si>
    <t>29/05/2019</t>
  </si>
  <si>
    <t>mattieu-d-114975</t>
  </si>
  <si>
    <t>Client depuis toujours. les prix me satisfont, les agences sont de proximités et réactive et les personnels sympas.
Je suis assuré depuis toujours chez vous.</t>
  </si>
  <si>
    <t>alexandre-c-130997</t>
  </si>
  <si>
    <t xml:space="preserve"> vous pouvais mieux faire mais ca ira pour le moment cets une voiture que je ne vais pas garder j espere que la resiliation sera aussi simple . merci et bonne journée .</t>
  </si>
  <si>
    <t>poussin-75791</t>
  </si>
  <si>
    <t>La CARDIF existe t'elle vraiment?</t>
  </si>
  <si>
    <t>10/05/2019</t>
  </si>
  <si>
    <t>endo-108424</t>
  </si>
  <si>
    <t>Je reçois aujourd'hui un courrier de la Cardif pour évaluer mon arrêt de travail. Ce que je ne trouve pas très sérieux, c'est de demander à la personne de se déplacer dans un autre département, en plein confinement. Je ne suis pas sur que l'expertise soit considéré comme un motif légitime de déplacement. De plus, n'étant pas véhiculer, j'aurais des heures de trajet à faire en train et la SNCF a diminué la fréquence de ses trains. Le déplacement étant de plus à ma charge. Précédemment, la Cardif m'avait demandé des certificats médicaux et une copie de mon dossier médical, au lieu de faire une expertise. Je leur envoie tous les mois le certificat de mon médecin attestant de la nécessité de prolonger l'arrêt de travail, je ne vois pas trop ce qu'il leur faut de plus, sachant qu'ils ont les certificats médicaux, je peux peut-être leur transmettre les nouvelles pièces de mon dossier médical. Toutes mes pathologies étant toujours en cours de traitement.</t>
  </si>
  <si>
    <t>gege-81610</t>
  </si>
  <si>
    <t xml:space="preserve">assurance qui ne respecte pas les termes du contrat pour éviter de payer ce qui est prévu, il faut menacer cet assureur pour enfin être payé, attitude désinvolte </t>
  </si>
  <si>
    <t>10/03/2020</t>
  </si>
  <si>
    <t>jean-alain-l-105825</t>
  </si>
  <si>
    <t>service pratique, prix imbattables, méthode de souscription et de paiement apparemment sûre
je suis nouveau client jusque-là tout va bien, j'attends la suite sans soucis.</t>
  </si>
  <si>
    <t>08/03/2021</t>
  </si>
  <si>
    <t>laetitia--b-131527</t>
  </si>
  <si>
    <t xml:space="preserve">J'ai trouvé les prix très intéressants aux regards des tarifs pratiqués par ma société d'assurance actuelle, le devis en ligne s'est fait de manière très intuitif, du tout bon pour un début </t>
  </si>
  <si>
    <t>emmanuel-f-134061</t>
  </si>
  <si>
    <t xml:space="preserve">Simple et pratique nous verrons le service a l usage merci , Simple et pratique nous verrons le service a l usage merci , Simple et pratique nous verrons le service a l usage merci , Simple et pratique nous verrons le service a l usage merci 
</t>
  </si>
  <si>
    <t>mdrogo-76852</t>
  </si>
  <si>
    <t xml:space="preserve">Tres compliqué ... surtout ne pas prendre l'assurance recours juridique . Incompétent et de mauvaise foi .  je me suis retrouvé seul pour gérer mon probleme alors que la maif m'inondait de mail indiquant que mon dossier était clos .  la publicité que "l'accueil MAIF le meilleur des accueils"  est un fake !  a l'origine un "journal" que personne ne connait </t>
  </si>
  <si>
    <t>kinou72-70328</t>
  </si>
  <si>
    <t xml:space="preserve">Satisfaite à 100 pour cent. Actuellement sinistrée et en tout risque cela fait trois semaines déjà que la maaf me prête un véhicule de remplacement. En effet le garagiste est débordé d'ou des longueurs pour la réparation. Merci beaucoup je suis ravie de mon assurance </t>
  </si>
  <si>
    <t>17/01/2019</t>
  </si>
  <si>
    <t>lopes-m-139349</t>
  </si>
  <si>
    <t xml:space="preserve">Cliente depuis quelques jours seulement, je ne peux pas vraiment donner mon avis mis à part sur celui des interlocuteurs que j'ai eu au téléphones. Ces derniers ont été très sympathiques. </t>
  </si>
  <si>
    <t>jeny-78858</t>
  </si>
  <si>
    <t xml:space="preserve">J'ai souscris à cette assurance cette année, mon chat avale une ficelle de saussisson avec le morceau métallique. Résultats vomissements animal pas bien du tout. On me sort que c'est une maladie.... Une question: quand un bébé avalé un objet ce n'est pas un accident???? Un chat est-il vraiment apte à comprendre que ça va lui faire du mal.... Pour cette assurance oui... Mon chat est suicidaire pour eux.... Tout ça pour ne pas rembourser.... Mauvaise fois.... </t>
  </si>
  <si>
    <t>xavier-115494</t>
  </si>
  <si>
    <t xml:space="preserve">3 dégât des eaux causé par le propriétaire du dessus.
4000 euros de travaux 1200 euros rembourser par la Macif 
l assurance du propriétaire et la mienne ce rejete la responsabilité et personne ne veux régler avec pretexe d' une close interne aux assurances 
c est minable je paye </t>
  </si>
  <si>
    <t>marvyn-t-128752</t>
  </si>
  <si>
    <t>Très satisfait des services que l'olivier assurances  Nous dont ils sont toujours là pour nous répondre et nous donner des informations et répondre je suis très satisfait</t>
  </si>
  <si>
    <t>hellebore-33122</t>
  </si>
  <si>
    <t>17 novembre 2016 je souscris un contrat ALLIANZ Yearling pour une somme importante venant d'une succession longue et complexe.
Se pose un problème que j' ai occulté et que le notaire n'a pas abordé: l'isf.
M. D. notable de la ville d'A et agent allianz m'annonce que je suis une cliente premium et que son inspecteur conseiller en tout va me faire cela. Nouveau RV le 23/11.
Surprise, ce monsieur qui m'a fait apporter moult documents me fait trés vite une simple déclaration de mon patrimoine de petite retraitée. Autoritaire, plein d'assurance, ce monsieur me rentre dans le crâne style méthode Coué sa vision des choses.Rien a déclarer. le lendemain je me rend au trésor public et là ce n'est pas ma fête. Si je ne présente pas avant 2017 une déclaration qui ne soit pas une vraie fumisterie les pénalités seront rudes; Merci Allianz.
Je cherche sur le Net, dans le Dalloz,, auprés d'un conseil juridique basique etc;le contrôleur principal a raison.
J'envoie un courriel de colère à l'agent Allianz/ RIEN . pas de contact de politesse commerciale pour essayer de comprendre. le 28novembre, je résilie par courrier avec AR retourné le 01-12 le contrat comme j'en ai le droit.
Toujours rien. Aujourd'hui je viens de voir que le chèque au lieu de me revenir ,a été encaissé. J'ai réussi à avoir au téléphone le service client très incompétent.Tout est bien enregistré:ouf. mais grosse colère de ma part.
Un courriel de fin de journée m'annonce juste que l'on va transmettre à un responsable de secteur.
Bref j'attends et ne peut placer cet argent ailleurs. Cet avis est le début d'une action qui sera rude; ALLIANZ a FUIR.</t>
  </si>
  <si>
    <t>08/12/2016</t>
  </si>
  <si>
    <t>gregory--p-133581</t>
  </si>
  <si>
    <t xml:space="preserve">Je suis satisfait du service ainsi que des tarifs proposés. Inscription simple et très rapide. Je recommande très fortement cette assurance. Merci beaucoup </t>
  </si>
  <si>
    <t>flick-m-123221</t>
  </si>
  <si>
    <t xml:space="preserve">Parfait !!! Je suis jeune conductrice pas si simple de trouver une assurance. Rapide efficace et simple. Je conseille à tout le monde cette assurance </t>
  </si>
  <si>
    <t>gaelle123-57409</t>
  </si>
  <si>
    <t>Je ne recommande cette assurance à personne. Mon amie tombée en panne est restée plus d'une heure trente bloquée dans le froid avec un enfant de cinq ans. Nous attendons toujours la dépanneuse qui dit arriver depuis une heure trente. C'est inadmissible.</t>
  </si>
  <si>
    <t>17/09/2017</t>
  </si>
  <si>
    <t>karine-c-115778</t>
  </si>
  <si>
    <t>je trouve les prix raisonnables, mais restent équivalents à d'autres assurances avec de meilleurs garanties.
Déçue de voir qu'avec 5 véhicules chez vous, nous n'avons pour le prix pas droit au dépannage 0KM.</t>
  </si>
  <si>
    <t>02/06/2021</t>
  </si>
  <si>
    <t>mm44370-79562</t>
  </si>
  <si>
    <t>Nous avons eu un important degat des eaux a notre domicile. L 'expert Groupama est venu 5 mois apres le sinistre et a conteste la veracite de notre declaration. Nous avons bien evidemment apporte toutes nos preuves et apres avoir fait etablir un rapport de contre expertise et un rapport d'huissier ainsi qu'un courrier en AR sans reponse apres un mois pres du mediateur recommande par Groupama, nous nous orientons vers une action en justice.
Nous avions toutes nos assurances dans ce groupe y compris helas notre protection juridique qui evidemment ne peut nous defendre en ce cas puisque contre groupama.
Nous nous orientons donc vers une action en justice.
Quel dommage !</t>
  </si>
  <si>
    <t>04/07/2020</t>
  </si>
  <si>
    <t>cyril-b-116977</t>
  </si>
  <si>
    <t xml:space="preserve">interlocuteurs téléphonique toujours très agréable et prise en charge rapide en cas de sinistre espace internet personnel très lisible et intuitif      </t>
  </si>
  <si>
    <t>cec-95992</t>
  </si>
  <si>
    <t>Assurance pas très cher mais efficace juste pour prélever tous les mois ....
Accident corporel non responsable, la moto à rapidement été pris en charge. J'ai reçu rapidement un 1er acompte mais la suite fue plus mouvementé. 
Menace d'appliquer des frais de gardiennage si je ne vais pas récupérer  ma moto rapidement alors que j'avais encore des béquilles. (Et que dans les conditions générales en cas d'impossibilité, c'est à eux de faire le nécessaire). 
Ensuite lors de la proposition d'indemnisation, mon reste à charge des frais médicaux n'étaient même pas pris en charge à 100% ! Sans parler des pertes professionnelles et des différents préjudices !
Après un mail refusant la proposition, les frais médicaux sont pris en charge mais c'est tous. J'ai du prendre un avocat pour me faire indemniser au moins 50% de mes pertes !
Conclusion il faut se battre pour que les clauses du contrat soient appliquées... j'ai donc décider d'aller voir si l'herbe est plus verte ailleur. 
(Je vous passe la tromperie au téléphone lors de la souscription et le refus de geste pendant le covid alors que ma moto n'a pas bougée du garage.. toutes mes autres assurances on fait un geste ;-) )</t>
  </si>
  <si>
    <t>06/08/2020</t>
  </si>
  <si>
    <t>mimi-70547</t>
  </si>
  <si>
    <t>Incompétent,baratineur,Fuyez!!Perso j'en suis arrivé a faire opposition aux prélèvements..Trop facile de faire signé des contrats via internet et de prendre le fric,sa fait un mois et demi que mon assurance provisoire a pris fin et que j'attend l'envoi de la carte verte annuelle..Je ne peux pas faire circuler mon véhicule..donc je refuse de payer!</t>
  </si>
  <si>
    <t>sandra-p-109566</t>
  </si>
  <si>
    <t>Un seul incident, et une prise en charge et des délais improbables et intolérables. Toute la procédure a été fastidieuse pour quelque chose qui n'est pas extraordinaire: mon véhicule a été vandalisé. un process à revoir je pense!</t>
  </si>
  <si>
    <t>08/04/2021</t>
  </si>
  <si>
    <t>christophe-p-110584</t>
  </si>
  <si>
    <t>Je suis globalement content des services cependant les prix ne sont plus concurrentiel. Il y a de forte change que je vous quitte du faite des tarifs trop élevés</t>
  </si>
  <si>
    <t>salaheddine-a-125433</t>
  </si>
  <si>
    <t xml:space="preserve">En tant qu'étudiant les services proposés et le prix sont adaptés à ma situation, je suis trés satisfait et je conseillerai plus de collégues par votre.assurance en ésperant que ça durera par la suite
cordialement </t>
  </si>
  <si>
    <t>29/07/2021</t>
  </si>
  <si>
    <t>jojow59-79159</t>
  </si>
  <si>
    <t xml:space="preserve">Je vous écrit se commentaire pour vous faire part de mon mécontentement. Je vous explique alors pourquoi ! Depuis le 11 février 2019 j'ai déclarer mon véhicule voler au commissariat de police de denain IMMATRICULÉ : DW998jp ensuite je me suis rendus à l'agence de la matmut denain pour leur déclarer se problème. Nous sommes donc le vendredi 13 septembre 2019 je n'est toujours aucune nouvelle pour le remboursement de mon véhicule. Tout et je précise bien que tous les documents nécessaires on étais envoyer. Aucun document n'a étais oublié. Cela fait 7 mois et 23 jours que j'attend. Je suis vraiment pas content de cela. En espèrent recevoir une bonne nouvelle de votre part très rapidement. 
En attente de votre réponse. 
Cordialement Mr BRUWAERT JORDAN </t>
  </si>
  <si>
    <t>13/09/2019</t>
  </si>
  <si>
    <t>bb1377-65616</t>
  </si>
  <si>
    <t>Service assurance auto assez déplorable. On ne vous rappel jamais, ou alors la personne qui s'occupe de votre dossier est en vacance ou est débordée. Très fort pour prendre de l'argent mais zéro pour le reste.</t>
  </si>
  <si>
    <t>19/07/2018</t>
  </si>
  <si>
    <t>souffy-55233</t>
  </si>
  <si>
    <t>J'ai contracté un plan Modul'retraite d'entreprise et un Modul professionnel que je souhaite récupérer. En dépit de nombreuses demandes par courriers, mails et autres appels, personne chez AXA n'est en capacité de donner suite à ma requête. Également, je n'ai reçu aucune réponse de leur part sur leur site même concernant cette même demande. A croire qu'il n'y a plus personne aux manettes chez cet assureur dont les pubs aguichantes sont autant de masques. Un conseil, évitez de vous laisser endormir...</t>
  </si>
  <si>
    <t>09/06/2017</t>
  </si>
  <si>
    <t>akobbi-75287</t>
  </si>
  <si>
    <t>j'ai fait une demande pour déclarer un conducteur secondaire le mois de Mai 2018. Une semaine plus tard et suite à la proposition financière, j'ai appelé le 28/05 pour demander l'annulation de ma demande.
L'assureur a pris l initiative de maintenir ma première demande sans que je signe quoi que ce soit</t>
  </si>
  <si>
    <t>22/04/2019</t>
  </si>
  <si>
    <t>cloclo-96496</t>
  </si>
  <si>
    <t xml:space="preserve">Bonjour 
Voilà  je suis très en colère avec mon assurance eca mais surtout contre les personnes qui savent comment se jouer de nous j'ai  assuré mes 2 chiens ?? ?? pour avoir l esprit tranquille   malheureusement j'ai mon loulou qui et décédé en 24 h mort naturelle aujourd'hui j'ai appelé mon assurance pour savoir quand il y allait me rembourser les frais de vétérinaire et d hospitalisations et la on m'a dit non vous ne payez pas assez cher, la personne avec qui j'ai souscrits mes assurances ma même dit qu'il me rembourse 500€ pour la mort quand j'ai demandé des explications on m'a dit que je n avais droit a rien je ne conseil pas cet assurance </t>
  </si>
  <si>
    <t>loumi-58203</t>
  </si>
  <si>
    <t>Assuré depuis 3 ans, mon contrat vient d'être résilié. La raison? elle est simple j'ai eu un sinistre non responsable qui a coûté 0 euros à Eurofil. Merci à eux maintenant à cause de la résiliation je vais devoir payer plus cher. A fuir !!!!!!!!!!</t>
  </si>
  <si>
    <t>19/10/2017</t>
  </si>
  <si>
    <t>jpm-91387</t>
  </si>
  <si>
    <t>Je n'ai eu encore aucun sinistre, je ne peux donc pas juger de la qualité de l'intervention lors d'un sinistre.</t>
  </si>
  <si>
    <t>karen-m-107366</t>
  </si>
  <si>
    <t>Je n'ai pas reçu ma carte verte définitive. Est-ce normal? 
Sinon depuis le début, je vous sollicite. Vous êtes rapide quand vous répondez, vous êtes rapide pour mettre en place les documents. 
Mais j'aimerais bien recevoir ma carte verte définitive. Merci</t>
  </si>
  <si>
    <t>devaux-t-129035</t>
  </si>
  <si>
    <t>Fluctuation des prix lors des différents entretiens sans raison valable
Je souhaiterais un complément d'information afin de comprendre ce sujet
Cordialement</t>
  </si>
  <si>
    <t>22/08/2021</t>
  </si>
  <si>
    <t>kabita-n-132720</t>
  </si>
  <si>
    <t>Satisfait du service, explication detaillees du conseiller , nempeche on he mavait informer au debut de la somme de 167... euros a payer. Je n'ai toujours pas compris en quoicela consistait</t>
  </si>
  <si>
    <t>titanic-50610</t>
  </si>
  <si>
    <t>dégâts des eaux en juin 2016 chez mes parents visite expert aout2016..décembre aucun travaux faits!!cela fait une heure que j'ai la musique pour obtenir un interlocuteur.Je comprends que cela exaspère des personnes âgées.</t>
  </si>
  <si>
    <t>23/12/2016</t>
  </si>
  <si>
    <t>trixie77-59786</t>
  </si>
  <si>
    <t xml:space="preserve">Problème actuellement avec CARDIF dans le cadre d'un règlement de rachat d'assurance vie dont la demande a été envoyée par BNP en date du 24/11/2017. A la suite d'un manque de pièces j'ai  faxé directement à CARDIF le 8/12/2017 les documents  manquants au numéro indiqué par une personne de chez eux et à ce jour dossier toujours pas traité. Jeudi 14/12/2017 appel chez CARDIF pour voir l'état d'avancement et là mon interlocutrice me précise ne pas avoir les documents faxés puis les trouvent après 15 mn d'attente ! Aujourd'hui 18/12/2017 nouvel appel chez CARDIF et mon interlocuteur du jour lui ne trouve pas trace de mon envoi !!! Que penser de la façon dont on traite les dossiers dans cette compagnie ? les personnes de la plate forme que j'ai eu en ligne se sont montrés incompétentes à prendre en charge et à répondre à ma demande. </t>
  </si>
  <si>
    <t>19/12/2017</t>
  </si>
  <si>
    <t>mouton-sandra-52716</t>
  </si>
  <si>
    <t>Le 10 décembre 2016, j'ai eu un accident. Je contacte direct assurance et on me dit que mon véhicule n'est plus assuré car ils ont pris en compte un devis que j'avais fais pour un autre véhicule 2h30 au téléphone avec eux sur le lieu d'accident ils ont contacté le dépanneur en lui ordonnant de décharger le véhicule sur le champ (heureusement que le dépanneur a un coeur lui) il ne l'a pas fait, il a fallu 1sem1/2 pour que mon véhicule parte dans un garage pour l'expert mais mais ils n ont pas prévenu l'expert j'ai fais les démarche moi même (1 mois supplèmentaire) la secrétaire à un coeur aussi elle m'a passée en priorité le lendemain, et la direct assurance m'envoie des recommandés pour payer des cotisations de ce même véhicule qui est détruit depuis........bref j'ai tous rettiré de chez eux.</t>
  </si>
  <si>
    <t>24/02/2017</t>
  </si>
  <si>
    <t>julien-125305</t>
  </si>
  <si>
    <t>Assureur à fuir absolument, suite a la liquidation judiciaire de mon entreprise j'ai demandé le rachat total il y a plus de 3 semaines avec un dossier complet, le dossier a été traité il y a bientot 2 semaines mais je n'ai toujours reçu le virement ! Sans revenu depuis plus d'un mois je comptais sur eux pour faire manger mes enfants mais actuellement je me retrouve dans l'obligation de restreindre les repas..... je les relance tous les jours et personnes ne réponds !!!</t>
  </si>
  <si>
    <t>28/07/2021</t>
  </si>
  <si>
    <t>gourdin--97030</t>
  </si>
  <si>
    <t xml:space="preserve">Assurance avec un non savoir faire.
Je paye 120 euro tout les mois depuis plusieurs année sans rien demandé, j'ai eu un problème en rentrant de vacance avec ma remorque, en sachant que ma remorque est assurée avec ma voiture, j'ai du remettre 580 euro de ma poche en payant 120 euro tout les mois c'est vraiment mais vraiment abuser de ne pas vouloir remboursé.
Ps. Les chefs ont des congés à rallonge car chaque semaines depuis un mois le chef revient lundi. 
Le quel on sait pas. </t>
  </si>
  <si>
    <t>04/09/2020</t>
  </si>
  <si>
    <t>sam-103296</t>
  </si>
  <si>
    <t xml:space="preserve">Un peu cher mais je suis chez MGP depuis 20 ans, on ne va pas se mentir j'ai regardé chez les concurrents ou les prix sont encore plus élevés ou les remboursements ne sont pas terrible. Puis je n'ai jamais eu de soucis avec la MGP. Donc en forfait tradition depuis le débit je n'ai jamais changé. </t>
  </si>
  <si>
    <t>27/01/2021</t>
  </si>
  <si>
    <t>jean-pierre-n-124150</t>
  </si>
  <si>
    <t>quelques soucis avec le devis nom du chauffeur principale  franchises un peu élevées  voir la possibilité de l diminuée sans hausse exagérée du tarif le mieux c'est un conseillé</t>
  </si>
  <si>
    <t>steven754-87177</t>
  </si>
  <si>
    <t xml:space="preserve">Bonjour les internautes. 
J ai eu une très bonne expérience durant mon sinistre chez axa France  un service satisfaisant au maroc . J ai eu un conseiller souriant et serviable . Il m'a proposé l indemnité rapidement.  Contrairement à l agence .
Un grand bravo pour ces jeunes conseillers.  Assurance habitation 
</t>
  </si>
  <si>
    <t>14/02/2020</t>
  </si>
  <si>
    <t>alexandre-59088</t>
  </si>
  <si>
    <t>A la MAIF depuis 40 ans, je n'avais pas eu de sinistres trop importants pendant longtemps. Le règlement de quelques sinistres de moindre importance m'avait déjà fait tiquer. Or récemment nous avons eu à faire face à l'adversité et la MAIF s'est montrée très tiède, peu solidaire et pas si militante que ça. Après un sinistre incendie (criminel) sur un immeuble de loisir (grange de montagne), la mutuelle a mis longtemps avant de statuer, demandant devis et expertise dilatoires. Nous avons finit par recevoir une indemnisation très en dessous du coût de réparation. Le devis étant pourtant "a minima" : réfection en dessous de la qualité initiale du bâtiment (tôles ondulées au lieu d'ardoise en couverture), matériel et biens mobiliers sous évalués. Le tout sur la base d'une" valeur vénale" théorique et complètement irréaliste. Des travaux d'accès étant nécessaires pour réaliser les réparations, la MAIF refuse de les prendre en charge au motif "qu'ils constituent des améliorations qui n'existaient pas avant le sinistre"... Tout cela est ténébreux et désespérant. D'autant que nous sommes très honnêtes sur nos déclaration : jamais de surestimation, de fausses déclarations. Au contraire, très souvent nous avons pris à notre charges des petits sinistres tempête, dégâts de grêle, bris de vitres, problèmes de toiture, voiture rayée ou cabossée, etc... Je ne sais pas quoi faire...</t>
  </si>
  <si>
    <t>24/11/2017</t>
  </si>
  <si>
    <t>vinoc-59811</t>
  </si>
  <si>
    <t>assuré depuis plus de 40 ans jamais déçu bonnes relations avec les équipes sur place en agence</t>
  </si>
  <si>
    <t>26/12/2017</t>
  </si>
  <si>
    <t>vasile-a-115534</t>
  </si>
  <si>
    <t>Parfait, je recommande, Je suis satisfait de service et de l'écoute. Les prix me conviennent, l'adhésion et simple et pratique. A voir dans le temps... Pour l'instant pas assez de recul ..</t>
  </si>
  <si>
    <t>christiancombe-75026</t>
  </si>
  <si>
    <t>Après un an augmentation avec alignement sur les autres assurances. Donc prix d'attraction et après de toute façon on subit sans explication.</t>
  </si>
  <si>
    <t>12/04/2019</t>
  </si>
  <si>
    <t>emmanuel-p-109529</t>
  </si>
  <si>
    <t>Je suis satisfait du service proposé et des tarifs en vigueur. En tant que nouveau client je ne peux d'avantage m'avancer sur la suite des services que vous proposez et la prise en charge des incidents.</t>
  </si>
  <si>
    <t>anais-b-125896</t>
  </si>
  <si>
    <t>Je suis satisfait du service, le prix me semble correct et j'espère ne pas être déçue par la qualité de l'assurance ! Donc à suivre dans le temps pour voir ce que ça donne</t>
  </si>
  <si>
    <t>francoise-56019</t>
  </si>
  <si>
    <t>La aussi une catastrophe des délais très longs, des demandes de renseignements qui n'ont aucune raison d'être m'étant renseignée à la Banque de France service assurance. Bref tout pour faire traîner, même que je ne suis pas responsable et que l'assurance de la partie adverses attend juste le rapport du Credit Mutuel.</t>
  </si>
  <si>
    <t>14/07/2017</t>
  </si>
  <si>
    <t>clo-135350</t>
  </si>
  <si>
    <t xml:space="preserve">je ne peux évaluer pour l'instant je ne suis pas encore inscris par contre un grand merci la conseilla ire MARIAMA pour m'avoir envoyer le dossier d'inscription  avec rapidité.     </t>
  </si>
  <si>
    <t>eslam-s-124904</t>
  </si>
  <si>
    <t xml:space="preserve">Je suis très heureux d'avoir un assurance comme direct assurance et je suis très satisfait de service internet car sa me facilite le temps et merci beaucoup </t>
  </si>
  <si>
    <t>katia-c-111395</t>
  </si>
  <si>
    <t xml:space="preserve">je suis très satisfaite, l'équipe est très sympa, compréhensive je recommande fortement
solutionne les ennuis , particulièrement ma conseillère un grand merci
</t>
  </si>
  <si>
    <t>el-khaddar-h-123210</t>
  </si>
  <si>
    <t>Je suis satisfait du service, cette assurance en ligne est faite pour les personnes qui n'ont peu ou pas trop de moyens financiers à mettre dans une assurance classique. Enfin une assurance  qui pensent à ces catégories de personnes (étudiants pour ma part).</t>
  </si>
  <si>
    <t>olivier-s-113228</t>
  </si>
  <si>
    <t>Tout d'abord, il est dommage que les prix ne baissent pas en fonction de la fidélité des clients. Ensuite, nous regrettons qu'une protection juridique permettant de nous défendre grâce à un avocat, quelque soit l'affaire, ne soit pas offerte ou proposée.</t>
  </si>
  <si>
    <t>aurelie-g-132924</t>
  </si>
  <si>
    <t xml:space="preserve">Facile de souscrire, prix attractif pour l'auto
Un peu moins pour l'habitation en revanche, les concurrents sont plus attractif sur ce point. A voir si vous proposez mieux </t>
  </si>
  <si>
    <t>laurent-et-sandra-137495</t>
  </si>
  <si>
    <t>En invalidité 3ème catégorie avec tierce-personne, en l'occurence mon conjoint,j'ai sollicité le déclenchement de la garantie PTIA (perte totale et irréversible d'autonomie) auprès des Assurances du Crédit Mutuel le 30 septembre 2020 pour 2 dossiers: - le 1er: l'experise médicale prévue intitialement a été annulée à la demande du médecin expert désigné, celui ci invoquant le fait qu'il m'avait déjà examinée dans le cadre d'une autre expertise médicale, pour un autre organisme d'assurances et pour le meme arret maladie (du 2 avril 2018). La seconde expertise annulée également, pour les mêmes motifs. Entre temps j'ai répondu rapidement aux sollicitations d'ACM et à leurs courriers du 19 octobre 2020 et du 27 janvier 2021, en joignant toujours les pièces médicales et administratives (questionnaire médical, notification de pension d'invalidité de la CARPIMKO, copies de correspondances médicales entre praticiens, examens complémentaires, prescriptions médicamenteuses....) soit l'intégralité de  mon dossier médical. Mon dernier courrier resté lui, sans réponse date du 31 mai 2021, adressé à Mr le Médecin Conseil des ACM en LRAR comporte les copies des notifications de la Maison Départementale des Personnes Handicapées de la Moselle m'accordant, à titre permanent : -un taux d'incapacité égal ou supérieur à 80% -L'attribution de la Carte Mobilité Inclusion mention "invalidité" - l'attribution de l'allocation Adulte Handicapé - l'attribution de la Prestation de Compensation du Handicap. 
Enfin, mon dernier courriel du 13juillet 2021 dans lequel je reprends et détaille tous les éléments et leur chronologie, et, demande, compte tenu de la dégradation de mon état de santé, IMPERATIVEMENT UNE EXPERTISE MEDICALE A DOMICILE!!! Le second dossier: expertise médicale effectuée le 23 janvier 2021 dans un cabinet médical qui n'est pas aux normes dites ERP ( Etablissement recevant du Public) c'est à dire sans ascenseur, sans toilettes ni salle d'attente!!! Je précise que je me déplace en fauteuil roulant.....Pendant cette expertise il est fait mention de ma prochaine hospitalisation prévue juste quelques jours plus tard (en détaillant mes pathologies le médecin expert a mis le doigt sur ma hernie discale cervicale) et là, il décide d'attendre mon retour d'hospitalisation afin de savoir si cette hernie discale est opérable ou non??? Sachant que je souffre de Polyarthrite rhumatoïde invalidante et de Spondylarthrite Ankylosante et que je suis hospitalisée pour réévaluation de traitements car je fais une hépatite médicamenteuse que vient faire ma hernie discale si ce n'est gagner du temps pour ne pas rendre son rapport?! A la demande de ce même expert, mon conjoint lui envoie le compte rendu d'hospitalisation le 1er février 2021. Dans les conclusions de ce compte rendu, mon rhumatologue fait état, en plus des mes rhumatismes inflammatoires mixtes (Polyarthrite + Spondylarthrite) d'un syndrome fibromyalgique associé. A la lecture de ce nouvel élément, le médecin expert ne rend toujours pas son rapport et désigne , de surcroit un médecin psychiatre pour m'examiner! Je me rends donc , toujours accompagnée de mon conjoint à la convocation de ce médecin psychiatre le 23 avril 2021 et là encore, ce cabinet n'est pas aux normes ERP (il dispose bien d'un ascenseur mais inadapté pour l' accueil d'un fauteuil roulant.) Puisque impossibilité d'accéder au cabinet médical qui se trouve au 5ème étage, mon conjoint demande l'annulation de l'examen. Nous voilà donc à 2 expertises dont une annulée avec, à chaque déplacements d'importants frais engagés (plus de 200kms aller retour, péage...)Mon conjoint informe les ACM par LRAR de l'annulation de l'expertise psychiatrique. Sachez Madame, Monsieur, que les délais de traitement particulièrement longs et scandaleux de mes dossiers ne font que participer à la dégradation de mon état de santé. Cela dit je consacrerai désormais l'energie qu'il me reste à obtenir gain de cause et à entamer les procédures relatives à la non-conformité des cabinets médicaux auprès desquels les ACM souhaite me soumettre (cabinets inadaptés aux personnes à mobilité réduite dont mon conjoint a bien pris soins de filmer et photographier les configurations des lieux ). Dernier courriel de ce médecin expert initial qui m'informe, le 4 octobre dernier qu'un nouvel examen est prévu mi novembre par un autre expert exerçant lui dans le 59 ( nous sommes dans le 57)et me précise qu'il est possible que ce nouvel examen se déroule soit à son cabinet à S......... (sans ascenseur) soit à son cabinet secondaire (avec ascenseur). Ma demande d'expertise effectuée à mon domicile n'est absolument pas prise en compte!!!! Je souhaite ici préciser qu'un médecin expert officiant pour un autre de mes dossiers d'assurance a procédé, comme souhaité et compte tenu de mon état de santé à mon examen médical à mon domicile.
Je demande donc ici IMPERATIVEMENT une expertise médicale à domicile. J'attends une réponse prompte des ACM.</t>
  </si>
  <si>
    <t>15/10/2021</t>
  </si>
  <si>
    <t>peyo-81274</t>
  </si>
  <si>
    <t>30 ans de fidélité. 
Après un dégât sur une résidence locative, la Maif a mis 15 mois à me répondre que les dégâts ne seraient pas pris en charge alors qu'elle aurait pu le faire le jour de ma déclaration (les dégâts déclarés étant antérieurs au contrat). J'ai perdu 15 mois en démarches, visites d'experts, attente de compte rendu, courrier ... 
Merci l'assureur militant !</t>
  </si>
  <si>
    <t>23/11/2019</t>
  </si>
  <si>
    <t>miloud-60643</t>
  </si>
  <si>
    <t>Très bonne assurance santé, j'en ai eu besoin pour faire mes lunettes et j'étais surprise du bon remboursement. j'ai eu un super conseiller qui n'a pas disparu après l'adhésion
pas de couac à l'inscription,</t>
  </si>
  <si>
    <t>19/01/2018</t>
  </si>
  <si>
    <t>roy-s-126026</t>
  </si>
  <si>
    <t>Rapide et competitif. Le service téléphonique est très bien et agréable ! Merci Annie, de votre service et votre compétence,ainsi que votre ponctualité</t>
  </si>
  <si>
    <t>jean-marc-h-106266</t>
  </si>
  <si>
    <t>Après avoir effectué mes devis en ligne, j'ai pris contact par téléphone avec Direct-Assurance. Accueil courtois, validations des contrats rapide, puis paiement par CB en ligne. C'est parfait, rapide, efficace ! Je recommande !</t>
  </si>
  <si>
    <t>melc-123718</t>
  </si>
  <si>
    <t xml:space="preserve">On me vole mon véhicule. Que de problèmes pour être remboursé. A l'achat de ma nouvelle voiture, on me dit qu'on ne m'assurera plus chez GMF....merci vous êtes assurément bon.
Notez que 2 mois après, je reçois un courrier personnalisé me vantant les mérites de GMF et me proposant d'assurer mon vehicule chez eux.
Je les contacte par téléphone : "c'est une erreur".
QUEL PROFESSIONNALISME !!!!! </t>
  </si>
  <si>
    <t>bleriot15-52350</t>
  </si>
  <si>
    <t>Dégât des eaux du 14.10.2016 provenant du voisin du dessus
Passage de l'expert le 16.12.2016 ; 2 mois après ! Depuis aucune nouvelle malgré 2 lettres recommandées et une bonne vingtaine d'appels téléphoniques - agence - siège - département sinistre - département indemnisation. Services difficilement joignables et à chaque fois nous ne sommes qu'une plateforme nous transmettons au gestionnaire qui entrera en contact avec vous ? Rien, aucun appel, aucun sms, aucun mail malgré la menace de changer de compagnie d'assurance. Un scandale.</t>
  </si>
  <si>
    <t>12/02/2017</t>
  </si>
  <si>
    <t>bagui-19482</t>
  </si>
  <si>
    <t>En cas de sinistres, bon courage.pour un accident le 07/06/19, la conductrice de la voiture B reconnais son erreur mais Direct assurance m'inpose le 50 
50, je compte contester bien su
r et aller jusqu'au bout, même tribunal.si médiation ne me donne pas raison.</t>
  </si>
  <si>
    <t>11/06/2019</t>
  </si>
  <si>
    <t>rossin-c-130064</t>
  </si>
  <si>
    <t>La recherche du vehicule est facile, le site est efficace et simple d'utilisation. Les tarifs sont tout à fait corrects pour un jeune conducteur sans bonus.</t>
  </si>
  <si>
    <t>paspigeon-51658</t>
  </si>
  <si>
    <t xml:space="preserve">Une façon permanente de prendre les clients pour des c... Ne pas faire confiance à ces filous ex tu veux payer ta cotisation en ligne ils te tendent un piège pour souscrire au prelevement  direct sur ton compte l'option CB est cachée;Tu as un parrainage ils te le refusent ou une fois souscrit  vous le suppriment. Assurance au KM tu leur donnes le relevé , il se trompent en leur faveur.Avec ce mauvais esprit, les contacts ressemblent à une duperie permanente. </t>
  </si>
  <si>
    <t>25/01/2017</t>
  </si>
  <si>
    <t>nicolas-c-126547</t>
  </si>
  <si>
    <t>Assurance avec de très bon tarif et bon services je n'ai pas encore testé le service sinistre et j'espère ne pas en avoir besoins.
dommage que le numéro d'appel soit payant c'est le seul défaut que je constate et qui peut bloquer certains clients potentiel.</t>
  </si>
  <si>
    <t>glacon-a-122333</t>
  </si>
  <si>
    <t xml:space="preserve">Je suis satisfait du service, j’attends maintenant de recevoir ma carte verte définitive , j’espère que cette assurance ne me décevra pas . Prix intéressant </t>
  </si>
  <si>
    <t>04/07/2021</t>
  </si>
  <si>
    <t>grdb24-111855</t>
  </si>
  <si>
    <t>Voilà : 52 ans1/2 de MAIF, depuis ce matin j'ai arrêté.
Mutualiste, sociétaires ... blabla commercial qui était réel en 1968, mais depuis ...
Il est bien loin le temps où nous étions fiers d'arborer l'écusson MAIF sur le pare-brise ou fixé sur le pare-choc ...
Suite à un changement de véhicule (plus puissant, vilain vieux !) j'ai fait calculer le coût pour ce nouveau véhicule. À la vue de la somme proposée, je suis allé voir ailleurs, premier devis (le seul que j'ai fait faire sur internet) : 46% de moins avec toutes les options identiques à ma chère (très chère) MAIF.
11h ce matin j'ai quitté, partiellement pour l'instant, la soi-disant « mutuelle », vous vous rendez compte 52 ans1/2 !!! 
Bêtement ça m'a fait mal.
1100 € de moins, ça, ça fait du bien !
Je ne vous parle que de cette anecdote banale, mais j'aurai un livre à écrire sur ces 52 ans 1/2 en compagnie de cette SOCIÉTÉ D'ASSURANCE, il s'en passe tellement sur une vie !
Le reste va suivre : une autre voiture, notre maison, 3 appartements ...
Un beau voyage en perspective avec un tel Delta !</t>
  </si>
  <si>
    <t>mike66-66266</t>
  </si>
  <si>
    <t>Je ne suis pas assuré depuis longtemps à la MAIF (un an et demi) mais j'ai déjà pu entrevoir leur incompétence sur de nombreux points. Frais de dossier que l'on vous tait au téléphone, avis différents d'un conseiller à un autre, mauvaise défense des sociétaires et mauvaise gestion des dossiers (j'ai moi-même du faire le lien entre le garage et mon assureur après un accrochage). Je cherche encore l'assureur militant. 
Si vous souhaitez une assurance qui défend vraiment choisissez en une autre et surtout ne vous laissez pas abuser par les campagnes de publicités démagogiques dont ils abreuvent les écrans !</t>
  </si>
  <si>
    <t>claire-l-115365</t>
  </si>
  <si>
    <t>La simplicité est impressionnante ! En deux clics le contrat est dans la boîte mail.
Prix défiants toute concurrence, espérons que tout soit aussi rose quand il y a un problème…</t>
  </si>
  <si>
    <t>31/05/2021</t>
  </si>
  <si>
    <t>livia-tarin-110563</t>
  </si>
  <si>
    <t>JE SUIS SATISFAITE POURVU QUE CELA DURE 
IL S'AGIT DE MA PREMIERE SOUSCRIPTION A DIRECT ASSURANCE
JE SUIS SATISFAITE POURVU QUE CELA DURE 
IL S'AGIT DE MA PREMIERE SOUSCRIPTION A DIRECT ASSURANCE</t>
  </si>
  <si>
    <t>patpat€€€€€-99804</t>
  </si>
  <si>
    <t>Lorsque l"on veux résilier  neoliane mets la pression a leur client . Dans mon cas  le service client me l"accordée  puis le lendemain  gestion muta owliance me l'a refuse . Je suis donc obligée de faire mail sur mail car leur réponse est que je ne serais pas dans les temps (pour info 2 mois et 10 jours) pour eux il faut 2 mois pile poil.
Je fais donc opposition auprès de ma banque pour les prélèvements a partir de janvier. Ils sont de mauvaise foi et font pression sur leurs clients. Je me suis faite avoir le"an dernier il ne me"aurons pas cette année. Conclusion ils sont très cher ne rembourse pas grand chose . N"y aller pas de"autre mutuelle sont plus intéressante</t>
  </si>
  <si>
    <t>07/11/2020</t>
  </si>
  <si>
    <t>gravier-66950</t>
  </si>
  <si>
    <t>Très bonne mutuelle, j'en suis convaincu à 100% et très satisfait. Toute ma petite famille est prise en charge. Les remboursements sont rapides. Ils sont réactifs au téléphone. Depuis 5 ans chez eux je n'ai jamais eu aucun problèmes. J'ai eu des frais d'hospitalisation très lourd qui m'ont été entièrement pris en charge. En ce qui concerne le remboursement des actes du dentiste c'est le top avec la complémentaire. Sur une facture de 1250 euros pour une prothèse dentaire je n'ai déboursé que 75 euros !!!!
Ne parlant pas de l'optique rien à payer.
Il prenne aussi en charge les frais d'honoraire d'osthéopathie. :)</t>
  </si>
  <si>
    <t>19/09/2018</t>
  </si>
  <si>
    <t>ladeira-e-110118</t>
  </si>
  <si>
    <t>Les services d'Olivier Assurance pour la demande de devis et souscription de contrat d'assuance automobile sont rapides et assez explicite, ce qui facilite les différentes démarches. De plus les prix sont acceptables.</t>
  </si>
  <si>
    <t>hassen-r-129995</t>
  </si>
  <si>
    <t>Très bonne organisation du site 
J'espère pas avoir plus de question après tous les étapes passer sur le site et que a été montioner dans le étapes précédentes merci</t>
  </si>
  <si>
    <t>delpino-c-109278</t>
  </si>
  <si>
    <t>Je suis très satisfaite du service j’ été déjà en difficulté et ils ont trouvé solutions a tous mes problèmes  et le prix me convient en plus comme ma fille m'a parrainé j’eus un réduction</t>
  </si>
  <si>
    <t>kad-90740</t>
  </si>
  <si>
    <t>C’est une première fois pour moi de m’assurer avec vous j’aimerais voir par la suite comment vous traitez votre client ainsi que la disponibilité de Service Client si ils sont facilement joignable</t>
  </si>
  <si>
    <t>14/06/2020</t>
  </si>
  <si>
    <t>cdr78-76318</t>
  </si>
  <si>
    <t>Moi j'aimerais comprendre pourquoi MUTUA Gestion n'a toujours pas fait le nécessaire auprès de la CPAM pour se retirer de mon compte alors que depuis décembre j'ai résilié la mutuelle, que j'ai envoyé le coupon de demande de suppression de la télétrans Noemie fourni par ma nouvelle mutuelle et que j'ai appelé 1 fois par mois et qu'on me répond toujours "Oui Mme, c'est fait, dans 10 jours nous n'apparaitront plus!"
En faite c'est quoi le délire? Vos opératrices sont toutes incompétentes ou vous aimez emmerder les gens pour qu'ils ne soit pas rembourser par leur nouvelle mutuelle???</t>
  </si>
  <si>
    <t>28/05/2019</t>
  </si>
  <si>
    <t>cedric--l-130384</t>
  </si>
  <si>
    <t xml:space="preserve">Pour le moment aucun avis. Je viens de souscrire. 
Souscription simple et rapide. Aucun problème pour renseigner les informations demander. 
A voir par la suite. </t>
  </si>
  <si>
    <t>audineau-a-138365</t>
  </si>
  <si>
    <t>Je suis moyennement satisfait de l'offre. Certaines offres pour les même garanties sont plus avantageuses (ex : AVIVA) malgré la "promotion" de 10% pour un multi-contrat. 
Également, les montants de franchisse sont très élevées et ne tiennent pas compte des années sans sinistre et de fidélité à l'Olivier Assurance (alors que ma conduite ne diffère pas entre mon ancien véhicule et mon nouveau). 
Coté service client, malgré deux appels, aucune solution ne peut être trouvée.</t>
  </si>
  <si>
    <t>27/10/2021</t>
  </si>
  <si>
    <t>jazz-61576</t>
  </si>
  <si>
    <t>A fuir absolument, ils sont difficiles à joindre et de très mauvaise fois lorsque l'on souhaite résilier un contrat.</t>
  </si>
  <si>
    <t>19/02/2018</t>
  </si>
  <si>
    <t>yohann-l-109076</t>
  </si>
  <si>
    <t xml:space="preserve">je suis satisfait pour le moment du service désormais je ferai une autre estimation sur le suivi des opérations qui viendront. merci à l'opératrice très gentille </t>
  </si>
  <si>
    <t>audrey-g-133629</t>
  </si>
  <si>
    <t>super rapide je recommande attention quand même il a beaucoup d option en prendre si on veut être couver a cent pour cent et le prix grimpe vite mais sinn le prix de base reste correct</t>
  </si>
  <si>
    <t>macedo-c-121147</t>
  </si>
  <si>
    <t xml:space="preserve">Je suis satisfait de vos services ainsi que du prix 
En vous remerciant de votre écoute et des conseils pour notre assurance 
On vous recommandera
A bientôt </t>
  </si>
  <si>
    <t>huugken-101483</t>
  </si>
  <si>
    <t xml:space="preserve">Je me suis souscrit à l'offre avec le DriveBox. Je pensais, en étant un conducteur tranquille, que cela me pouvait rendre un peu d'argent.
D'abord, il faut s'habituer à cette situation. Les freinages sont considérés trop fort rapidement. Il s'est passé que je suis passé par le rouge, pour ne pas devoir freiner trop fort pour l'orange (oui, je sais, 135€ et 4 points est bien plus qu'on peut perdre avec un évènement de freinage enregistré, hors le danger routier...). En plus, il ne faut pas prendre des bretelles sur l'autoroute, car seulement un escargot peut éviter un évènement "Virage" : avec l'un camion sur le pare-choc et un autre qui te dépasse (avec 45km/h sur la bretelle de l'A13 vers le périf intérieur, car 50km/h sur le compteur est déjà trop vite - à mon avis, cela ne contribue pas à la sécurité routière). Et là, on commence à taper sur l'aspect le plus frustrant : les évènements injustes. Tu roules comme un papi, tu es sûr que tu n'as pas accéléré ou freiné trop fort, mais parce que ce ***** box n'utilise que le GPS et sa réception est nulle, plein d'évènements sont enregistrés. On peut les contester, mais j'estime qu'environ un quart des contestations n'est pas honoré (en disant que ces évènements étaient justifiés). Et cela sur les évènements dont j'étais 100% sûr qu'ils étaient injustes - je n'ai jamais contesté des évènements si j'avais le moindre doute. Donc, on perd toute sérénité de conduite et en plus, on risque de ne pas recevoir le remboursement que la conduite mérite. Si vous avez vraiment un petit budget et vous supportez les évènements injustes, ce DriveBox pouvait être une bonne idée. Dans tout autre cas : ne le prenez pas. A noter que les remboursements ne se font que sur la prime de base et non sur les options (comme assistance 0km, bris de glace, etc.).
J'ai offert de regarder/analyser quelques évènements ensemble, mais pas de réaction de leur part.
Puis, quand j'ai exprimé mes frustrations en demandant l'adresse pour renvoyer ce box, ces génies ont tout-de-suite et sans concertation désactivé le box... Très bon service clientèle, ça ! </t>
  </si>
  <si>
    <t>15/12/2020</t>
  </si>
  <si>
    <t>sam-56781</t>
  </si>
  <si>
    <t xml:space="preserve">cela fait plus d'un an que j'ai eu un sinistre en droit en Belgique 
et toujours aucune indemnisation trop c'est trop  
assurance à fuir je paye pour rien très mauvaise assurance </t>
  </si>
  <si>
    <t>21/08/2017</t>
  </si>
  <si>
    <t>robert-92894</t>
  </si>
  <si>
    <t>bonjours,je suis en invalidité 2 eme categorie depuis le 1 janvier 2020.
Je percois une pension d'invalidité de 1205 euros brut par mois soit 50 pour cent de mes dix meilleur années.AG2R est censée me versé 25 pour cent de complement de salaire sur ma pension d'invalidité.
Depuis le 1 janvier AG2R me verse un complement de 43.88 euros et apres de nombreux appel au service client il me dise que c'est cette somme que sa représente 25 pour cent ou que c'est la cpam qui peut etre me verse plus que 50 pour cent de mes dix meilleur années.
Je leur est envoyé un courrier par mail au service client avec le justificatif de la CPAM comme quoi que c"est ecrit noir sur blanc qu'il me versé 50 pour cent, plus dans se mail je leur est joint mes trois derniers bulletin de salaire de ma derniere activité avant mon accident cérébral.
Je ne suis pas comptable mais 43.88 euros ce la fait pas 25 pour cent de 1205 euros ou de mon dernier salaire qui est de 2100 euros,mais pour pour AG2R 43.88 euros sa représente 25 pour cent.
Ils sont en train de me faire perdre patience,je pense que je vais entreprendre une action en justice et en plus leur demander des domages moral pour dans le stress qu'il me mettent depuis 7 mois.
Si quelqu'un peut me donner sont avis sur ma sitiation</t>
  </si>
  <si>
    <t>02/07/2020</t>
  </si>
  <si>
    <t>cissokho-m-122690</t>
  </si>
  <si>
    <t xml:space="preserve">Le mise en place du contrat a été simple et très compliqué et mon interlocuteur très compétent 
La durée pas très très longue t les documents demandés pas beaucoup </t>
  </si>
  <si>
    <t>valou-58817</t>
  </si>
  <si>
    <t xml:space="preserve">A bien changé finalement pas plus intéressante que les autres assurances, toujours une exclusion quand on pense être indemnisé. </t>
  </si>
  <si>
    <t>jose-a-130063</t>
  </si>
  <si>
    <t xml:space="preserve">Service pratique et simple d'utilisation même avec un smartphone le prix pratiqués est correct par rapport à l'année de mon véhicule et le peu de kilomètres que je parcours avec. </t>
  </si>
  <si>
    <t>djam-98883</t>
  </si>
  <si>
    <t xml:space="preserve">Inadmissible, en arrêt depuis juillet aucune indemnisation, quand on les appel ils nous disent de patienter la patience à des limites, je me pose la question de les attaquer au prud homme </t>
  </si>
  <si>
    <t>18/10/2020</t>
  </si>
  <si>
    <t>patrick-m-126703</t>
  </si>
  <si>
    <t xml:space="preserve">Très bon rapport qualité/prix.
Pré-souscription simple par le vendeur avec toutes les explications pour le meilleur choix.
L'option gravage permet une amélioration sur un véhicule neuf et rassure.
</t>
  </si>
  <si>
    <t>jojo-58240</t>
  </si>
  <si>
    <t>service prestation</t>
  </si>
  <si>
    <t>20/10/2017</t>
  </si>
  <si>
    <t>fran-74793</t>
  </si>
  <si>
    <t>Ça va à peu près bien tant qu'on n'a pas d'accrochage, même non responsable...</t>
  </si>
  <si>
    <t>05/04/2019</t>
  </si>
  <si>
    <t>antares-46797</t>
  </si>
  <si>
    <t xml:space="preserve">bonjour  j'ai   un contrat assurance  vie   @.cieVIE  que  je gere depuis  le site  internet  pour les  arbitrages    pas  de probleme  mais pour  un rachat partiel  sur mon contrat  il est impossible de  le faire sur   le site .
mes demandes   par  le contact  mails  sont restes  ss reponse   imposssible   d"avoir  un interlocuteur valable  pour me  renseigner  ce  n'est pas  les  n° TELEPHONIQUES   qui manque  mais   tous   me  renvoi    en boucle  vers    mon  premier contact     je possede  plusieurs contrats    d"assurance  vie   ds  d'autres societes  aucune   ne  me pose  ce  genre  de problemes </t>
  </si>
  <si>
    <t>02/02/2021</t>
  </si>
  <si>
    <t>4l-lolo-59989</t>
  </si>
  <si>
    <t>traitement par internet est très rapide et le service client est a l’écoute. des appels réguliers pour voir l'avancement du dossier et si on a des questions suplementaires</t>
  </si>
  <si>
    <t>27/12/2017</t>
  </si>
  <si>
    <t>brice-59205</t>
  </si>
  <si>
    <t xml:space="preserve">J'ai été appâté par une réduction de tarif pour ma nouvelle voiture. 1er sinistre (touché la voiture de devant à un feu un jour de forte pluie, tôle froissé), résilié dans la foulée malgré 50% CRM depuis au moins 7 ans C'est la 1ere fois que ça m'arrive. Une fois résilié chez eux, les autres assureurs vous regardent avec méfiance  
</t>
  </si>
  <si>
    <t>29/10/2018</t>
  </si>
  <si>
    <t>titousd54-56864</t>
  </si>
  <si>
    <t>Cela fait trois fois que l'on me demande un relevé d'informations qui a été déjà fourni.
J'ai déjà téléphoné et cela a un coût important sans pour autant avoir une réponse satisfaisante.
A fuir.</t>
  </si>
  <si>
    <t>24/08/2017</t>
  </si>
  <si>
    <t>maya-138143</t>
  </si>
  <si>
    <t xml:space="preserve">BRAVO et encore BRAVO a toute l équipe pour leurs coté relationnel pour leurs patience et leurs écoutes !  cela fait des années que je suis cliente et je ne regrette vraiment pas mon choix car j ai eu pas mal de déceptions avec d'autres grandes compagnies !! pour moi la grandeur de Direct Assurance c est en premier les conseillers de clientèle !! les tarifs  par la suite pour le remboursement sinistre je ne sais pas dieu merci j en ai jamais eu !!!pour finir un grand BRAVO au service de recrutement et a la direction pour leurs personnels excellent choix et un grand Merci  a toute l'équipe de Direct Assurance et très bonne continuation  </t>
  </si>
  <si>
    <t>23/10/2021</t>
  </si>
  <si>
    <t>stephane-r-108958</t>
  </si>
  <si>
    <t xml:space="preserve">l assurance a augmenter malgre les confinement et donc moins d accident dommage pour l augmentation assurance trop cher je ne reviendrais pas chez vous </t>
  </si>
  <si>
    <t>laurent-c-113219</t>
  </si>
  <si>
    <t>Je suis satisfait de vos services en ligne ainsi que téléphoniques. Cependant je pense que si nous avons plus de 2 véhicules assurés une réduction peu s'exécuter car nous ne pouvons pas rouler dans ceux-ci en même temps. Cdlt</t>
  </si>
  <si>
    <t>chabrol74-70967</t>
  </si>
  <si>
    <t xml:space="preserve">Très bonne assurance rapide pour les enfants remboursements et pour services clients </t>
  </si>
  <si>
    <t>05/02/2019</t>
  </si>
  <si>
    <t>scauchois-70036</t>
  </si>
  <si>
    <t>Contrat ambigue.après trois mois, rapport d'expertise toujours pas parvenu au réparateur.Service client désagréable au possible. Aucun retour de la part du service client. J'ai pourtant souscrit ce contrat à l'achat de ma moto chez le concessionnaire.</t>
  </si>
  <si>
    <t>09/01/2019</t>
  </si>
  <si>
    <t>sandrine-81911</t>
  </si>
  <si>
    <t>très déçu,interlocuteur méprisant et menteur,du faire intervenir manpower pour faire avancé mon dossier ag2r me disais ne pas avoir eu mes arret maladie je n'hésiterais pas a casser les bonbons a mon agence et au service sociale intérim si aucun paiement ne m'intervient en attente règlement complément de salaire suite a un arrêt maladie</t>
  </si>
  <si>
    <t>14/12/2019</t>
  </si>
  <si>
    <t>logan--d-131513</t>
  </si>
  <si>
    <t>Je suis satisfait du service, le prix me convient mais j’espère qu’avec les années il va baisser car je je suis un très bon conducteur. En tout cas le site est vraiment bien fait très fluide et facile à comprendre. Merci beaucoup parce que j’ai essayé chez d’autres concurrents et c’est vraiment pas ça. j’espère rester chez vous pour beaucoup d’années</t>
  </si>
  <si>
    <t>ben-62223</t>
  </si>
  <si>
    <t xml:space="preserve">quelle horreur cette mutuelle ! a fuir a tout prix ...Depuis le début rien ne va :   6 mois d'attente pour avoir sa carte , tiers payant impossible ... </t>
  </si>
  <si>
    <t>karim-h-114420</t>
  </si>
  <si>
    <t>Bien sérieux je vous conseille april moto pour votre assurance moto qualité prix sérieux et pas chère j’ai assuré mon 125 en 2 click et je suis vraiment content</t>
  </si>
  <si>
    <t>jcl-102946</t>
  </si>
  <si>
    <t>Remboursement rapide dans l ensemble. Entière satisfaction lors de renseignements téléphoniques. Personnel très agréable et compétent avec réponses claires et précises, merci.</t>
  </si>
  <si>
    <t>herve-r-124148</t>
  </si>
  <si>
    <t>pour la première fois j'ai besoin de vous après des années de cotisations je verrai bien si la confiance en vous est mérité ce que je ne doute pas car jusqu'à présent j'ai été agréablement surpris
merci de votre attention</t>
  </si>
  <si>
    <t>ludovic-c-106047</t>
  </si>
  <si>
    <t>Je suis satisfait du prix et de la rapidité pour souscrire un contrat d’assurance
L’envoie des documents est très simple à faire et le site et très bien fait</t>
  </si>
  <si>
    <t>elizangela-b-124449</t>
  </si>
  <si>
    <t xml:space="preserve">Je suis satisfaire de mon choix. Personnel attentif et toujours disponibles pour répondre aux questions.
Prox correct                                 </t>
  </si>
  <si>
    <t>?-132130</t>
  </si>
  <si>
    <t>J'ai été reçu au téléphone par Emeline ce jour.
Un accueil en tous points parfait, écoute, qualité des réponses, disponibilité et le "sourire dans la voix". Merci pour la qualité des renseignements.</t>
  </si>
  <si>
    <t>09/09/2021</t>
  </si>
  <si>
    <t>catherine-f-116365</t>
  </si>
  <si>
    <t>je suis satisfaite de la disponibilité et de l'écoute rencontrée.
La personne au téléphone était aimable et compétente.
La négociation a été possible. Merci</t>
  </si>
  <si>
    <t>08/06/2021</t>
  </si>
  <si>
    <t>anne-r-117128</t>
  </si>
  <si>
    <t>Insatisfaite du service client , qui change le tarif d'un devis sans en avertir le client ! augmenter ce tarif car on est plus mariée !!!!!! donc seul à supporter l'assurance...bravo</t>
  </si>
  <si>
    <t>gerard-c-112004</t>
  </si>
  <si>
    <t xml:space="preserve">Service téléphonique très agréable et top niveau souscription 
Je compte faire une assurance habitation en plus de deux assurances voiture chez vous 
</t>
  </si>
  <si>
    <t>pascaloubio-49743</t>
  </si>
  <si>
    <t>après un tarif attractif de départ,la cotisation annuelle de référence augmente fortement chaque année, soit +15% par rapport à 2017, et + 44% depuis 2016 !!!!!Malgré mon bonus à 40% je paye de plus en plus!!</t>
  </si>
  <si>
    <t>david-101350</t>
  </si>
  <si>
    <t xml:space="preserve">Je déconseille fortement. J'ai eu des soucis administratifs, ils m'ont fait  refaire le document plusieurs par le veterinaire car la date n etait pas dans la bonne case, alors que elle etait précisée avec le commentaire sur le soin avec la ligne du dessous. j'ai envoyé ma demande de résiliation par courrier, ils ont refusé demandant un recomandé avec AR, ils l'ont reçu 1 semaine après le délai, efusent et m'imposent 1 an supplémentaire.  D'autre part, il y a 20 € de franchise systématique pour chaque remboursement. Donc très peu rentable. Et en cas de pepin, les plafonds sont bas et ne couvrent pas l'ensemble des investissements. A fuir absolument !
</t>
  </si>
  <si>
    <t>12/12/2020</t>
  </si>
  <si>
    <t>thomas-d-109023</t>
  </si>
  <si>
    <t>Rapide simple et les conseillers à l'écoute et réponde correctement à vos demande tout en étant poli et en donnant des conseils. 
Ma demande a été rapidement traité et bien traité</t>
  </si>
  <si>
    <t>jean-joel-d-114257</t>
  </si>
  <si>
    <t>Je suis satisfait des services proposés.
Observations :
Dans la mesure où je suis dans mon espace client, il serait bien vu que les informations d'identité/personnelles ne soient pas/plus à renseigner...à nouveau, comme ci-après par exemple.
Bien cordialement</t>
  </si>
  <si>
    <t>19/05/2021</t>
  </si>
  <si>
    <t>roadking59-66917</t>
  </si>
  <si>
    <t>s'assurer et se faire virer pour deux sinistres NON responsables; pourquoi donc s'assurer "tous risques" pour ne pas être indemniser au prorata des primes demandées !!! Je vais donc résilier de mon côté les contrats direct assurance et AXA (même groupe); 7 contrats en jeu, on verra qui en pâtira le plus!! à bon entendeur...</t>
  </si>
  <si>
    <t>18/09/2018</t>
  </si>
  <si>
    <t>sissi-99711</t>
  </si>
  <si>
    <t>Suite à un dégât des eaux février 2020 et et un incendie juin 2020 j’ai tout de suite eut la visite des experts ....tout à été fait dans les règles au début très à l écoute .depuis pas un rond de verser ,très difficile de les avoirs au téléphone.....du bla-bla-blas......à devenir dingue !!!!!
Bref tu souscrit une assurance et on te fait tourner en toupie !!!!!</t>
  </si>
  <si>
    <t>05/11/2020</t>
  </si>
  <si>
    <t>ad66-57681</t>
  </si>
  <si>
    <t>Plateforme au Maroc
Avec des agents désagréables ne connaissent pas leur métier répète toujours le même texte</t>
  </si>
  <si>
    <t>28/09/2017</t>
  </si>
  <si>
    <t>monanou-65469</t>
  </si>
  <si>
    <t xml:space="preserve">Voilà maintenant 3mois que la résiliation de mon assurance habitation dur. Ils continue à vous faire payer. Quand vous arriver à avoir enfin quelqu’un au téléphone ce n’est pas pour vous aider. C’est parce qu’il on besoin de votre accord pour changer vos dosssier. Mais ne sont pas apte à s’occuper de vos vrai litige. Ils vous accuse de ne pas avoir fait le nécessaire et envoyer tel ou tel dossier ou demande. Alors que cela fait dix fois qu’on les relance et à aucun moment ne trouve l’intelligence de vous informer de ce qu’il faut faire. On doit deviner les étapes et croiser les doigts. Cela fais 4ans que j’en suis là bas et déjà dégoûter . Et encore je ne parle pas de l’assurance auto. Une fois le litige terminé  je ferme tous mes contrat et je vais voir ailleurs. </t>
  </si>
  <si>
    <t>13/07/2018</t>
  </si>
  <si>
    <t>fil56-64473</t>
  </si>
  <si>
    <t xml:space="preserve">Cette mutuelle est injoignable et ne répond que par des mails automatisés. Il y a un va et vient totalement opaque entre Neoliane, Mutua Gestion et Santiane qui rend tout extrêmement complexe. Aucune relation directe, aucun conseil. Un univers bureaucratique dans toute sa splendeur et des tarifs pas si avantageux que ça </t>
  </si>
  <si>
    <t>pinpin-74800</t>
  </si>
  <si>
    <t>délai supérieur à 3 semaines , 10 à  15 jours annoncés</t>
  </si>
  <si>
    <t>joe1313-114479</t>
  </si>
  <si>
    <t>Bonjour suite à mon appel concernant les services pouvant se traiter avec portable je remercie tout particulièrement Aminata pour m’avoir renseigné de très bonnes manières c’était clair net très précis et  compréhensif,  encore merci,  cordialement Monsieur Cambourg Joseph.</t>
  </si>
  <si>
    <t>marc-m-113019</t>
  </si>
  <si>
    <t>les informations demandées sont simples et pratiques pour la rédaction du contrat, je trouve dommage qu'il n'y ai pas une option sur la couverture des biens contre le vol par effraction.</t>
  </si>
  <si>
    <t>karine-100923</t>
  </si>
  <si>
    <t xml:space="preserve">Service travaux des incompétents, il missionne des entreprises bas prix pour effectuer les travaux résultat malfaçon ! A FUIR
Aujourd'hui le problème n'est toujours pas réglé. De plus les tarifs sont plus qu élevés </t>
  </si>
  <si>
    <t>03/12/2020</t>
  </si>
  <si>
    <t>mmteyrek-79290</t>
  </si>
  <si>
    <t>me raccrocher au nez. Demande des enregistrements téléphoniques en cours pour porte plainte. Après un cambriolage, il faut envoyer un devis pour la réparation de la porte ( oui je dois laisser ma porte grande ouverte avant qu'un robot validé ma demande !)</t>
  </si>
  <si>
    <t>francois-g-111806</t>
  </si>
  <si>
    <t xml:space="preserve">Prix non conforme au devis établi par DIRECT ASSURANCE 
pas satisfait de la réponse apportée par le conseiller contacté par téléphone (n'a pas voulu me mettre en contact avec son responsable)
</t>
  </si>
  <si>
    <t>js-90527</t>
  </si>
  <si>
    <t>Après souscription d'un contrat moto, j'ai reçu mon assurance provisoire pour un mois par mail (aucun moyen de fixer la carte verte sur la moto). J'ai envoyé toutes les pièces nécessaires à la finalisation de mon dossier dans la semaine et aucune nouvelle pendant 3 semaines. J'ai donc contacté le service client par téléphone, qui était incapable de me donner le statut de mon dossier. 1 jour avant la fin de l'assurance provisoire ety après 3 appels, ils m'informent n'avoir jamais reçu les pièces justificatives, alors que j'ai les mails de confirmation de leur part. 
Silence total pendant la période provisoire, appel de ma part pour que l'on m'informe qu'ils n'ont pas reçu les documents, service déplorable.</t>
  </si>
  <si>
    <t>domie--125431</t>
  </si>
  <si>
    <t xml:space="preserve">Courrier envoyé le 15 juin j'attend la réponse 45 jours c'est très long : je résilie mon contrat pas la peine de jeter l'argent par les fenêtre le tout dans une prise en charge pour un cancer (prévoyance genepro).
</t>
  </si>
  <si>
    <t>clo-100507</t>
  </si>
  <si>
    <t xml:space="preserve">Augmentation mensualités sans aucune explication et aucune négociation possible même pour moi qu’indus bon conducteur avec bonus 50% ! Si les tarifs augmentent tous les ans ce n’est vraiment pas du tout intéressant comme cela semblait l’être au début avec tarifs attractifs mais
qui augmentent d’année en année Très déçue </t>
  </si>
  <si>
    <t>23/11/2020</t>
  </si>
  <si>
    <t>vincent-s-128811</t>
  </si>
  <si>
    <t>Je suis content de votre service, merci beaucoup pour ce moment ou je doit remplir un avis de minimum de 150 caractères j'ai beaucoup de chose a vous dire donc je vous souhaite une excellente journée bizou ++</t>
  </si>
  <si>
    <t>patrick-z-127279</t>
  </si>
  <si>
    <t>Tarif compétitif. Je suis impatient de vérifier sur le long terme les qualités de cette assurance au moment opportun quand à la qualité de la prestation d'assurance.</t>
  </si>
  <si>
    <t>ericam-92045</t>
  </si>
  <si>
    <t>Simple et pratique il manque le tarif au tiers non precisepour le reste étant déjà client je suis satisfait du service  et du relationnel par tel si possible m envoyer un devis au tiers cela me permettra de voir la différence et de décider aujourdhui</t>
  </si>
  <si>
    <t>pierre-94738</t>
  </si>
  <si>
    <t xml:space="preserve">assuré depuis début janvier 2020 date de départ à l'étranger ,mais le cov19 est arrivé et je suis toujours bloqué à l'étranger du coup je vais m'installer au Vietnam pour quelques années je veux résilier mais chose impossible n'ayant pas créé mon espace avant mon départ et n'ayant pas les informations sur mes n de mutuelle comment faire ? bien sûr je ne suis pas joignable avec mon tél France,j'ai pris contact avec le courtier qui m'a vendu cette mutuelle mais j'ai pas de réponse </t>
  </si>
  <si>
    <t>sualico-138268</t>
  </si>
  <si>
    <t xml:space="preserve">Bonjour, Merci à Monsieur Labi d'avoir été ce matin à mon écoute pour résoudre mon problème d'adhesion, personne très sympathique et humaine, encore merci.  </t>
  </si>
  <si>
    <t>badeche-62450</t>
  </si>
  <si>
    <t xml:space="preserve">je suis intérimaire,obligation d’adhérer a la mutuelle de groupe. j'envoi ma résiliation a harmonie mutuelle accompagnée d'une attestation  d’intérim santé stipulant le caractère obligatoire d’adhésion a la complémentaire santé ag2r. je reçoit une réponse au bout d'un mois  me disant radiation refusée dossier incomplet.histoire de fous je pense que je vais finir au tribunal. </t>
  </si>
  <si>
    <t>18/03/2018</t>
  </si>
  <si>
    <t>marolany-t-139076</t>
  </si>
  <si>
    <t>Bonjour, 
Je suis un peu déçue par vos services administratifs car les documents ont été envoyés par courrier depuis le 15 octobre et aucun retour.
Cela n’augure rien de bon et j’espère me tromper.</t>
  </si>
  <si>
    <t>tarik-81241</t>
  </si>
  <si>
    <t>Assurance Horrible !
C'est inadmissible, sinistre déclaré le 12 janvier 2019 et nous sommes le 22 novembre 2019. 2 lettres recommandées avec avis de réception ont était envoyée sans réponse. Impossible de les contacter par téléphone. Ils en ont que faire de vous lorsque vous avez un problème. Assurance a fuir immédiatement je vous assure. C'est un manque de professionnalisme total de leur part.</t>
  </si>
  <si>
    <t>22/11/2019</t>
  </si>
  <si>
    <t>maltaverne-m-107796</t>
  </si>
  <si>
    <t xml:space="preserve">Je suis satisfaite du service, le conseiller que j'ai eu au téléphone a été très clair et patient. Les explications données n'étaient pas superflues. Les réponses aux différentes questions que j'avais étaient claires et précises. </t>
  </si>
  <si>
    <t>xavier-d-108663</t>
  </si>
  <si>
    <t>Des tarifs raisonnables, un service réactif et humain... un seul mot; Bravo !
Un client satisfait est un client qui vous fait de la publicité, c'est ce que je suis :-)</t>
  </si>
  <si>
    <t>andreus-67448</t>
  </si>
  <si>
    <t>contact avec Zackary très bon agréable et précis et apparemment efficace.</t>
  </si>
  <si>
    <t>08/10/2018</t>
  </si>
  <si>
    <t>ffd-94750</t>
  </si>
  <si>
    <t xml:space="preserve">En 2020 il faut encore attendre de recevoir les documents par voie postale quand une opération urgente est programmée, alors qu'un simple mail ferait gagner du temps à tout le monde et serait bien plus écologique. </t>
  </si>
  <si>
    <t>bizet-128524</t>
  </si>
  <si>
    <t xml:space="preserve">Je suis satisfait du service les prix me conviennent simple et pratique tarif compétitif par rapport au autres assurance très bien renseigné par téléphone </t>
  </si>
  <si>
    <t>djami-55882</t>
  </si>
  <si>
    <t>Personnel incompétént
Assurance très bien à partir du moment où il n'y a pas de sinistre
J'ai eu un vol de voiture depuis 3 mois alors que le contrat stipule bien 30 jours après on recoit le réglement rien à ce jour et sans raison.Ma protection juridique est intervenu mais le service n'ont aucune information à donner donc nous sommes obligé de les mettre en justice.</t>
  </si>
  <si>
    <t>08/07/2017</t>
  </si>
  <si>
    <t>jojo51-56154</t>
  </si>
  <si>
    <t>Suite à un démarchage à mon domicile, le conseiller analyse votre capacité à contribuer à l'enrichissement de Generali, puis il vous déballe son argument en vous faisant prendre conscience du risque encouru en cas de perte de revenus ou de décès. Flippant. Résultat, vous souscrivez pour des prestations très coûteuses. Exemple, Generali Protection vie avec optima relais et protection conjoitn : votre argent perd de rechef près de 10% la 1ère année. Heureusement, le Code des Assurances prévoit un délai de 30 jours pour y renoncer</t>
  </si>
  <si>
    <t>21/07/2017</t>
  </si>
  <si>
    <t>martin57-70923</t>
  </si>
  <si>
    <t>Une assurance avec un rapport qualité-prix exceptionnel. A l'écoute et réactif, j'ai changé pour le tarif mais je peux confirmer qu'ils sont, en plus, beaucoup plus sérieux que les autres grandes assurances</t>
  </si>
  <si>
    <t>04/02/2019</t>
  </si>
  <si>
    <t>sabi-102600</t>
  </si>
  <si>
    <t xml:space="preserve">Mutuelle professionnelle qui propose des garanties adaptées. Très avantageux pour les institutions, et quant aux tarifs je les trouve honnereux mais seul eux proposent ce qu'il faut. </t>
  </si>
  <si>
    <t>stephg83-57000</t>
  </si>
  <si>
    <t>Victime d'un sinistre non responsable en stationnement, petite rayure sur ma poignée de porte, incapacité du groupe Allianz et du Groupe alliance Expert à m'accompagner correctement dans le règlement de ce sinistre qui n'ont conduit après trois mois de "galère" à demander la clôture du sinistre sans que mon véhicule ne soit réparé.</t>
  </si>
  <si>
    <t>31/08/2017</t>
  </si>
  <si>
    <t>romaind30-103191</t>
  </si>
  <si>
    <t>Je trouve inadmissible l'augmentation de plus de 6% envoyée fin octobre 2020 à mon épouse alors que l'on sait que les français n'ont quasiment pas roulé en 2020.
Je précise qu'il n'y a eu aucun sinistre.</t>
  </si>
  <si>
    <t>25/01/2021</t>
  </si>
  <si>
    <t>rudy-e-115754</t>
  </si>
  <si>
    <t>Je suis satisfait ce service le prix me convient. J'ai opté pour une formule qui m'est adapté. Je recommande zen up à mon entourage en espérant que eux aussi soit satisfait.</t>
  </si>
  <si>
    <t>sebastien-jour-109656</t>
  </si>
  <si>
    <t>Bonjour, l'assureur qui m'a renseigné était très courtois, il m'a très bien renseigné et guidé tout le long de ma demande. Très professionnel et je l'en remercie.</t>
  </si>
  <si>
    <t>thomas-m-123890</t>
  </si>
  <si>
    <t xml:space="preserve">Assez  simple avec des options clair. Un  choix de  moyens de payer plus ou moins selon nos besoins.
Protection vehicule ou plutot  passagers et autres prioritise. </t>
  </si>
  <si>
    <t>veronique-a-129780</t>
  </si>
  <si>
    <t>Je suis satisfaite de mon assurance qui en général répond bien et rapidement à mes besoins. Les tarifs sont corrects et compétitifs. Je n'envisage pas de changer d'assurance dans les mois à venir.</t>
  </si>
  <si>
    <t>crespo-helene2707-59590</t>
  </si>
  <si>
    <t>Nous avons clôturés notre prêt immobilier an Avril 2017, envoi du courrier de résiliation avec AR en Septembre et depuis aucune nouvelle. Nous avons été obligés de bloquer le prélèvement. A date, toujours aucune nouvelles... Mail envoyé via le site et nous ne comptons pas nous assoir sur 400euros
y a t il vraiment un service client?</t>
  </si>
  <si>
    <t>16/12/2017</t>
  </si>
  <si>
    <t>dje-81496</t>
  </si>
  <si>
    <t>On est le 30/11/2019, hospitalisée du 27/07/2019 au 31/07/2019, les frais journaliers couverts par mon contrat santé ne sont toujours pas réglés à l'hôpital de Metz. Harmonie Mutuelle me dit que la prise en charge est envoyée à l'hôpital,  ce dernier me dit qu'il n'a rien reçu. Après mon nième coup de fil à Harmonie, je leur ai demandé de m'envoyer à moi-même cette prise en charge par email afin que je la transmette à l'hôpital. Ainsi, ce dernier ne pourrait plus me dire qu'il ne l'avait pas reçue. J'attends depuis plus d'une semaine cette prise en charge qui devait arriver par email. J'appelle à nouveau Harmonie, ils me disent que le document en question devait être désarchivée avant l'envoi par email; ça prend du temps et qu'Ils ne savent pas quand est-ce que cet envoi de email aura lieu. Sauf que ma facture de l'hôpital est passée en contentieux, le comptable public va exercer un recouvrement forcé en saisissant mon compte bancaire sans compter des frais bancaires qu'engendrerait cette opposition à tiers détenteur par le comptable public. Ce n'est pas la première fois que cette mutuelle me met dans ce genre de situation.</t>
  </si>
  <si>
    <t>30/11/2019</t>
  </si>
  <si>
    <t>flo26800-67849</t>
  </si>
  <si>
    <t>Je me suis fait vandalise ma voiture le quatorze aout de cette anne ma voiture a etait reconnu par un expert economiquement irreparable car il y avais trop de reparation il ma  expertise ma voiture a trois milles trois cent euros  j ai ceder ma voiture le deux octobre a  la matmut le ferrailleur est venu la recupere chez moi en la demarrant pour la monter sur le camion et maintenant j atten toujours leur remboursement de ma voiture et il me maintienne que la pompe a huile de ma voiture était hs hors la voiture roule et qu elle a zero voyant allumer au tableaux de bord encore a leur d aujourd hui et maintenant mon dossier viens encore de changer de service donc depuis le mois d aout  je suis pieton et j ai toujours pas etait indemnise de mon sinistre tant que vous avez pas de sinistre c est super si il y a sinistre bonne chance</t>
  </si>
  <si>
    <t>18/10/2018</t>
  </si>
  <si>
    <t>gadal-c-131325</t>
  </si>
  <si>
    <t xml:space="preserve">Je suis satisfait du service, les tarifs me conviennent. Simple et efficace. 
Heureuse de faire partie de vos clients. 
J'espère que cela continuera au cours de cette année. </t>
  </si>
  <si>
    <t>romain-76220</t>
  </si>
  <si>
    <t>Bonjour assuré depuis 2014 étant malussé en y entrant le prix était plutôt convenable 3 ans sont passé sans aucun sinistre avec mon véhicule sauf bris de glace l'assurance n'a pas cessé d'augmenté tout les ans malgré le malus qui s'est transformé en bonus j'ai finis par changé de véhicule et de formule d'assurance passant d'un tier maxi en tout risque + pack tranquillité 
3 mois d'assurance et là pas de chance un sinistre responsable alors là la bataille commence j'ai été remorqué par l'assistance qui me propose un garage agrée dont j'accepte me disant que ça ne pourrait que bénéficié à la gestion de mon sinistre
mais il n'en n'est rien ma voiture est au garage depuis 11 jours bientôt et je n'ai aucun avancement sur mon dossier J'ai du appeler moi même partout pour que mon dossier avance et obtenir PAR MES PROPRES MOYENS à force d'appels et de mails à l'expert pour obtenir un rdv d'expertise le conseil sinistre de direct assurance me faisant tourner en rond en me disant que j'aurais une voiture de prêt par le garage mais en appelant le garage aucune voiture de prêt possible et ils me confirme qu'ils avaient bien prévenu l'assurance sur ce point delà je ne cesse de faire des vas et viens garage-assurance-expertise sans rien obtenir le service sinistre ne connait même pas mon dossier je dois à chaque appel dire que j'ai bien le pack tranquillité mais pire que ça on me confirme au début du sinistre que je serais indemnisé à hauteur de 30 euro par jours pour une locations de voiture laquelle j'ai du trouver moi-même encore une fois et maintenant on me dit 10 euro par jours et à voir pour une possibilité de 30 euro par jours je crois rêver mon contrat tout risque n'en à que le nom pas les conditions de plus je ne trouve pas normal de devoir appeler pour faire avancer mon dossier
l'expert n'était même pas au courant qu'il devait y avoir une expertise sur mon véhicule lors de mon dernier appel j'ai du prendre rdv moi même la gestion sinistre ne connait rien du tout le conseillé me dit de prendre rdv au garage pour prendre la photo expertise de mon véhicule et l'envoyé a l'expert le garage à également était très interloqué pour ces dire
 c'est le monde a l'envers je devrais peut être faire l'expertise moi même aussi non ? 
enfin a ce jour je ne dispose ni de ma voiture ni d'une voiture de prêt j'ai du louer une voiture 11 jours pour un montant de 621 euro! qui ne me sera jamais remboursé d'après mon conseillé sinistre ah quel bon conseil quand j'essaie  d'avoir une solutions pour aller travaillé on me rappel que je suis 100% responsable et que en gros bah j'avais qu'à pas avoir d'accident sauf que sans accident les assurances ne serviraient à rien  
je suis horriblement déçu et insatisfait de direct assurance il est certains que cette expérience ma convaincu de ne pas y rester et de ne surtout pas recommandé à mon entourage de souscrire chez eux quand tout va bien l'argent est retiré mais quand il s'agit d'avoir un service là il n'y plus personne</t>
  </si>
  <si>
    <t>24/05/2019</t>
  </si>
  <si>
    <t>mariedereims-124213</t>
  </si>
  <si>
    <t>À fuir, ne répond ni téléphone ni au mails. Incapable d'envoyer un échéancier, reclame des paiements correspondant en rien. J'étais chez all secur sans soucis et depuis la fusion  début 2021, impossible de joindre qui que ce soit !</t>
  </si>
  <si>
    <t>patmo-62291</t>
  </si>
  <si>
    <t xml:space="preserve">Bonjour, 
je voudrais vous faire part d' un retour d ' expérience négatif avec Active Assurance. J' ai ouvert un dossier chez eux pour assurer une mini cooper, et ils m' ont fait une offre alléchante a 200€.  Ils ont débités immédiatement mon compte et  m' ont demandé de leur fournir les documents nécessaires. Après plusieurs échanges  d 'emails, il ne leur manquait plus que le relevé d' information que je leur ai fourni.
Ce relevé ne leur convenait pas , même si il couvrait la période légale demandée. Au bout de deux semaines, j' ai demandé mon remboursement, n' arrivant pas a boucler le dossier d' assurance.  Sans réponse de leur part , j' ai renvoyé une demande en copiant le furet.com qui a servi d' intermédiaire dans de dossier.  Ils ont finalement accepté de me rembourser la moitié de la somme au bout de deux mois, mais  en prélevant la moitié de la somme  pour frais de dossier...    Evitez ces assurance si vous ne rentrez pas pile-poil dans les critères.
La soustraction du jour:
Prélèvement: 202,90 €
Remboursement: 107.60 €
</t>
  </si>
  <si>
    <t>mam-89081</t>
  </si>
  <si>
    <t xml:space="preserve">Bonjour,j'ai eu une démarche téléphonique le mardi 21avril 2020;la personne me disait que d'après la nouvelle réforme et en croyant que c'était un organisme de l'état j'ai donné mes coordonnées bancaire chose que je regrette amèrement car en réfléchissant le soir  et après avoir téléphoné ma mutuelle qui m'a dis que je pouvais annuler car je suis très bien couvert ,d'onc le  mercredi j'ai rappelé la personne que j'ai eu le mardi en lui demandant d annulé le contrat si il y a car on m'a demandé de leur renvoyer le code pour qu'un courtier puisse signé à ma place chose que je n'ai pas fait et malgré tout la personne m'a dis que c'est déjà en cours et que je ne peux l'annuler mais normalement pour un contrat on a droit à moment de réflexion et je leur ai dit que je voudrais rétracter car j'en ai nullement besoin d'une nouvelles assurance Mais malgré tout la personne me dis que je ne peux rien y faire car c'est déjà en cours vous trouvez ça normal vous! En attente d'une réponse de votre part je vous remercie d'avance </t>
  </si>
  <si>
    <t>23/04/2020</t>
  </si>
  <si>
    <t>anais-t-134932</t>
  </si>
  <si>
    <t xml:space="preserve">Facilité de paiement . Très avantageux niveaux tarif . Dossier à remplir super facile . Assurer à la minute . Prix défiant toutes concurrences. Je recommande fortement </t>
  </si>
  <si>
    <t>28/09/2021</t>
  </si>
  <si>
    <t>bossard-j-125565</t>
  </si>
  <si>
    <t>Tres bon contact telephonique , rapidite et simplicite en esperant qu'en cas de problème cela restera identique , mais pas de soucis !!! En espérant une bonne collaboration</t>
  </si>
  <si>
    <t>fbs-126843</t>
  </si>
  <si>
    <t>Assurance super rapide pour les démarches et souscription. Mais une fois que vous avez un sinistre, plus rien. Voilà presque 3 mois d'attente pour pouvoir réparer ma moto alors qu'elle était stationné et que le fautif a signé le constat à l'amiable. A chaque fois ils me disent on a pas eu de retour de l'autre assureur. En attendant il m'ont rien proposé,alors que je peux plus utiliser ma moto</t>
  </si>
  <si>
    <t>lepilliez-l-111276</t>
  </si>
  <si>
    <t xml:space="preserve">L'accueil téléphonique était parfait, les gens bien aimable et les prix sont meilleurs qu'ailleurs pour les mêmes garanties, je recommande vivement ! </t>
  </si>
  <si>
    <t>22/04/2021</t>
  </si>
  <si>
    <t>joseph-53211</t>
  </si>
  <si>
    <t xml:space="preserve">je suis sastifait  du service et attend que vous puissiez m'accompagné avec ma rc sur les dégat physique que nous avons subi. suite a l'agression  et notre immobilisation notre séjour . car nous pensons rester encore  2 mois sur place </t>
  </si>
  <si>
    <t>joel-p-122876</t>
  </si>
  <si>
    <t>Je suis satisfait de la GMF , rien a signaler au niveau du tarif , assurance consciencieuse , pas de problème , même au niveau de votre assistance qui fonctionne bien dans les temps requis . RAS</t>
  </si>
  <si>
    <t>09/07/2021</t>
  </si>
  <si>
    <t>bensam--91840</t>
  </si>
  <si>
    <t>Le service me satisfait pour le moment. J’espère que mon cas me permettre de m’assurer ici. Le prix me semble correct, abordable. Ce qui est plaisant.</t>
  </si>
  <si>
    <t>22/06/2020</t>
  </si>
  <si>
    <t>media-67193</t>
  </si>
  <si>
    <t>Après avoir fourni mes documents 4 fois je n ai toujours pas de reçu ma carte verte. Mes mails restent quant à eux sans réponses et le service téléphonique est à fuir. Je suis très déçue de leur comportement. Pour le souscription j ai été harcelée par les conseillers par contre une fois le premier paiement effectué silence radio</t>
  </si>
  <si>
    <t>29/09/2018</t>
  </si>
  <si>
    <t>ooze-55714</t>
  </si>
  <si>
    <t xml:space="preserve">Service client insupportable, difficile d'aller droit au but dans notre demande la personne à l'autre bout fait le perroquet et récite bêtement son prompteur. </t>
  </si>
  <si>
    <t>29/06/2017</t>
  </si>
  <si>
    <t>carlo-p-124403</t>
  </si>
  <si>
    <t xml:space="preserve">Satisfait du devis en ligne - la communication conseiller est très bonne
 pour prendre une décision sur les tarifs.
Le plus aurait été une assurance au km ...............
Peut-être dans le futur </t>
  </si>
  <si>
    <t>tofff-57929</t>
  </si>
  <si>
    <t xml:space="preserve">je suis très très déçu de cette assurance pour un petit choc sans gravité on vous retire du bonus à gogo et on se permet de nous dire il va falloir 5 ans pour récupérer tout ça où va t'on?
</t>
  </si>
  <si>
    <t>09/10/2017</t>
  </si>
  <si>
    <t>menet-e-127918</t>
  </si>
  <si>
    <t>toujours trop chère une assurance :-),mais sinon je trouve vraiment pratique j'ai tout fais par téléphone ,mon frère ma parrainé et je suis pas déçue pour le moment .</t>
  </si>
  <si>
    <t>13/08/2021</t>
  </si>
  <si>
    <t>domir-87958</t>
  </si>
  <si>
    <t>Aucune réponse aux mails pas de suivi sérieux, des remboursements qui se font attendre. Une ligne de téléphone difficile à joindre. Difficile pour les séniors!</t>
  </si>
  <si>
    <t>jlk-131112</t>
  </si>
  <si>
    <t>Assuré depuis mes 18 ans à la macif, ceux-ci ont refusé d'assurer la propriété que j'ai hérité de mes grands-parents (ancien moulin) pourtant couvert chez un concurrent direct depuis plusieurs dizaine d'années et sans présence de litige (sinistre) dans leurs archives. Après de multiples rdv téléphoniques et un entretien physique il m'a fallu les relancer par téléphone pour obtenir leur réponse, pas très pro.</t>
  </si>
  <si>
    <t>madeleine-64608</t>
  </si>
  <si>
    <t xml:space="preserve">mauvais suivi du contrat corail 3000 - PRIME ANNUELLE 765 EUROS POUR UN CAPITAL MOBILIER 175000 EUROS ce qui aurait dû INTERPELLER LE CHARGE DE CLIENTELE LORS DE LA DECLARATION D UN SINISTRE FOUDRE TV A 50 EUROS....D AILLEURS AUCUN REMBOURSEMENT POUR CE SINISTRE - </t>
  </si>
  <si>
    <t>drioton-g-126919</t>
  </si>
  <si>
    <t>L'inscription est facile, les prix correct. Ma précédente voiture a été assuré chez vous et j'ai été indemnisé rapidement, les personnes qui s'étaient occupé de mon dossier a été à mon écoute. Merci à eux. Je repars confiant chez vous.</t>
  </si>
  <si>
    <t>olivier-n-108386</t>
  </si>
  <si>
    <t>Très bien, bon contact avec la conseillère clientèle, disponible, à l'écoute, de bon conseil, sympathique, et j'arrive juste aux 150 caractères obligés.</t>
  </si>
  <si>
    <t>metant-66250</t>
  </si>
  <si>
    <t xml:space="preserve">Je ne recommande pas cette assurance,j ai eu un sinistre alors que j'été piéton porte arrière ouverte en positionnant mon fils sur le siège une voiture percute la porte. une fois  avoir envoyer le constat je reçoit un mail me qualifiant responsable du sinistre après avoir contester je n'ai jamais reçu de réponse de leur par et cela depuis deux mois!!       </t>
  </si>
  <si>
    <t>17/08/2018</t>
  </si>
  <si>
    <t>vakaramo-56924</t>
  </si>
  <si>
    <t>Malgré toutes les années que j'ai faites avec gmf j'ai été résilié pour une raison indépendante de ma volonté car  j'avais siégé toutes mes assurances chez gmf et mes paiements ont été affectés n'importe comment: j'ai payé l'assurance auto ils l'ont affecté à l'assurance santé et résilié mon assurance auto et m'obliger à payer en une seule mon assurance auto ce qui m'est impossible dans ma situation financière actuelle</t>
  </si>
  <si>
    <t>28/08/2017</t>
  </si>
  <si>
    <t>x-138221</t>
  </si>
  <si>
    <t>Caci assureur basé en Irlande, A EVITER car si vous passez par le LCL et que vous prenez l'assurance emprunteur CACI couplée avec votre emprunt et que vous avez un accident avec des séquelles permanentes, non seulement il faut être en capacité de faire la déclaration même suite à un trauma crânien sévère avec pronostic vital engagé puis lorsque vous arrivez à survivre et que vous arrivez à déclarer, aucune indemnisation ni prise en charge de vos prêt, visite à l'un de leur médecin qui sans étudier le dossier et en 20 minutes en plein covid, décide que vous êtes consolidé et guéri alors que vous êtes reconnu handicapé à plus de 80%, que vous ne pouvez plus conduire,  plus travailler et plus sortir de chez vous. BRAVO</t>
  </si>
  <si>
    <t>25/10/2021</t>
  </si>
  <si>
    <t>inyouraceny9o-76352</t>
  </si>
  <si>
    <t xml:space="preserve">très très mauvais un problème suite a une personne qui a fait un délit de fuite voiture HS et alors là ça était un Bazard pas possible sur 2000 e de frais on m'a rembourser tout juste 180 e meme avec un depot de plainte rien il a meme fallu payer le remorquage et pourtant je payais prés de 80e par mois  pour une laguna </t>
  </si>
  <si>
    <t>30/05/2019</t>
  </si>
  <si>
    <t>nicolas-c-130665</t>
  </si>
  <si>
    <t xml:space="preserve">Je debute avec vous  donc a voir si je suis satisfait dans le temps  et surtout merci a mon concessionnaire les belles motos a nice de vous avoir recommandé </t>
  </si>
  <si>
    <t>jose-136414</t>
  </si>
  <si>
    <t>Y a rien à faire, c 'est plus la MAAF que je préfère.Dans les contrats d'assurance, y a toujours un os... j'ai été " poussé " à la sortie d'un giratoire,malgré le respect du code de la route dans ces carrefours alacon,j'ai récupéré toute la responsabilité,alors maintenant c'est au plus rapide d'entrer et de sortir.</t>
  </si>
  <si>
    <t>doina-m-115626</t>
  </si>
  <si>
    <t>Première inscription. C'est facile de comprendre et de remplir . Nous sont bien dirigés entre les diverses demandes. Les prix sont détaillés. 
SIMPLE ET PRATIQUE</t>
  </si>
  <si>
    <t>einahp-61892</t>
  </si>
  <si>
    <t>Chez maaf tout va bien, tant que tout va bien...il ne faut pas avoir un problème auto et appeler maaf assistance,  car dans mon cas, 5 jours après la demande, le véhicule n'est toujours pas remorqué....Et je compte sur mes pieds pour mes déplacements.</t>
  </si>
  <si>
    <t>nickname-61756</t>
  </si>
  <si>
    <t>Accidenté le 05/12/2017 : une voiture change de file sans clignotant _x009b_ me voit _x009b_ panique _x009b_ se remet dans la file d'origine (celle où j'étais donc) _x009b_ pile : choc frontal 110km/h (pas de fracture ni de contusions grave heureusement !) par contre la moto a subit...
J'ai dû payer les frais de transfert de ma moto qui était dans un autre garage (700€ environ) qui seront remboursés suite à la clôture du dossier. Mais voilà qu'on est le 26/02 et je n'ai toujours pas de retour, j'ai dû moi même contacter les services qui étaient présent (pompiers) pour, par la suite, que AMV les contactes à leur tour ! La qualité du service est juste affligeant. C'est comme si on payait : ils sont content ; on a un accident : on existe plus.
S'ils ne se bougent pas je vous les déconseille !</t>
  </si>
  <si>
    <t>26/02/2018</t>
  </si>
  <si>
    <t>coquet-n-110599</t>
  </si>
  <si>
    <t>Simple, pratique d'accès. Un conseiller à l'écoute et très explicite dans la présentation du dossier, des démarches à effectuer. Patiente et claire, échange agréable</t>
  </si>
  <si>
    <t>santos-l-139110</t>
  </si>
  <si>
    <t xml:space="preserve">Je suis satisfait du service très bien accueilli 
La conseillère  sympa et bien clarifié a répondre à tous mes questions 
Le prix me convient bien 
Simple, pratique et efficace </t>
  </si>
  <si>
    <t>06/11/2021</t>
  </si>
  <si>
    <t>damien-m-116205</t>
  </si>
  <si>
    <t>J'aurais aimé une ristourne pour ajout d'un second contrat chez vous. Ca m'a même couté plus cher que la simulation faite la veille. Mais cela restait compétitif</t>
  </si>
  <si>
    <t>valentinr77-71988</t>
  </si>
  <si>
    <t>Assurance inutile,Tres dur de resilier un contat, Continu les prelevement apres avoir resilié. Conseiller tres desagreable. Feuille de soin a faire nous meme en 2019</t>
  </si>
  <si>
    <t>gugu08-65984</t>
  </si>
  <si>
    <t>une honte! par telephone rien a foutre.... je suis passe par aux moins une dizaine de personne et mon dossier toujours pas traite!je demandais simplement le service indemnisation perte de salaire pour un particulier!   trois quard heure au telephone pour finir quon me raccoche au nez..... degoute et je ne sais plus quoi faire! pour vous, partez temps qu il est encore temps!!!</t>
  </si>
  <si>
    <t>04/08/2018</t>
  </si>
  <si>
    <t>thierry-e-128721</t>
  </si>
  <si>
    <t xml:space="preserve">Je suis satisfait mais je pense qu'au vu de mon ancienneté et pratiquement aucun sinistre, je pourrais avoir des réductions plus intéressantes.
cordialement. </t>
  </si>
  <si>
    <t>saif-t-119113</t>
  </si>
  <si>
    <t xml:space="preserve">Je suis satisfait du prix d’assurance et du site qui est sécurisé. J’ai rempli les formulaires sans aucun problème. Je vous dit donc merci et très bien tôt. </t>
  </si>
  <si>
    <t>24/06/2021</t>
  </si>
  <si>
    <t>wayvion-116014</t>
  </si>
  <si>
    <t>J'ai eu un Très bon contact avec Maria, ses renseignements ont été très utiles . 
Merci à elle pour sa rapidité et son professionnalisme, je recommande</t>
  </si>
  <si>
    <t>cyriaque-m-108023</t>
  </si>
  <si>
    <t>Je trouve que les prix sont toujours chers malgré le nombre d' années que je suis chez vous. Il faut revoir les prix surtout en cette période de crise tout le monde doit faire un effort sur les vous les ASSURANCES .</t>
  </si>
  <si>
    <t>nicot-c-107074</t>
  </si>
  <si>
    <t xml:space="preserve">Hormis une fois où je suis tombée sur qq1 de très désagréable, je suis très satisfaite de l'olivier assurance niveau tarif et écoute des conseillers. </t>
  </si>
  <si>
    <t>filalia-96160</t>
  </si>
  <si>
    <t>je suis très déçus de cette compagnie. Je suis assuré depuis le 15/08/2019 et j'apprends en voulant demander la nouvelle vignette verte, que depuis le 15 juillet on m'a résilié mon contrat sans me prévenir ni par mail ni par courrier et je me retrouve pendant les vacances sans assurance et dans l'obligation de louer un véhicule au prix fort (844€) ne pouvant annuler les vacances à la dernière minute au bonheur de ma famille et des enfants. j'avais l'impossibilité de souscrire à une autre assurance car l olivier assurance a fait une erreur lors de la résiliation en mettant un motif une résiliation à la date de souscription ( chose impossible ) et du coup aucun assureurs ne pouvaient me reprendre  ( le tout à cause de 2 sinistres non responsable). Je trouve injuste le traitement que j'ai subi et surtout à cette période de pandémie ou nous avons encore d'avantage besoin des assurances  je compte prendre des mesures juridiques et ne pas laisser ce type d'agissement pour une bienveillance des futurs consommateurs.</t>
  </si>
  <si>
    <t>11/08/2020</t>
  </si>
  <si>
    <t>yi-z-129270</t>
  </si>
  <si>
    <t xml:space="preserve">Je suis satisfait Le prix est bon marché, je l'aime beaucoup, merci beaucoup, merci 
je vais l'acheter à l'avenir 
Je suis satisfait Le prix est bon marché, je l'aime beaucoup, merci beaucoup, merci 
je vais l'acheter à l'avenir </t>
  </si>
  <si>
    <t>24/08/2021</t>
  </si>
  <si>
    <t>bridoux-s-137655</t>
  </si>
  <si>
    <t xml:space="preserve">Conseiller au téléphone très professionnel, je n'ai pu le noter après l'appel à cause d'un bug téléphone, informations et conseils complets. Prix compétitif et garanties équivalentes. </t>
  </si>
  <si>
    <t>18/10/2021</t>
  </si>
  <si>
    <t>litterio-d-139749</t>
  </si>
  <si>
    <t>je suis très satisfait du service, la qualité et prix sont biens ,bonnes informations sur le contrat auto et le conseiller très sympathique,je recommande.</t>
  </si>
  <si>
    <t>16/11/2021</t>
  </si>
  <si>
    <t>alexmo-112020</t>
  </si>
  <si>
    <t xml:space="preserve">Souvent très longues attentes téléphoniques pour avoir qqn.
Direct assurance paraît relativement low coast mais en réalité vu le service, disponibilité et leur couverture, c’est tout sauf une économie.
Le client est considéré comme un numéro de compte bancaire. Aucun respect.
Exemple : j’ai eu deux voitures chez eux une depuis deux ans sans sinistre, l’autre 3 sinistres dont deux non-responsables et minimes avec 0 coût pour Direct assurance, et un accident 50% responsable il y a deux ans réparation peu importante.
ils m’ont résilié avec  ces trois sinistre dont 0 accident responsable sans m’avertir en préalable !
Cela est enregistré dans mon historique comme qqn qui a été résilié  (comme les gens qui ont des excès de vitesse délictuelle, alcoolémie, ... pourtant je n’ai pas d’accident responsable ni grave, je ne boit pas, je n’ai jamais eu moindre problème avec mon permis...)
Voilà la considération de cette assurance qui n’a aucune considération pour le client.
</t>
  </si>
  <si>
    <t>epinette18-136966</t>
  </si>
  <si>
    <t xml:space="preserve">Honte à HARMONIE MUTUELLE !!!
Ma petite sœur est décédée le 31 janvier, laissant son compagnon et ses 2 enfants (14 et 20 ans) désemparés. Sa MUTUELLE de son travail devait payer une partie des obsèques (1000 euros) , devait donner une somme d argent et donner à mes neveux une petite somme tous les mois jusqu'à la fin de leurs études.
8 mois ont passé et toujours rien, ils ne répondent même plus au téléphone.
Aidez moi à les faire bouger !! Que le plus de personnes le mettent sur leur </t>
  </si>
  <si>
    <t>lea-f-110322</t>
  </si>
  <si>
    <t>Etant jeune conductrice la formule youdrive est une proposition qui m'a séduite. En étant responsable je fais chaque mois 50% d'économies sur ma facture. Non négligeable quand on voit le prix des assurance pour jeunes conducteurs.
Aujourd'hui, je change de vehicule et un simple appel ce transforme en enfer commerciale. Les conseillers sont adorables en revanche on sent qu'ils ont une très faible marche de manœuvre et ne peuvent pas m'aider. Je demande à parler à un responsable pour avoir plus d'explication et comprendre pourquoi les tarifs varient significativement d'un jour à l'autre. On me promet de me rappeler. Cela fait aujourd'hui une semaine et malgré mes nombreuses relances PERSONNE!!! Pourquoi laissez vous vos conseillez en première ligne sans les armes pour répondre à vos clients (jusqu'ici satisfaits) et ne tenez vous pas vos engagements? On se demande à quoi sont occupé vos responsables pour être si peu réactifs. 
Soit ils prennent des pauses à rallonge (ce que j'espère au final). Soit vous avez tellement de clients mécontents à gérer qu'ils sont sous l'eau.
Mon premier contact date du 30/03, nous sommes le 14/04 je n'ai toujours pas de réponse à mes questions. Que va t-il se passer le jour où j'aurais eu un accident et que j'aurais besoin de votre réactivité alors que j'attends sur le bord de la route avec mon enfant dans les bras… Direct Assurance a des prix attractifs mais je prie chaque jour pour ne pas avoir besoin d'activer le service! Et je ne suis apparemment pas la seule</t>
  </si>
  <si>
    <t>14/04/2021</t>
  </si>
  <si>
    <t>hichh-85816</t>
  </si>
  <si>
    <t>Attention très mauvaise compagnie un seul conseil Éviter a tout prix</t>
  </si>
  <si>
    <t>sand-70900</t>
  </si>
  <si>
    <t>Je suis chez eux depuis janvier 2019 et je rencontre déjà des soucis de remboursement, quand je vais sur mon compte client on me marque que l'on m'a remboursé un acte de radiographie d'un montant de 20,70 je ne sais pas où est passé ce virement il n'apparaît pas sur mon compte bancairej'ai téléphoner à plusieurs reprises, envoyé des mails toujours aucune réponse</t>
  </si>
  <si>
    <t>tou-l-123078</t>
  </si>
  <si>
    <t>Je suis satisfait des prix, cela me convient et en dix ans de permis je n'ai jamais eu d'accident ou d'autre chose donc à quoi bon aller voir des assureurs plus cher...</t>
  </si>
  <si>
    <t>11/07/2021</t>
  </si>
  <si>
    <t>venanzi-c-131803</t>
  </si>
  <si>
    <t xml:space="preserve">Je suis satisfait du servicele prix es très attractif la souscription a été très rapide 
Quelque minute l'on suffit 
Je recommande à tous le monde 
Satisfait
</t>
  </si>
  <si>
    <t>08/09/2021</t>
  </si>
  <si>
    <t>tomvrp-60529</t>
  </si>
  <si>
    <t>Une catastrophe! Aucun sinistre avec eux ces dernières années , et j’ai le tarif qui monte chaque année.... il font rien pour fidéliser le client. J’appel Ce matin pour assurer un autre vehicule, de remplacement, je les rappel 10 min plus tard car en fait ce nést pas un véhicule de remplacement mais un véhicule sup car je compte vendre l’autre plus tard. Et la, le conseiller me dit que c’est trop tard, ce qui est dit est dit, il que je n'aurais Pas de meilleures offre pour le véhicule sup, je lui demande de m’envoyer un devis, et il me répond non en rigolant. Pas de problème, je travail dans l’automobile, je ne consiellererais jamais cette assurance et je viens de signer à la MAAF pour le même prix(Twingo 3) mais plus serieux.</t>
  </si>
  <si>
    <t>15/01/2018</t>
  </si>
  <si>
    <t>laurent-v-108854</t>
  </si>
  <si>
    <t>L'assurance habitation prend encore 4% de hausse en 2021
27,67 % de hausse en 5 ans malgré aucun sinistre depuis le début !
Il est temps de jeter un oeil sur la concurrence !</t>
  </si>
  <si>
    <t>crlink06-101713</t>
  </si>
  <si>
    <t xml:space="preserve">Assurée de puis octobre je peine à me faire rembourser les premiers soins de mon chat !! il a dû faire des radios suite à un accident (chute); Lors de la souscription on m'a assuré qu'il n'y avait qu'une feuille de soin à faire remplir par le veto or ensuite on m'a demandé une attestation faite par mon veto comme quoi il s'agissait bien d'un accident.... mon veterinaire a été surpris car comment attester d'un accident dont il n'avait pas été témoin !!! bref j'envoie finalement le dit papier et là silence radio!.......je relance par mail......silence radio!!!! et ensuite après avoir difficilement réussi à les joindre par tel on me dit qu'il faut tout envoyer sinon le dossier n'est pas traité....heu comment dire qu'ils ont la facture et la feuille de soin depuis 2 mois !!!!! bref une assurance dans la digne ligne des assureurs vendeurs de tapis !! on prelève mais on ne rembourse pas je suis ecoeurée de m'être faite avoir par l’apparente sympathie de la commerciale !!! </t>
  </si>
  <si>
    <t>21/12/2020</t>
  </si>
  <si>
    <t>werner-a-123144</t>
  </si>
  <si>
    <t>Mensualité Inexistant pour facilité de payement
Revoir coût  et assistance
responsabilité de GMF lors d'une péripétie vous vous mettez peu en avant. Toujours une solution pour éviter de nous rembourser, vu par vos clients.
Bien cordialement.</t>
  </si>
  <si>
    <t>tranzat-50384</t>
  </si>
  <si>
    <t>Bonjour,
Je reviens sur ce forum car c'est le seul moyen que j'ai trouvé pour pouvoir communiquer avec des personnes d'AXA et être pris en charge quand on est assuré chez ASSUR BON PLAN.
Cela fais maintenant 1 ans que j'ai eu un sinistre avec mon véhicule, j'ai été agréablement bien pris en charge par AXA mais en aucun cas par ASSUR BON PLAN (qui continuent à faire les morts).
Néanmoins, à l’heure actuelle j'ai reçu un courrier de la direction des routes départementale de ma région m'indiquant qu'il faut que je rembourse les dégâts causé à une glissière de sécurité alors que l'assurance souscrite à cette époque chez ASSUR BON PLAN prends bien évidemment en charge le paiement de ces dégâts !
Je me retrouve donc dans l'incapacité de pouvoir payer une somme pareille de ma propre poche et l'impossibilité de contacter qui que ce soit de chez ASSUR BON PLAN.
J'espère qu'une personne d'AXA voudra bien prendre en charge mon dossier, sans quoi, je me tournerais vers un avocat pour le traitement de ce dossier.</t>
  </si>
  <si>
    <t>04/11/2017</t>
  </si>
  <si>
    <t>stef-100047</t>
  </si>
  <si>
    <t xml:space="preserve">A proscrire ! Suite à vol de véhicule ils sont réactifs pour vous dire qu’ils ne vous couvrent pas, et quand  vous retrouvez la voiture à vous envoyer un courrier pour vous dire sur s’il y a un dégât ils ne veulent rien savoir....par ailleurs test sur 2 véhicules ils sont plus cher que la Macif.
</t>
  </si>
  <si>
    <t>guy83-51859</t>
  </si>
  <si>
    <t>A fuir ! Me demande les caractéristiques de mon véhicule et me propose un devis intéressant.... sauf que le type véhicule est différent dans le devis reçu et entraine +6% du prix. Puis augmentation imposée au 1er janvier alors que mon contrat est à échéance juillet....et cerise sur le gâteau augmentation non négligeable en juillet : s'en était trop , j'ai résilié !</t>
  </si>
  <si>
    <t>30/01/2017</t>
  </si>
  <si>
    <t>abdessamad-d-131075</t>
  </si>
  <si>
    <t>prix correct, peut mieux faire comme baisser les franchise.
service client réactive et a l'écoute.
satisfait et je recommande pour les nouveaux conducteurs.</t>
  </si>
  <si>
    <t>ondor99-71910</t>
  </si>
  <si>
    <t>Je suis en attente de mon indemnisation (invalidité cat 2) depuis Aout 2018 (suite à plusieurs mail et plusieurs appels on me signale que le montant de la pension  est toujours en calculs ????) 
Merci de me renseigner comment faire pour sortir  de ce trou noir mental et financier
Merci</t>
  </si>
  <si>
    <t>06/03/2019</t>
  </si>
  <si>
    <t>sam-104468</t>
  </si>
  <si>
    <t xml:space="preserve">Honteux honteux honteux comment peut on être encore légitime après autant de commentaires négatifs comment cela ce fais que cette assurance soit encore actif ? Comment cela sois possible après autant de personne en détresse ? Comment se peut-il qu’il ne soit pas encore passer devant la justice si une justice existe ? Ce ne sera plus tarder je l’espère grandement ! Quel honte mais quel honte je suis dans une mouise noir depuis que je suis chez eux il m’est impossible de m’en défaire impossible... </t>
  </si>
  <si>
    <t>kleinert-iversson-r-139664</t>
  </si>
  <si>
    <t>je suis très satisfait du service, Le service en ligne est très efficace et simple. J'ai déjà envoyé tous les documents demandés maintenant j'attends l'arrivée de la carte verte.  Je n'ai toujours pas reçu de réponse des documents, j'avais oublié de l'envoyer et j'ai besoin de la carte verte au plus vite. Cela fait deux mois et je ne veux pas être sans assurance un jour.  merci beaucoup de votre compréhension</t>
  </si>
  <si>
    <t>15/11/2021</t>
  </si>
  <si>
    <t>tbubu-93021</t>
  </si>
  <si>
    <t xml:space="preserve">LMDM n'est pas une assurance que je conseille ! Les délais sont toujours longs et l'assistance téléphonique est inexistante ! J'ai eus 2 accidents moto et j'ai toujours galéré à avoir quelqu'un au bout du fil. Heureusement que l'on peut le faire en ligne sinon je n'aurais même pas pu le déclarer le jour même ! Idem je veux mon relevé d'information pour aller chez un autre assureur et je dois appeler 10 fois par jour pour espérer que quelqu'un décroche. Période covid-19 ou pas le service téléphonique à toujours été déplorable. </t>
  </si>
  <si>
    <t>loic-m-134195</t>
  </si>
  <si>
    <t xml:space="preserve">Je suis satisfait du service 
Merci pour la rapidité de l'action 
Je recommande votre assurance 
Juste bémol ce fameux avis qui est long à rédiger.     </t>
  </si>
  <si>
    <t>denis-l-121548</t>
  </si>
  <si>
    <t>Je suis satisfait du service apporté par la GMF tant au niveau de l'assurance de mon habitation qu'au niveau de l'assurance de mes différents véhicules.</t>
  </si>
  <si>
    <t>29/06/2021</t>
  </si>
  <si>
    <t>emilie-c-112425</t>
  </si>
  <si>
    <t>Très satisfaite de tout.
Le prix de mon assurance voiture est plus que compétitif.
Le service client est top et très réactif.
J'ai déjà recommandé à mes proches.</t>
  </si>
  <si>
    <t>03/05/2021</t>
  </si>
  <si>
    <t>fred-96434</t>
  </si>
  <si>
    <t>Des années que je suis chez eux. En ligne ils ne sont pas vraiment au point en revanche les conseillers que j'ai à Toul 54 sont très compétent. Jamais embêter pour les remboursements. Seul bémol le bris de glace censé couvrir toutes les vitres ne couvre pas le toit panoramique... En tous risques c'est incompréhensible.... Sinon je les recommande vraiment</t>
  </si>
  <si>
    <t>19/08/2020</t>
  </si>
  <si>
    <t>pafer77-97803</t>
  </si>
  <si>
    <t xml:space="preserve">Nous avons testé et... c'est simplement catastrophique.
Chaque visite chez un professionnel de santé nécessite quelques jours plus tard du temps et de l’énergie pour comprendre et faire rectifier les erreurs de la MGEN.
Tant d’incompétences réunies dans une seule "société" CHAPEAU !
</t>
  </si>
  <si>
    <t>cabibbo-55491</t>
  </si>
  <si>
    <t xml:space="preserve">J'ai etais contacté par telephone ,ne mon pas laisser lire les conditions ,ni réfléchir ,il a fallu le faire de suite j'etais en plus pressé donc je l'ai fais ,puis je lis tout ses avis !!! sérieux ,j'ai envoyer mail de rétraction avec la photo de la lettre de rétraction qui part demain en ar ,si ils résillent pas mon contrat ,sa sera ma protection juridique qui va s'en charger et je fais oppositions a ma banque car il doivent prélever que en septembre </t>
  </si>
  <si>
    <t>19/06/2017</t>
  </si>
  <si>
    <t>denysenko-m-112944</t>
  </si>
  <si>
    <t>bravo,Une compagnie d'assurance très pratique et compétente, je conseille amis et connaissances, faites briller!Je souhaite plein succès aux créateurs d'une entreprise aussi merveilleuse</t>
  </si>
  <si>
    <t>azurin-56245</t>
  </si>
  <si>
    <t xml:space="preserve">Une vraie mutuelle pour une couverture complète santé ET prévoyance. Pas de concurrence à couverture égale. </t>
  </si>
  <si>
    <t>09/01/2018</t>
  </si>
  <si>
    <t>laurent-g-114608</t>
  </si>
  <si>
    <t>le service d'adhésion est plutôt pratique. par contre côté tarif, déçu pour ce 3eme véhicule qui reste cher  au tiers + bris de glace sachant que j'ai 50%de bonus.
je pars sur une année mais je verrais certainement pour l'assurer ailleurs par la suite.</t>
  </si>
  <si>
    <t>jef-80506</t>
  </si>
  <si>
    <t>succession toujours pas resolue ????
je vois que je ne suis pas le seul dans ce cas ......</t>
  </si>
  <si>
    <t>29/10/2019</t>
  </si>
  <si>
    <t>sarah-j-113594</t>
  </si>
  <si>
    <t xml:space="preserve">je suis pour la moment satisfaite 
je regrette juste ne pas avoir un bonus supplémentaire car je n'ai jamais eu de sinistre depuis l'obtention de mon permis en 1992 ! </t>
  </si>
  <si>
    <t>13/05/2021</t>
  </si>
  <si>
    <t>pascalita-88029</t>
  </si>
  <si>
    <t xml:space="preserve">A fuir!!  passez votre chemin, je suis assurée chez eux depuis de nombreuses années, je n'ai rencontré aucun sinistre, donc tout va bien. Ma fille a été prise dans une société en alternance à distance de notre domicile, nous avons donc pris un appartement. Malheureusement, la société ne la pas gardée. Nous avons donc résilié le contrat de location et elle a appelé Sogesur pour suspendre le contrat d'assurance. La personne lui a dit qu'elle devait attendre l'état des lieux et envoyer un courrier de résiliation avec une copie de l'état des lieux de sortie pour prouver son déménagement. Cet état des lieux se faisant à la fin du contrat de location nous avons donc patienté 1 mois. Après ce délai, je l'ai appelle pour avoir l'adresse d'envoie du courrier, un conseillé bien sympatrique me communique l'adresse, me confirme de joindre l'état des lieux, et me dit qu'il n'est pas nécessaire de l'envoyer en recommandé!! je fais confiance à cette personne et envoie immédiatement le courrier. 3 semaines plus tard, ma fille reçois un courrier lui annonçant que sa demande n'est pas prise en compte car la lettre n'est pas envoyée en recommandé. Ils ont donc bien reçu notre demande avec la preuve de fin de location, et ils décident de ne pas le prendre en compte. En plus ils nous disent que la fin du contrat prendra effet 1 mois après la réception du courrier recommandé que je dois renvoyer... avec encore une fois la copie de l'état des lieux de sortie.  nous avons appelé début décembre 2019, état des lieux 14/01/2020  retour du courrier négatif 28/02/2020... délai d'un mois de plus.... cela leur donne 3 mois de plus payé pour un appartement non occupé!!  ces façons de faire sont vraiment inadmissibles et je vais donc changer de contrat d'assurance pour notre domicile dès que possible...   ils devraient être dénoncés à la répression des fraudes  c'est de l'abus vraiment!! </t>
  </si>
  <si>
    <t>mg40-123263</t>
  </si>
  <si>
    <t xml:space="preserve">Surtout, je vous conseille vivement d’éviter cette mutuelle santé. Je suis depuis le 01/01/211 un des clients. Au début de l’année comme la mutuelle ne pouvait pas se raccorder à la télétransmission, ce qui après quelques mois m’étonne beaucoup, j’ai dû écrire 3 fois à Amélie et transmis les réponses à la mutuelle pour avoir gain de cause mi février ?????
Cette mutuelle ne réponds à aucune demande, y compris les lettres recommandées avec AR???J’ai écrit à l’adresse du médiateur figurant sur le contrat, réponse on ne peux me répondre car cette mutuelle n’existe pas dans leurs fichiers???  
J’ai dans le contrat des remboursements possible de médecine douce jusqu’à hauteur de 180€, tout cela confirmé lors de mes appels téléphoniques, depuis le 5 juin 21 j’ai transmis la facture du médecin ostéopathe, malgré les relances par mail, les contacts sur leur site je n’ai toujours pas de remboursement de 25€ qui me sont dû. On me réponds au téléphone que l’on m’a remboursé, alors que il est écrit remboursement de 25€ et juste en dessous -25€. Puis la réponse a été « c’est un beug informatique « ???? Par écrit comme j’ai fait des relances tous les jours on m’a dit que j’étais à 100% , et donc la sécu m’a remboursé, ce qui est faux car l’ordonnance du médecin ostéopathe prédisais bien sur deux lignes 30€ pour le médical et un ligne 30€ pour l’ostéopathie ????
Donc faites ce que vous voulez mais compte tenu de mon expérience je vous engage de ne pas souscrire si bons ne souhaitez pas vivre ce que je vis.
</t>
  </si>
  <si>
    <t>louis-c-126004</t>
  </si>
  <si>
    <t>Le service digitale est très pratique, fluide, et facile de prise en main, les prix sont malheureusement comme toutes les assurances assez élevé mais réaliste, enfin je trouve le service client formidable !</t>
  </si>
  <si>
    <t>marie-135240</t>
  </si>
  <si>
    <t xml:space="preserve">Pour le moment très satisfaite mais aussi toute nouvelle chez direct assurances. A voir par la suite ! Si malheureusement il m arrive quelque chose, j espère avoir la même opinion qu qu'aujourd'hui sur cette assurance. </t>
  </si>
  <si>
    <t>thomas-h-124682</t>
  </si>
  <si>
    <t>Des meilleures tarifs aussi non super pratique ,je pense que le paiement des 2 premier mois en avance c'est un peu embêtant mais bon ça vous donne une sécurité</t>
  </si>
  <si>
    <t>burtin-j-116071</t>
  </si>
  <si>
    <t xml:space="preserve">Satisfait du conseil que j'ai eu au téléphone : patient, compréhensif et adapté à ma demande.
Mais très long au téléphone et une solution adapté à mon payement </t>
  </si>
  <si>
    <t>tyennof-64415</t>
  </si>
  <si>
    <t xml:space="preserve">Client pendant 3 ans chez Direct Assurance, j'ai été attiré par les prix bas pratiqués par cet assureur.
Seulement à chaque date anniversaire, le tarif augmentait quand bien même, je n'ai jamais eu aucun sinistre à déclarer.
Un autre assureur m'a expliqué que les "bons conducteurs" payaient pour les "mauvais" chez Direct Assurance.
Ah bon ?!  ... Euh ... Adieu Direct Assurance.
</t>
  </si>
  <si>
    <t>02/06/2018</t>
  </si>
  <si>
    <t>nora-b-124290</t>
  </si>
  <si>
    <t>Simple et rapide, tarif satisfaisant, je recommande ce site  qui est clair et bien détaillé, tout est parfait
Tout se fait sur internet devis paiement même pas la peine de se déplacer gain de temps</t>
  </si>
  <si>
    <t>alexandre27-65603</t>
  </si>
  <si>
    <t>Un scandale cette mutuelle ! Pour y souscrire aucun problème, tout est simple et rapide. Lorsqu'il s'agit de la résilier parce qu'on a souscrit à une autre mutuelle (celle de mon entreprise), là c'est une autre affaire : 4 mois d'attente, on me dit que les documents envoyés ne sont pas corrects et on continue à prélever tous les mois sur mon compte alors que la mutuelle n'est plus active.
Bref, une mutuelle à fuir absolument !!</t>
  </si>
  <si>
    <t>baleine-89864</t>
  </si>
  <si>
    <t>Comme beaucoup qui témoignent ici, je suis adhérente depuis plus de 20 ans à la MAIF. Il semble que cette assurance ait pris un virage depuis deux ans, qui s'est accru cet an 2020. Moi aussi après un dégâts des eaux, leur expert ne s'est pas déplacé et a sous évalué les dégâts. Naivement j'ai dit que je souhaitais une contre expertise et pendant ce temps là j'ai avancé l'argent pour une partie des réparations. Résultat, l'expert ne s'est toujours pas déplacé et a établi de payer 2 franchises au lieu d'une, n'a pas réévalué les travaux disant qu'au vue de ma cotisation annuelle c'était bien suffisant. J'attends depuis un mois le chèque de remboursement que la MAIF dit avoir envoyé que je n'ai jamais reçu. Quand je l'ai réclamé, l'agent a dit que c'était un virement, puis a dit que c'était un chèque. Bref, une gestion du dossier entre mépris du client et négligence. Que s'est il passé dans cette assurance réservée à des enseignants, devenus une auberge espagnole au profit des plus riches ?</t>
  </si>
  <si>
    <t>23/05/2020</t>
  </si>
  <si>
    <t>boris2304-54903</t>
  </si>
  <si>
    <t xml:space="preserve">Bonjour je suis en invalidite catégorie 2 depuis août 2015 je suis déclarée shyzophrene donc plus le droit de travaille on a fait des pieds et des mains pour faire marchais l assurance immobiliers il m'on indemniser pendant 3 ans en 2016 j ai etait convoque par un expert de leurs choix a 60 kilometre de chez moi il m'a mît en ipt avril 2017 reconvoquetion devant un autre expert la il me dise fin de prise en charge par que moins de 66/100 d invalidite ayant une petite pension je ne peut plus faire face je vais perdre ma maison a cause de ma maladie je trouve ca pas juste je ne sais que faire maintenant je déconseille Cardiff absolument </t>
  </si>
  <si>
    <t>24/05/2017</t>
  </si>
  <si>
    <t>lagarto22-98214</t>
  </si>
  <si>
    <t>Conseillers qui répondent rapidement, et qui trouvent des solutions. Les tarifs sont un peu élevés pour les garanties auxquelles je peux prétendre, par exemple les forfaits lunettes</t>
  </si>
  <si>
    <t>fred-115340</t>
  </si>
  <si>
    <t xml:space="preserve">Très bien tant que vous n'avez pas le moindre soucis prélèvements nickel... mais dès que vous appeler pour le moindre soucis l'opérateur cherche la moindre  faille pour éviter le remboursement, ou pour  augmenter le montant de la franchise,  exemple pour une bris de glace " n'avez vous aucun impact sur votre carrosserie?... " si vous répondez oui ce n'est plus la franchise bris de glace...
pour une effraction bris de glace "avez vous constatez la disparition d'un effet personnel?
pareil...
ATTENTION pour les toits pano...
ok je vous laisse découvrir ou redécouvrir votre contrat ...mains un homme avertit en vos pleins d'autres!!!!!  
</t>
  </si>
  <si>
    <t>30/05/2021</t>
  </si>
  <si>
    <t>hartmann-a-127251</t>
  </si>
  <si>
    <t>très bon accueil téléphonique (par Maxime) : expert, bon conseil, à l'écoute, prix attractifs sans mauvaise surprise, simple et rapide, je recommande sincèrement</t>
  </si>
  <si>
    <t>nabil-114159</t>
  </si>
  <si>
    <t>Vraiment déçu de cette assurance je la déconseille à tout le monde quand on à besoin d'eux ils sont injoignable et quand on y arrive ils nous raccroche au nez ??????????????????????????????</t>
  </si>
  <si>
    <t>18/05/2021</t>
  </si>
  <si>
    <t>marc-p-107014</t>
  </si>
  <si>
    <t>Le problème chez vous c'est les augmentations annuelles, qui sont en décalages total pour rapport à l'indice annuel moyen. Et qui font qu'au bout de deux ou trois ans, il est plus intéressant de changer d'assureur !</t>
  </si>
  <si>
    <t>jeremy-o-107587</t>
  </si>
  <si>
    <t xml:space="preserve">Pas satisfait, je pars dans un village calme, avec un garage pour garer ma voiture, et ma cotisation augmente, parce que soit disant le taux est plus élevé que dans une grande ville. 
Je me renseigne pour partir à l'assurance de ma compagne. </t>
  </si>
  <si>
    <t>nath-110613</t>
  </si>
  <si>
    <t>Changement des critères de remboursement lié à l'orthodontie modifié sans communication claire et sans diminution du tarif des prélèvements.
Une galère pour les joindre par téléphone, mail.... 
Une grande difficulté pour changer de contrat puis pour résilier.
À déconseiller++++++++</t>
  </si>
  <si>
    <t>alice-93748</t>
  </si>
  <si>
    <t xml:space="preserve">Rapide et efficace concernant l’établissement du devis ! Je recommande! Moins cher que la plupart des concurrents ! Offre proposée attractive et site ergonomique </t>
  </si>
  <si>
    <t>10/07/2020</t>
  </si>
  <si>
    <t>hubert-t-129193</t>
  </si>
  <si>
    <t>Bons rapport qualité/prix. 
Pour le service, je ne peux pas me prononcer pas l'instant. C'est en cas de sinistre qu'on le saura...
Mais pour l'accueil téléphonique et le service, très bien !</t>
  </si>
  <si>
    <t>yoyo27-124834</t>
  </si>
  <si>
    <t xml:space="preserve">Bonjour je remercie Witad pour ses compétences amabilités  et ses réponses un peu d attente mes responsables sachez qu'il n'y a pas partout des réseaux et nous sommes pénaliser si ont vous contacte par téléphone Sacher qu 'une personne qui vous appelle est à prendre en considération sur les moyens de communications inter net n 'ai pas accablé à tous cordialement mme Benetier
</t>
  </si>
  <si>
    <t>niky-106916</t>
  </si>
  <si>
    <t>Bonjour je..suis assurée chez Assurropoil...et j'ai rencontré récemment un problème de résiliation avec une autre assurance..j'ai eu comme interlocuteur le responsable du service résiliation  qui a pris mon problème de A a Z un très grand soulagement pour moi..si toutes les assurances pouvaient avoir des personnes comme lui!!!la vie serait plus facile..je recommande très vivement cette assurance</t>
  </si>
  <si>
    <t>matteo-77-95888</t>
  </si>
  <si>
    <t xml:space="preserve">Bonjour, je suis très mécontent.
Suite à la pandémie l'ag2r décide de faire une aide jusqu'à la très bien. 
28 /05/2020  envoyé la demande par mail, avis de réception OK. Et à ce jour aucune réponse (2mois),quand je téléphone, dossier toujours pas traité, nous sommes débordés, vous allez recrvoir un courrier !!!!
Nous sommes le 04/08/2020 je leur  téléphone et pour réponse "dossier toujours pas traité et nous sommes pas sur que votre dossier soit étudié.
C'est une blague par téléphone toujours la même et par mail ne répond pas. En espérant avoir une réponse par le biais de votre cite. </t>
  </si>
  <si>
    <t>04/08/2020</t>
  </si>
  <si>
    <t>jardin-t-115797</t>
  </si>
  <si>
    <t xml:space="preserve">Le contrat est satisfaisant en termes de garantie
Le devis ainsi que le contrat sont simples à réaliser en ligne
Les franchises sont en revanche élevées
</t>
  </si>
  <si>
    <t>aucun-131465</t>
  </si>
  <si>
    <t xml:space="preserve">Je ne suis pas particulièrement satisfaite de cette mutuelle santé mais mon entretien avec mon interlocutrice EMELINE a été satisfaisant. Sa réponse a mon appel a été immédiate, Ma demande urgente a été traitée immédiatement avec une grande amabilité. </t>
  </si>
  <si>
    <t>l-r-98348</t>
  </si>
  <si>
    <t>Je tiens à partager avec tous les usagers une expérience désastreuse voir traumatisante avec la compagnie AXA. En 2016 je me suis fait tirer dessus par mon voisin à 10 reprises et 6 balles de calibre 9mm ont touché ma voiture et manqué de me tuer tout simplement. La voiture assurée chez AXA a d'abord été inspectée par la gendarmerie du coin avant d'être enlevée par AXA pour être examinée par un expert qui a constaté que les réparations de la carrosserie étaient supérieures au prix du véhicule. La voiture en question, certe une vielle 205 mais en parfait état, a ensuite était transférée dans une casse avant d'être détruite me pénalisant, en plus du traumatisme de la tentative de meurtre, de la moindre possibilité de déplacement en milieu rural ne disposant d'aucun service de transport. Depuis les faits (remontants au 16 novembre 2016!!!!), et après avoir fait la demande de résiliation à de nombreuses reprises, je me suis fait balader d'un service à l'autre et je me suis fait facturer près de 4 années de cotisations d'un véhicule criblé de balles et détruit par les soins de la compagnie AXA. Une situation ubuesque qui à chaque fois me renvoie au traumatisme de la tentative de meurtre. Imaginez-vous un jour vous faire tirer dessus et devoir payer l'assurance d'une voiture détruite pendant près de 4 ans sans même vous faire rembourser le véhicule ? C'est tout simplement indigne d'une compagnie d'assurance de votre renom et je tiens à prévenir les usagers que le comportement des services d'AXA ont été dun manque de respect incompréhensible vu la nature déjà très violente des faits m'empêchant pour ma part de me replonger dans une nouvelle bataille judiciaire après celle vécue avec mon agresseur et qui a duré plus de trois ans. Honte à vous AXA et j'espère avoir un retour de votre part rapide et efficace pour mettre fin à cette mascarade. L.R</t>
  </si>
  <si>
    <t>ghazraoui-i-121472</t>
  </si>
  <si>
    <t xml:space="preserve">Je suis satisfait  pour l'instant mais comme je suis novice j'attends la suite .... je viens juste de signer mon  premier contrat automobile de ma vie </t>
  </si>
  <si>
    <t>mat-64403</t>
  </si>
  <si>
    <t>Service client nul . Ne répond jamais au mail et ne rappel pas quand ont leurs laisse un message</t>
  </si>
  <si>
    <t>Assur Bon Plan</t>
  </si>
  <si>
    <t>jmneveux-110015</t>
  </si>
  <si>
    <t>Impossible de trouver moins cher que la GMF à garanties égales...
Ce n'est pas une assurance mais une mutuelle qui offre des services inégalés à ses membres.</t>
  </si>
  <si>
    <t>cherry-104205</t>
  </si>
  <si>
    <t xml:space="preserve">A fuir vraiment je suis assurer chez eux depuis 7 ans maintenant , j’ai envoyé une lettre de résiliation ainsi que plusieurs mail 0 réponse ! J’ai bloqué le prélèvement ensuite car n’ayant eu aucune réponse au bout de 4 mois je me suis dis que c’était un gros manque de respect là bizarrement on m’appelle pour me signaler que je dois continuer de payer jusqu’en juin et qui me demander des frais à cause du rejet de paiement ... quand on paye bizarrement on a aucune réponse et quand on arrête de payer ça se réveille ça me dégoûte vraiment ... </t>
  </si>
  <si>
    <t>15/02/2021</t>
  </si>
  <si>
    <t>marguin-e-136970</t>
  </si>
  <si>
    <t xml:space="preserve">Simple, rapide, parfait, je recommande l olivier assurance. Au niveau du tarif rien à redire. Une assurance qui m as fait confiance même avec un petit incident de paiement avec un paiement annuel ce qui est normal. Merci </t>
  </si>
  <si>
    <t>issa-o-117250</t>
  </si>
  <si>
    <t xml:space="preserve">Le prix me convient,  l'offre est complète .
La proposition reste resonnable quand on la compare aux autres offres faite par les autres Assureur que j'avais contacté. </t>
  </si>
  <si>
    <t>gts-fr-60199</t>
  </si>
  <si>
    <t>Fuyez ces gens! comme tant d'autres sur ce forum, je me suis fait avoir comme un bleu: une personne vous appelle et prétend que votre dossier de mutuel est incomplet. Après quelques questions d'ordre administrative classiques (ils ont des renseignements assez précis sur vous pour vous mettre en confiance), elle vous demande un RIB (normal pour être remboursé) puis vous demande un code SMS pour confirmer votre identité (rassurant pour un crédule comme moi!). Je ne me suis aperçu que le lendemain que le numéro SMS était en fait une signature électronique de contrat avec prélèvement de 25.19euros/mois! Je ne savais même pas qu'un tel mode de signature était possible!
Bref, me voila dans les paperasses de résiliation et d’opposition de prélèvement et je sens que ça ne va pas être simple!
Je ne sais pas s'il est possible de faire une action de groupe contre eux. Si quelqu'un a engagé une démarche de ce type, je me ferais un plaisir d'y contribuer.</t>
  </si>
  <si>
    <t>06/01/2018</t>
  </si>
  <si>
    <t>francis-c-127063</t>
  </si>
  <si>
    <t xml:space="preserve">JE SUIS TRES SATIFAITE DU SERVICE EN LIGNE ASSEZ FACILE ET BIEN EXPLIQUE .)
JE PLUS ECONOMISER 220 EUROS A L ANNE ET LA COUVERTURE ASSURANCE  PROPOSE AU  TIERS
ME SEMBLE COHERENTE AVEC LES OFFRES DE MARCHE CLASIQUE 
</t>
  </si>
  <si>
    <t>08/08/2021</t>
  </si>
  <si>
    <t>nono-86445</t>
  </si>
  <si>
    <t>présent pour renseignement, souscrire des contrats et encaisser les cotisations et sa seulement ils vous l'assurent.  je l'aurais un jours qu'il disait, il ne nous auront plus à la fin de nos contrats !!</t>
  </si>
  <si>
    <t>samuel-w-106783</t>
  </si>
  <si>
    <t>je suis satisfait du service, prix convenable, service client patient et a l 'écoute, accès facile,  nouveau donc un avis plus légitime se fera par la suite</t>
  </si>
  <si>
    <t>zimmerli-m-133591</t>
  </si>
  <si>
    <t>J'ai dépassé la période de conducteur probatoire et le montant de mon assurance est reste le même....
Quand on veut payé sur le site par carte cela fonctionne une fois sur deux et on vous rajoute des frais...</t>
  </si>
  <si>
    <t>aurelie-aurelie-96033</t>
  </si>
  <si>
    <t xml:space="preserve">Aucune humanité au niveau du service clientèle, conseiller téléphonique désagréable, 
je suis résiliée car malheureusement j'ai eu 3 sinistres dans la même année dont 2 non responsables, aucune possibilité de négocier ma résiliation personnellement pour ne pas être bloquée dans mes futures démarches.
Le conseiller a été odieux, je suis atterrée! </t>
  </si>
  <si>
    <t>07/08/2020</t>
  </si>
  <si>
    <t>bouabdallah-m-128627</t>
  </si>
  <si>
    <t xml:space="preserve">Excellent conseiller et aussi assurance de confiance le prix et magnifique et je resterai client pour l olivier assurance toujours merciii pour vous service </t>
  </si>
  <si>
    <t>valle-r-107706</t>
  </si>
  <si>
    <t xml:space="preserve">Très pro, très réactif, et explications téléphoniques parfaites. Je recommande largement (pour le moment.. ) Espérons que si un sinistre venait à arriver, tout se passerait aussi bien. </t>
  </si>
  <si>
    <t>francki-103407</t>
  </si>
  <si>
    <t>Tarif assurance moto trop élevé.Autrement je suis très satisfait de ma conseillère et directrice d'agence à Bourtzwiller.J'attends un geste commercial sur ce contrat</t>
  </si>
  <si>
    <t>29/01/2021</t>
  </si>
  <si>
    <t>thierrynantes-75646</t>
  </si>
  <si>
    <t>démarchage téléphonique en vente forcée malgré une inscription bloctel : quel est votre date de naissance, "donnez moi votre numéro de carte bancaire que nous mettions en place votre couverture indemnisation" :  à fuir !</t>
  </si>
  <si>
    <t>06/05/2019</t>
  </si>
  <si>
    <t>romuald-h-111181</t>
  </si>
  <si>
    <t>Pour l'instant tout va bien ! facilité d'accès et d'utilisation. Interface agréable, explications claires et prix intéressant. A priori positif à confirmer.</t>
  </si>
  <si>
    <t>21/04/2021</t>
  </si>
  <si>
    <t>alain-49318</t>
  </si>
  <si>
    <t>Agence Axa Bertrand Marseille il ne font rien pour vous aider en plus cette agence devrez choisir ces employer il y a une manière de parler à ces client cette dame ne respect rien et encore moins les handicap au bout de tant d'année que j'y suis je n'es jammais u sa cette personne ma poussez à bout obliger de sortir de l'agence pour me calmer je vais vite enlever mes trois contrat et vais peut être aussi déposer plainte pour atteinte spycologique</t>
  </si>
  <si>
    <t>18/11/2016</t>
  </si>
  <si>
    <t>marchaud-t-125970</t>
  </si>
  <si>
    <t>souscription simple et rapide. accueil agréable. nous verrons dans le temps si cela perdure. tarif intéresssant à la souscription, à voir aussi les années suivantes.</t>
  </si>
  <si>
    <t>mziou-k-109710</t>
  </si>
  <si>
    <t xml:space="preserve">Je suis satisfait du service de l'assurance Olivier :)   
Le seul problème est: je suis obligé de renseigner mes coordonnées bancaires 2 fois pour qu'ils soient validés. 
</t>
  </si>
  <si>
    <t>polarbearfd-100589</t>
  </si>
  <si>
    <t>Client depuis 2 ans chez l’Olivier Assurance, j’ai eu recourt à leurs services pour un dépannage, plusieurs transferts d’assurances, sur différents véhicules de prêt, pendant l’immobilisation de mon véhicule. Pour finir j’ai été dans l’obligation de changer de véhicule définitivement, et fait transférer mon assurance sur ma nouvelle voiture. Tout a été géré par mon interlocuteur téléphoniquement de manière parfaite. Courtoisie et efficacité, ce sont les mots que j’emploierai pour qualifier mon assureur.</t>
  </si>
  <si>
    <t>25/11/2020</t>
  </si>
  <si>
    <t>christopher-h-116659</t>
  </si>
  <si>
    <t xml:space="preserve">Complication pour validé mon assurance, après plusieurs essaie ça a fonctionné mais au bou de 1h et c’est pas normal ensuite on verra comment ça va se dérouler </t>
  </si>
  <si>
    <t>10/06/2021</t>
  </si>
  <si>
    <t>chris-135017</t>
  </si>
  <si>
    <t>Mon fils a eu un accident responsable avec sa moto 50 cc au mois de Juillet 2021, il a été hospitalisé mais ce n'était pas trop grave, il est assuré tous risques, nous ne sommes toujours pas indemnisé, ni pour les réparation,  ni pour l'équipement motard, c'est scandaleux. Cela fait au moins 10 ans que je suis assuré chez eux en tant que motard. Mon bonus est a 50%. Ils sont bon pour encaisser les primes d'assurance, mais c'est tout..J'envisage de changer d'assurance..</t>
  </si>
  <si>
    <t>zeller-l-139507</t>
  </si>
  <si>
    <t>Les deux personnes que j'ai eu au téléphone pour l'ouverture de mon contrat étaient très sympathiques, la plateforme a l'air bien conçue. On verra le service quand j'aurai des soucis avec ma voiture ;)</t>
  </si>
  <si>
    <t>ll-78078</t>
  </si>
  <si>
    <t>Si je pouvais mettre 0 étoile je le ferais. Assurance à fuire !!! Cliente depuis dix ans sans soucis jusqu'à cette année pas de problème . pour récupérer l'argent pas de soucis.  Cependant cette anée  une personne m'a percuté et pris la fuite... a la maaf il n'y a plus personne à partir de 17h donc on m'a mis en relation de service en service pour me dire on peut rien faire pour vous.  Donc déjà debrouillez vous pour faire remorquer le véhicule alors qu'ils doivent eux envoyer quelqu'un ... bref voiture déclarer ireparable et on signe papiers avec l'expert ... depuis plus de nouvelle ... j'appelle trois fois par semaine ....l'argent que la maaf me doit en échange de la non réparation n'est  toujours pas arrivé après plus de 3 mois.... vous vous faite remballer et on vous dit même que vous pouvez aller vous faire plaisir à taper scandale en agence il ne me payeront pas..... pourtant l'assureur de la partie adverse à était retrouver donc bien sure ils ne me payent pas sur leur fond de garantie. ...</t>
  </si>
  <si>
    <t>aurefay69-69926</t>
  </si>
  <si>
    <t xml:space="preserve">Commerciaux jeune et dynamique sympathique on bien appris leur leçon </t>
  </si>
  <si>
    <t>05/01/2019</t>
  </si>
  <si>
    <t>jicibi-58380</t>
  </si>
  <si>
    <t xml:space="preserve">Bonjour, suite au décès de notre mère le 4 juillet  ,le règlement promis par son  courtier sous 5 à 6 semaines n'est toujours pas réglé 4 mois plus tard ;après maintes erreurs sur les propositions de remboursements et la valeur des contrats , la perte de nos RIB , de nouvelles erreurs d'attribution, les dossiers sont enfin complets ,passés au service des impôts et accusé réception chez Allianz depuis fin septembre . le 12 octobre , après réclamations très insistante on me transmet qu'un virement a été fait le jour même, mais 15 jours plus tard toujours rien sur le compte bancaire .Un virement prend maxi 5 jours ,on  se moque vraiment de nous, de plus, plus  aucune nouvelles du 2eme contrat....  ; ils doivent faire trainer pour payer le plus tard possible et empocher ainsi des dividendes . Raz le bol ,à déconseiller fortement  </t>
  </si>
  <si>
    <t>26/10/2017</t>
  </si>
  <si>
    <t>aurelie-l-117744</t>
  </si>
  <si>
    <t>Parfait
Prix attractif
Parfait pour jeune conducteur
Très réactif, de bon conseils, les conseillers sont bienveillants et prennent le temps pour les explications</t>
  </si>
  <si>
    <t>flightma21-98734</t>
  </si>
  <si>
    <t>Bien qu'effectivement un peu cher, le seul moyen selon moi pour juger une assurance est sa réactivité en cas de sinistre. Pour ma part en 5 ans d'assurances chez eux j'ai eu besoin de leurs services 2 fois. La première fois, en panne en Allemagne ils ont rapidement pris en charge le dépannage et le rapatriement a mon domicile sans la moindre intervention de ma part et dans un délai plus que respectable. La deuxième fois on m'est rentré dedans et ils sont venu récupérer le véhicule en m'amènant un véhicule de prêt et les cela pendant les 3 semaines qu'ont duré les réparations. Le véhicule reparer vous est amené à votre domicile. C'est ce genre de service, bien qu'en option, qui font la différence.</t>
  </si>
  <si>
    <t>14/10/2020</t>
  </si>
  <si>
    <t>nemo04-132345</t>
  </si>
  <si>
    <t xml:space="preserve">mutuelle qui tient ses promesses
fiable ,rapide, joignable 
site fonctionnel
bref efficace rempli bien son rôle dans des délais plus que respectables </t>
  </si>
  <si>
    <t>11/09/2021</t>
  </si>
  <si>
    <t>mm-75611</t>
  </si>
  <si>
    <t>Ma voiture à été tamponnée au niveau du pare choc arrière, donc, carrossier et expert, les travaux pas fait, pare choc toujours cassé et 300 euros au carrossier. Je dis, honte à cette assurance qui nous envoie à ces personnes. Je vais donc faire appel à un médiateur</t>
  </si>
  <si>
    <t>04/05/2019</t>
  </si>
  <si>
    <t>mlvar-76957</t>
  </si>
  <si>
    <t xml:space="preserve">Plus possible repetitifs! remboursements apres plus d un an et demi sans vraiment personne qui vous rapelle
Et suspendu contrat alors que j ai effectue les paiements!!
Cela est inadmissible tourner en rond
</t>
  </si>
  <si>
    <t>20/06/2019</t>
  </si>
  <si>
    <t>vero-90733</t>
  </si>
  <si>
    <t>extrêmement satisfait du site et de la précision des offres. très rapide. j'attends la concrétisation par une offre concrète pour l'assurance de ma voiture</t>
  </si>
  <si>
    <t>gobard-a-138425</t>
  </si>
  <si>
    <t>Je suis satisfaite du service les prix sont très intéressants et attractifs
Je recommande cette assurance
J'espère continuer sur cette bonne voix et ne pas être déçu</t>
  </si>
  <si>
    <t>justine-97490</t>
  </si>
  <si>
    <t xml:space="preserve">Bonjour , 
Suite à un souci au niveau de mes  remboursements , je vous ai joint par téléphone et je suis tombé sur une jeune femme très agréable et qui a su répondre à mes besoins sans aucun souci ! 
Merci à elle pour sa gentillesse et son temps pour vérifier toutes les informations . 
</t>
  </si>
  <si>
    <t>16/09/2020</t>
  </si>
  <si>
    <t>jjm-130607</t>
  </si>
  <si>
    <t>Suite à une recherche internet pour la complémentaire Santé et après l'étude des différents propositions des prestataires, j'ai retenu "Santiane" pour quelles raisons me direz-vous? la première personne qui ma contacté (Homme) à pris le temps de m'écouter, ensuite de me faire plusieurs propositions dans le détails, pour faciliter notre choix en fonctions de nos souhaits par rapport à nos besoins et au tarif (Très compétitif). Suite à notre accord pour qu'il me fasse parvenir, sur ma boite mail, notre demande d'adhésion et après acceptation, nous avons reçu notre demande d'adhésion finalisée et envoyé les documents demandés.
Suite à un petit problème d'ouverture et d'accès à mon compte sur internet, qui n'avait pas été ouvert (par moi) à ce jour, j'ai contacté Santiane et j'ai eu une conseillère "Lissa" qui à  été très compréhensive, réactive et à résolu la situation........en un mots "très professionnelle".....Merci "Lissa".</t>
  </si>
  <si>
    <t>bobdauckland-58082</t>
  </si>
  <si>
    <t>maaf à fuir, client depuis 3ans avec bonus à 50% et du jour au lendemain résilier pour cause de fréquence de sinistres. Sinistre qui sont en fait 1 bris de glace il y a trois an et cette année 1 panne avec remorquage. Donc voila à fuir une assurance qui n'assure pas! Et fiché 5 ans comme résilié par l'assureur c'est très sympa.</t>
  </si>
  <si>
    <t>14/10/2017</t>
  </si>
  <si>
    <t>diane-d-121330</t>
  </si>
  <si>
    <t>Je suis  très satisfaite de la rapidité de l échange.
Je suis très satisfaite des prix, et de la facilité de souscription du contrat, ce qui est très appréciable.</t>
  </si>
  <si>
    <t>26/06/2021</t>
  </si>
  <si>
    <t>frulo78-58636</t>
  </si>
  <si>
    <t>Numéro client 273952
Je viens de transmettre l intégralité des éléments en attente de l attestation définitive.
Ce jour je reçois une demande d active assurance me demandant de compléter une attestation sur l honneur de non assurance et le motif... Or, mon véhicule a toujours été assuré s agissant d un véhicule neuf. On me demande donc de faire un faux... C'est bien la 1ère fois qu on me demande une telle chose. J ai signé le document en signifiant ça, j espère que ça ira.</t>
  </si>
  <si>
    <t>06/11/2017</t>
  </si>
  <si>
    <t>karim-s-129144</t>
  </si>
  <si>
    <t>Je suis agréablement surpris de l'accueil du service client .
le service prend le temps d'écouter le client et prendre le besoin.
le site est plutôt bien fait et simple d'utilisation.</t>
  </si>
  <si>
    <t>dumont-n-135441</t>
  </si>
  <si>
    <t>je suis très satisfait du service téléphonique que le téléconseiller vient d'apporter. Très clair, précis et a pris le temps de répondre à mes questions</t>
  </si>
  <si>
    <t>meynard-c-109209</t>
  </si>
  <si>
    <t xml:space="preserve">L assurance est satisfaisante en tous points,aussi au niveau tarifs , qualité services clientèle , et détails de l assurance ! Enfin de quoi satisfaire tous le monde </t>
  </si>
  <si>
    <t>bruno-b-125892</t>
  </si>
  <si>
    <t xml:space="preserve">Les prix sont très intéressants, et il est très simple de s'assurer. J'ai étais assuré par le passé à AMV et je n'ai jamais étais déçu. Je reviens donc tout naturellement assuré mon nouveau véhicule chez AMV. </t>
  </si>
  <si>
    <t>willi-80306</t>
  </si>
  <si>
    <t>J'ai été contacté par Youness pour mon adhésion au 1/1/2020 pour des documents manquants , explications très claire de  sa part</t>
  </si>
  <si>
    <t>22/10/2019</t>
  </si>
  <si>
    <t>follin-l-116759</t>
  </si>
  <si>
    <t>Rien de spécial, pour une assurance par internet.
Rapidité et facilité de remplissage des demandes.
Choix des options claires, pas de "petites lignes"</t>
  </si>
  <si>
    <t>david-k-101438</t>
  </si>
  <si>
    <t>Très bon accompagnement et conseiller à l'écoute.
le site est ergonomique, simple d'utilisation et permettent une adhésion en quelques clics.
les prix sont dans le marché des sites de comparateurs d'assurance.</t>
  </si>
  <si>
    <t>14/12/2020</t>
  </si>
  <si>
    <t>keita-o-115622</t>
  </si>
  <si>
    <t xml:space="preserve">Je suis satisfait du service et du prix  je peux recommander L’olivier à d’autres personnes pour y souscrire et remercier l’équipe de L’olivier assurance </t>
  </si>
  <si>
    <t>carliez-f-132203</t>
  </si>
  <si>
    <t>Après avoir eu plusieurs conseillers, je suis tombé sur le troisième et dernier conseiller maxime qui était à l’écoute et de très bon conseil merci à lui</t>
  </si>
  <si>
    <t>martial-b-111629</t>
  </si>
  <si>
    <t xml:space="preserve">pas de problème sur assurances voiture et habitation  sauf qu'il est dommage que vous ne pratiquiez pas l'assurance auto pour les moins  de 10 000 kms /an </t>
  </si>
  <si>
    <t>26/04/2021</t>
  </si>
  <si>
    <t>alexandre-f-135698</t>
  </si>
  <si>
    <t xml:space="preserve">Assez satisfait dans l'ensemble prix correct un peu déçu de la formule tous risques quand même qui reste assez élevé sinon rien à dire concernant les autres formules </t>
  </si>
  <si>
    <t>03/10/2021</t>
  </si>
  <si>
    <t>mohamed-redda-g-127943</t>
  </si>
  <si>
    <t xml:space="preserve">Je suis satisfait du prix et le service. C'est rapide.c'est pas cher par apport aux autres.je conseil cette assurance. 
J'espère un jour où on un problème seront à l'écoute </t>
  </si>
  <si>
    <t>14/08/2021</t>
  </si>
  <si>
    <t>christophe-103989</t>
  </si>
  <si>
    <t xml:space="preserve">Pour les jeunes conducteurs, fuyez cette assureur
1400 euros pour une Twingo 3 alors que d'autres vous proposeront à moitié prix 
En cas de panne de votre véhicule, rien à redire, dépanneur sur place en moins d'une heure 
Je suis tout de même parti en raison des augmentations à répétition 
Faites jouer la concurrence et vous vous y retrouverez </t>
  </si>
  <si>
    <t>aviseclaire-67822</t>
  </si>
  <si>
    <t>Pas grand chose de positif, ne défendent pas leur client( accident non responsable avec dépôt de plainte, aucun retour 5mois après),aucun retour du service réclamations ni de la direction malgré plusieurs mail et courriers. Peut être non t'ils pas besoin de client. Prélèvement alors que contrat non signé, contrat signé par moi mais au nom de mon conjoints, idem pour les prélèvements: ses contrats sont prélever sur mon compte à moi.</t>
  </si>
  <si>
    <t>17/10/2018</t>
  </si>
  <si>
    <t>noralarousse-102733</t>
  </si>
  <si>
    <t>J'ai déclaré plusieurs sinistres (dégats des eaux) en ce début d'année (la loi des séries) pour plusieurs bien que je possède et les conseillers ne veulent même pas enregistrer ma demande. J'ai du batailler pour que mes demandes de sinistres soient instruites !  Je trouve ça hallucinant ça fait 15 ans que je suis chez eux et jamais de sinistre avant. J'attends la cloture de mes sinistres et ensuite je basculerais l'ensemble de mes assurances (5 en tout cas) auprès d'un assureur plus à l'écoute et faisant preuve de bienveillance envers leurs assurés, car pacifica c'est un interrogatoire et on a l impression qu'ils font tout pour trouver un moyen de ne pas prendre en Charge la réparation des dégâts Vraiment très déçue !</t>
  </si>
  <si>
    <t>guilbert-y-122740</t>
  </si>
  <si>
    <t>Rapide simple et pas chère, je recommande à toutes personnes ,j'espère rester de nombreuses années chez eux ,merci de votre confiance moi vous avez la mienne</t>
  </si>
  <si>
    <t>mike68-88449</t>
  </si>
  <si>
    <t xml:space="preserve">Malgré la complexité de mon dossier entre les décisions suisses et françaises, la cnp a toujours réglé la prestation en ITT et à présent la PTIA . Par ailleurs j'ai eut la chance de tomber sur conseiller expérimenté et compréhensif. Un reportage suivra prochainement avec plus de détails qui confirmera la qualité de la prestation de la cnp </t>
  </si>
  <si>
    <t>20/03/2020</t>
  </si>
  <si>
    <t>fan-130841</t>
  </si>
  <si>
    <t xml:space="preserve">bonjour, nous sommes très déçus par le traitement d'un dossier concernant un dégat des eaux sur une colonne d'évacuation qui malheureusement n' est accessible que par l'interieur,en cassant un mur de l'appartement. Les réparations du mur ont été faites au mois Aout 2020 par un artisan que nous avons du trouver et payer  . Et à ce jour aucun dédomagement n' a été versé.
</t>
  </si>
  <si>
    <t>sivie-75820</t>
  </si>
  <si>
    <t>La fusion ag2r la mondiale avec viasanté mutuelle est complètement nulle sauf pour les prélèvements.
viasante ne figure nullement dans la liste qui défile ci-dessus !!!</t>
  </si>
  <si>
    <t>11/05/2019</t>
  </si>
  <si>
    <t>fabienne-m-105005</t>
  </si>
  <si>
    <t xml:space="preserve">Mon paiement a été refusé car j'ai dépassé mon cota !! puis je effectuer un virement ou autre svp ? je suis désolée .. par contre je ne pourrai pas vous fournir de relevé d'informations car n'ayant plus de voiture depuis + de 3 ans ils ne peuvent pas ..... merci pour votre réponse !!! </t>
  </si>
  <si>
    <t>chiheb-k-129602</t>
  </si>
  <si>
    <t xml:space="preserve">Très satisfait rapide efficace toujours souriant mets sur ans en France en plus respectueux il traite les données rapide franchement rien à dire on vient toujours </t>
  </si>
  <si>
    <t>26/08/2021</t>
  </si>
  <si>
    <t>nat-99598</t>
  </si>
  <si>
    <t>Un dégât des eaux déclare depuis février 
Passage des experts  depuis juin rien n’avance des heures au téléphone pour joindre un conseiller incapable de répondre  sur l »avancement du dossier 
Je passe de service en service pour avoir différentes versions;j appelle tous les 2/3 jours
La phrase type:je demande a ce que l’on vous rappelle !  J ATTENDS TOUJOURS!!!!!!
Je suis assurée en option CONFORT (Dégât des eaux......)et la réponse :ce dégât des eaux n’est pas remboursé 
UNE VRAIE CALAMITÉ 
Seul recours maintenant les mettre en justice pour me faire indemniser!!!!
UN COMBLE!  A FUIR!!!!!!!!!!!
Je résilie mon contrat</t>
  </si>
  <si>
    <t>arnaud-k-128376</t>
  </si>
  <si>
    <t>Je suis satisfait en attente d'avoir un sinistre, le plus tard possible.
Les tarifs sont plus tôt attractif en attente d'avoir un sinistre, le plus tard possible aussi.</t>
  </si>
  <si>
    <t>roger-j-112045</t>
  </si>
  <si>
    <t>Je suis satisfait du service et je me suis rendu compte lors d'un problème avec mon véhicule.
Seul bémol, le prix. Cela reste relativement élevé malgré les différents bonus en plus pour des voitures de plus de 10 ans et la mienne de plus de 22 ans.</t>
  </si>
  <si>
    <t>edouard-92353</t>
  </si>
  <si>
    <t xml:space="preserve">Les prix sont attractifs...le devis a l’air plutôt intéressant...nous allons souscrire par internet car l’offre par téléphone était moins intéressante </t>
  </si>
  <si>
    <t>aurelie52-74844</t>
  </si>
  <si>
    <t>Honteux : Résilier sans motif et aucune excuse ! En gros c'est comme ça ils font ce qu'ils veulent ! Mais avant d'assumer cet acte ils nous ont bien fait tourner en bourique !</t>
  </si>
  <si>
    <t>07/04/2019</t>
  </si>
  <si>
    <t>sadok-55929</t>
  </si>
  <si>
    <t>Incompétence nul conseiller non qualifiée 2 mois pour avoir in rapport d expertise que je n est toujours pas</t>
  </si>
  <si>
    <t>10/07/2017</t>
  </si>
  <si>
    <t>christianc-79998</t>
  </si>
  <si>
    <t>Prévoyance entreprise qui aide à guérir plus vite...
Leurs "bons soins", c'est prier pour retravailler, quels que soient vos maux...
No more comments...</t>
  </si>
  <si>
    <t>bibi-116600</t>
  </si>
  <si>
    <t>moi très déçu car j attends toujours ma carte d assurée. ensuite même pas inscrit sur la sécurité sociale.
beau parleur mais lenteur administrative.
très très déçu .</t>
  </si>
  <si>
    <t>guizmo-55334</t>
  </si>
  <si>
    <t>Augmentation de l’adhésion d’année en année même sans sinistre pour des motifs climatiques et autres,et avec un bon bonus. Première année intéressante et années suivantes escalade des prix, mon mari l’a constaté après une première année de souscription et d’autres avis dénonçant la même chose sur le net sont unanimes, A FUIR AU PLUS VITE</t>
  </si>
  <si>
    <t>13/06/2017</t>
  </si>
  <si>
    <t>zaidi-54273</t>
  </si>
  <si>
    <t>Rien à dire</t>
  </si>
  <si>
    <t>jennad-117738</t>
  </si>
  <si>
    <t>Décès de ma mère courant Avril. Et, Auxia/Malakoff Humanis sont incompétents et les réponses données aux multiples sollicitations frisent le ridicule. Impossible de se faire rembourser une assurance obsèques malgré avoir suivi à la lettre leurs recommendations. Ma mère a cotisé pendant plus de 20 ans et a payé au moins 4 fois son enterrement. Ils vous font régler les frais d'enterrement et ensuite refuse de rembourser. Fuyez, fuyez</t>
  </si>
  <si>
    <t>julien-f-133439</t>
  </si>
  <si>
    <t xml:space="preserve">Bonjour 
L'interface  est pratique pour s'assurer à distance
Les tarifs sont très raisonnables
C'est ma deuxième voiture assurée
À bientôt
Merci
Merci </t>
  </si>
  <si>
    <t>18/09/2021</t>
  </si>
  <si>
    <t>ln28-135483</t>
  </si>
  <si>
    <t>Il nous a fallu 7 mois pour être remboursée ! Mails, appels téléphoniques, courrier en accusé de réception. 
Extrêmement déçue d’avoir perdu toute cette énergie, temps, et preuves à envoyer x fois ! 
Depuis janvier 2020, ils souhaite un RIB….pour qu’à la fin, en octobre 2020, je reçoive un chèque !!! 
Si je ne les avais pas harcelé, je n’aurai rien reçu !</t>
  </si>
  <si>
    <t>magellan-50233</t>
  </si>
  <si>
    <t>Réponse au téléphone qu'après un délai de 15 à 20 minutes.
Ne rappelle jamais. 
Ne donne jamais de lien direct avec le gérant du portefeuille.
Ne rembourse pas les frais de recherches de fuites.
Rembourse extrêmement mal et à contre-coeur.</t>
  </si>
  <si>
    <t>13/12/2016</t>
  </si>
  <si>
    <t>ludo-81624</t>
  </si>
  <si>
    <t xml:space="preserve">Je suis assuré chez l'Olivier et j'ai divisé par 2 presque par 3 par rapport a ma précédente assurance (assu2000 qui est très cher) pour les mêmes prestations voir plus. </t>
  </si>
  <si>
    <t>camilla17-97908</t>
  </si>
  <si>
    <t>Très déçue suite à la déclaration d'un sinistre (fuite sur canalisation extérieure). Rappel 15 jours après la déclaration du sinistre pour me demander un devis pour la recherche de fuite, ce que j'ai fait. J'ai rappelé (parce que bien sûr, on ne me rappelait pas), et après 20 minutes d'attente, on m'annonce que je n'ai pas l'option canalisations extérieures et que mon sinistre ne sera pas pris en charge... Plus de 15 jours pour m'annoncer ça, pendant qu'on consommait 8 litres d'eau à la minute, c'est inadmissible. D'autant plus que cette option ne m'avait jamais été proposée ! Merci la GMF...</t>
  </si>
  <si>
    <t>27/09/2020</t>
  </si>
  <si>
    <t>loudiyi-charrat-a-137067</t>
  </si>
  <si>
    <t>Simple et pratique pour assuré sa voiture rapidement, niveau support sont joinable tout le temps, par rapport au autres assureurs je trouve que c'est abordable.</t>
  </si>
  <si>
    <t>hch-98337</t>
  </si>
  <si>
    <t xml:space="preserve">Direct Assurances est de très bons conseils et les conseillers (ères) sont réactifs.
Les tarifs proposés sont plus compétitifs pour des garanties identiques à mon assureur précédent.
</t>
  </si>
  <si>
    <t>quentin-m-135021</t>
  </si>
  <si>
    <t xml:space="preserve">Je suis satisfait. 
Les prix sont intéressants, pas trop chère pour un jeune conducteur. 
Simple et pratique. 
Le payement mensuel aurait été mieux, cependant. </t>
  </si>
  <si>
    <t>nenette08-75700</t>
  </si>
  <si>
    <t xml:space="preserve">Je recommande cette assurance ils sont à l'écoute de leurs clients, ils répondent tout de suite à vos demande et se mette à la place de leurs clients et font tout pour les aider. N'hésitez pas assurez vous chez L'olivier assurance vous ne serez pas déçu </t>
  </si>
  <si>
    <t>moreira-nunes-j-137855</t>
  </si>
  <si>
    <t>Services et prix suffisamment clairs pour que je me décide à changer d'assureur auto après plusieurs années de contrat avec Direct Assurance. A suivre...</t>
  </si>
  <si>
    <t>severine-59309</t>
  </si>
  <si>
    <t>au taquet pour vous prendre votre argent, fais semblant de ne pas recevoir votre demande de résiliation et vous met en demeure</t>
  </si>
  <si>
    <t>jako3109-97869</t>
  </si>
  <si>
    <t>Assurer maaf habitation auto et même mutuelle depuis 5 ou 6 ans cette assurance se permet de résilier mon contrat habitation car j ai déclaré 3 sinistres en 3 ans dont un avec tiers, jet 2 autres avec des remboursements ne dépassant pas 2000 euros chacun je trouve un léger leur manière de procéder ,par contre pour prélever les mensualités pas de problème ......A FUIR.....</t>
  </si>
  <si>
    <t>albatros99999-86702</t>
  </si>
  <si>
    <t>client depuis des dizaines d'années j'ai du laisser pas mal de fric pour ne pas être indemnisé suite à une effraction, mur de grange qui s'effondre ( trop vetuste) porte d'entrée forcée ( trop vétuste )</t>
  </si>
  <si>
    <t>08/02/2020</t>
  </si>
  <si>
    <t>versna6-70584</t>
  </si>
  <si>
    <t>Très bonne commerciale, Romane. Je viens de souscrire, pas suffisemment de recul pour apprecier ou non cette compagnie d’assurance. L’avenir me le dira !</t>
  </si>
  <si>
    <t>morad-76783</t>
  </si>
  <si>
    <t>Bien reçu par Salima bonne réactivité et efficace merci à tous</t>
  </si>
  <si>
    <t>14/06/2019</t>
  </si>
  <si>
    <t>michael-p-117044</t>
  </si>
  <si>
    <t xml:space="preserve">Bien seulement obligé de mettre un avis ne me convient pas.
Je venais simplement souscrire une assurance.
Merci d'alléger votre condition de caractère également. </t>
  </si>
  <si>
    <t>iklo-104656</t>
  </si>
  <si>
    <t>Je suis vraiment très mécontent de ma nouvelle mutuelle Cegema qui est injoignable  en direct, qui présente un espace adhérent en ligne obsolète et peu pratique (on ne peux envoyer directement un justificatif sinon par courrier ou par courtier interposé), et dont la carte Tiers Payant (Carte Blanche) est refusée par nombre de prestataires (notamment opticiens). Pour la première fois de ma vie, je ne sais si je vais être remboursé de mes soins ophtalmo, par exemple. Je suis vraiment très décu et j'aimerais savoir s'il existe un recours pour ce genre de cas.</t>
  </si>
  <si>
    <t>23/02/2021</t>
  </si>
  <si>
    <t>francis-w-110468</t>
  </si>
  <si>
    <t>la première année prix sympa ,par contre la 2èmes années se n'est plus la meme chose forte augmentation , donc ! je vais sollicité d'autre assureur et faire marcher la concurrence .</t>
  </si>
  <si>
    <t>nonette-100277</t>
  </si>
  <si>
    <t>Cet assureur trie de systématiquement les clients qu'il veux garder a savoir ceux qui ne déclarent aucun sinistre , dont si vous avez 2 sinistres ( peu importe la gravité ) ou plus par an vous recevrez votre lettre de résiliation en novembre .
Cet assureur dont les primes sont quand même  élevées cherche en dépensant chaque année des millions en publicité  pour trouver l'oiseau rare ( pigeons nommé sociétaire en langage assureur )
Assureur a éviter .</t>
  </si>
  <si>
    <t>nait-abdelaziz-m-138499</t>
  </si>
  <si>
    <t>Je suis satisfait de la communication et de l’ecoute des conseillers qui m’ont pris en charge. Pour mes premières minutes chez vous, je suis très heureux.</t>
  </si>
  <si>
    <t>28/10/2021</t>
  </si>
  <si>
    <t>cedy344-100761</t>
  </si>
  <si>
    <t>Problème de santé , pas la rentrée d argent a temps... j ai toujours payé,  incompréhension je me retrouve a devoir payer une année sans être assuré.  A fuir</t>
  </si>
  <si>
    <t>29/11/2020</t>
  </si>
  <si>
    <t>paul-62708</t>
  </si>
  <si>
    <t xml:space="preserve">Bonjour , je voudrais dans un premier temps, un avis et savoir si je suis dans mon droit ?   je m'explique : J'ai souscrit un prêt personnel en décembre 2014 et un prêt immo en 2003 avec la même banque et la même assurance a 100% avec la CARDIF .En 2013 opération hernie discale , après 6 mois d'arrêt je reprend mon travail  s'en aucun souci de dos  n'y arrêt de travail pour aucun autre problème . En décembre 2015 je fait mon prêt personnel. septembre 2016 j'ai un ACCIDENT de travail avec récidive d’Ernie discale j'ai été opéré en janvier 2017. les problèmes commence ....
le prêt immo est pris en charge par la Cardif , le prêt perso non. 
Motif : vous n'avez pas déclaré a votre conseillé le jour du prêt perso votre première opération .
Sauf que le conseillé a la souscription du prêt perso, me demande simplement si je suis en arrêt actuellement  si j'ai subi plus de 30 jours consécutifs ou non d’arrêt de travail pour maladie ou accident dans les 12 derniers mois . document faisant foi.
sur le contrat Cardif n°4216 et 462 je site : 
si l'assuré a repris le travail pendant plus de 60 jours sans consultation médicale , sans traitement et sans hospitalisation pour ces mèmes causes, la rechute est considérée comme un nouveau sinistre indépendant du premier.
Je les ai eu au téléphone , ils ont confirmé le refus en me précisent qu il ne pouvais rein faire , que je devais attendre le courrier  pour contesté  
Je recherche un avocat ou une association pour une démarche de procédure , contester et récupérer ce qui m'est dû, même si je dois allé au tribunal pour faire valoir mes droits si je suis dans mon droit ,  merci d'avance je compte sur vos compétences pour me venir en aide .Cordialement  David </t>
  </si>
  <si>
    <t>04/04/2018</t>
  </si>
  <si>
    <t>alexandre-n-126426</t>
  </si>
  <si>
    <t>La GMF est dans la moyenne des prix, le service est correcte cependant l'accueil téléphonique peut être très long.
Je suis à la GMF depuis toujours et ne souhaite pas changer.</t>
  </si>
  <si>
    <t>dferandes-115960</t>
  </si>
  <si>
    <t xml:space="preserve">Mon vh est tombé en panne pendant mes vacances (sept.2021)
J’ai fait appel à l’assistance de la Macif 
J’ai été très déçue car j’ai été privée de vh pendant 4 jours et je n’ai bénéficié d’aucune prestation.
Ni la prise en charge des frais le retour sur mon lieu de villégiature (environ 30 km) ni la récupération de mon vh une fois réparé.
J’ai été très déçue par la Macif
</t>
  </si>
  <si>
    <t>candice-99566</t>
  </si>
  <si>
    <t xml:space="preserve">Lamentable . 
Matmut est prêt a tout pour ne pas rembourser , ne pas résilier, n'est pas fiable et certains conseillers  tout simplement désagréables . A fuir  </t>
  </si>
  <si>
    <t>isabelle-g-114464</t>
  </si>
  <si>
    <t>je suis satisfaite du service 
prix parfait
rapidité clarete 
reponse rapide tres facile l utilistaion du site 
tres contente de cette assurance qui aide aux choix des garanties</t>
  </si>
  <si>
    <t>21/05/2021</t>
  </si>
  <si>
    <t>katerina-81997</t>
  </si>
  <si>
    <t>Bonjour, le 13.12.2019, j'ai échangé avec un agent MAIF. L'appel a eu lieu à 12.53 et a duré environ 4 minutes. J'espère que MAIF, malgré son silence, a pu accéder à l'enregistrement. Je demandais à l'agent si je pouvais déclarer le sinistre qui a eu lieu le 12.12.2019 si j'adhérais à une assurance le 13.12.2019. Au lieu de répondre directement à la question (je suppose, la réponse était NON), l'agent a beaucoup rigolé et m'a affirmé que je savais la réponse à ma question par la phrase: Madame, vous savez la réponse. J'ai assuré que non, je ne la savais pas et pour cette raison j'étais en relation avec lui, qu'il était un représentant du prestataire du service et que je m'attendais à une simple réponse OUI ou NON au lieu de rires et des phrases vagues comme: Madame, vous savez la réponse. L'agent m'a renseigné qu'il était un être humain (je n'en doutais pas) et sur ce j'ai décidé de mettre fin à cet échange infructueux. J'ai le droit de poser mes questions.</t>
  </si>
  <si>
    <t>17/12/2019</t>
  </si>
  <si>
    <t>anguelos-c-109969</t>
  </si>
  <si>
    <t xml:space="preserve">globalement satisfait
Jai eu un problème mécanique  à l'étranger , votre prise en charge était satisfaisante , remorquage rapide de la voiture au garage approprié
</t>
  </si>
  <si>
    <t>joseph-52940</t>
  </si>
  <si>
    <t xml:space="preserve">Un incendie a détruit notre Maison fin janvier 2016
En juin 2016 nous les avons informé des pratiques douteuses de l'expert avec certaines entreprises nous lesant financièrement en tant qu'assuré et societaire.
Un des artisans a émis un témoignage écrit dans ce sens destiné a être remis en justice(cerfa) pas de réponse sur ce sujet depuis si ce n'est juste le commentaire d'un de leurs inspecteurs estimant que c'était des mensonges.
Indemnisation immédiate largement sous évaluée;versée 6 mois moins un jour après le sinistre ,obligés de relancer à plusieurs reprises pour obtenir le remboursement
Première facture d'acompte pour la reconstruction refusée sous pretexte que l'indemnité avait déja été versée alors que c'est faux et leur services disent qu'il doit s'agir d'une erreur mais ne nous retournent pas les factures d'acompte
D'autre part je me suis entretenu depuis le début de l'année avec certains artisans qui m'ont dit être obligés de surfacturer par certains experts les travaux d'urgence et de sous évaluer les travaux de reconstruction.
Certains cabinets d'expertise leur demandant de reverser à une de leurs filiales au titre d'apporteur d'affaires une partie de la surfacturation .
Certains d'entre vous ex-experts ou autres en savent ils plus sur ces agissements?Sont -ils exacts?La Macif et les autres assureurs sont -ils au courant?L'Etat laisse t il se dérouler ces pratiques?
J'oubliais nous avons reçu un courrier dans lequel la Macif nous indiquait que pour préserver les cotisations des sociétaires et comme nous avons subi un sinistre elle nous résiliait.
Voilà plus de maison ,pas d'argent pour reconstruire et plus d'assurance pour couvrir les ruines que l'Etat nous oblige à assurer mais qu'aucune autre assurance ne veux assurer dans cet état.
Il ne reste plus qu'une solution..........
</t>
  </si>
  <si>
    <t>02/03/2017</t>
  </si>
  <si>
    <t>murielle-f-134328</t>
  </si>
  <si>
    <t>Simple et pratique et prix intéressants
Facilité d'utilisation du site
Bien expliqué et rapide
Plusieurs options bien détaillées et divers choix possibles dans les rubriques</t>
  </si>
  <si>
    <t>glb-108178</t>
  </si>
  <si>
    <t xml:space="preserve">Fidéle et bien que cotisant pour un contrat tout risque depuis plusieurs années, la seule fois où j ai eu besoin d eux pour un problème mineur de carrosserie, ils ont refusé de prendre en charge mon sinistre mettant en doute ma bonne foi.  Multiplicité d interlocuteurs et certains vraiment exécrables. On m assurait qu' un responsable allait me rappeler. Cela ne s est jamais produit. Mon agent me disait de voir avec le siège et le siège me disait de voir avec mon agent qui me disait de voir un expert qui au final  proposait une contre expertise à mes frais. Mes cotisations augmentaient chaque année régulièrement sans aucune raison valable. On ne m a jamais bien écouté ni bien conseillé en fonction de mes besoins. Un jour j ai pris rendez vous pour indiquer une modification de situation, personne n en n a jamais tenu compte, au contraire le gérant tentait de me vendre des produits financiers. J ai reformulé la demande à plusieurs reprises sans aucune suivi de leur part. Donc je ne recommanderai à personne ni cette agence ni cette marque d assurance. 82 € par mois à présent  pour une voiture de 10 ans pour un service nul.
</t>
  </si>
  <si>
    <t>26/03/2021</t>
  </si>
  <si>
    <t>bugati22-130839</t>
  </si>
  <si>
    <t xml:space="preserve">Nous rejoignons malheureusement  les avis négatifs concernant la compagnie d'assurance la MAIF. En effet, nous avons fait appel, il y a exactement deux années,  à notre assurance habitation suite à des fissures liées à la sécheresse, notre commune ayant obtenu la reconnaissance « catastrophe naturelle ». 
La MAIF a alors mandaté un expert qui a constaté un certain nombre de problèmes imputables à la sécheresse. Afin d'envisager les types de  travaux de remise en état nécessaires, l'expert a sollicité une étude géotechnique, demande validée par la MAIF qui reconnaissait les causes des dégâts. 
A la suite de l'étude géotechnique, le cabinet en charge du dossier a transmis une note d'information à la MAIF détaillant la liste des travaux à effectuer :
•	Pas d'infiltration de résine du fait de la nature du sous sol,
•	Investigations supplémentaires,
•	Réparations structurelles,
•	Ravalement de façade,
•	Reprise des embellissements
Travaux de remise en état estimés à 46 995 euros.
Le cabinet, en charge du dossier, a ensuite sollicité la visite de l'entreprise SOLTECHNIC afin d'établir un devis avec précision, entreprise, qui lors de la visite, a envisagé une extension des travaux afin de garantir la garantie décennale, et recommandé de ne rien effectué comme travaux d'intérieur.
Le dossier semblait avancer, lentement certes, mais avancer favorablement !
Or, nous avons eu la surprise d'avoir la visite d'un nouvel expert, mandaté par la MAIF, mais d'un autre cabinet, afin d'effectuer une nouvelle expertise.
Trois mois après, nous recevions, un courrier de la MAIF indiquant que le nouveau compte rendu d'expertise  précisait que les désordres constatés n'étaient pas imputables à la sécheresse et donc que les garanties du contrat ne peuvent s'appliquer.
Un revirement surprenant, deux années de travail, d'études, balayés par l'avis d'un nouvel expert au passage en coup de vent et aveugle aux pavillons avoisinants dans le même état !
Peut-on parler d'une expertise de complaisance ? 
A chacun son avis, nous avons le nôtre et qui n'est pas du tout favorable à la MAIF !
Nous avons le sentiment qu'il s'agit d'une mise en scène dont les acteurs (les adhérents) sont pris pour des imbéciles.
</t>
  </si>
  <si>
    <t>herve-p-113700</t>
  </si>
  <si>
    <t>Meli mélo entre 1 contrat résilié depuis plus d'1 an, et le nouveau contrat. Bien que n'ayant jamais subi de sinistre, je crains le pire pour l'avenir.</t>
  </si>
  <si>
    <t>celbara-50392</t>
  </si>
  <si>
    <t>Très mauvaise assurance. A éviter absolument. Ils vous harcèleront au téléphone depuis leurs centrales d'appel et vous aurez toutes les difficultés du monde à vous faire rembourser.</t>
  </si>
  <si>
    <t>17/12/2016</t>
  </si>
  <si>
    <t>ocellatus12-66660</t>
  </si>
  <si>
    <t>Évitez sans penser. Ils chargent plus que normal sans vous rien demander directement de votre compte et vous ne pouvez rien faire. Leur agence ne nous a pas informé qu on doit payer en plus une commission sur le montant agrée. Et ils ont pris une montant énorme sans nous rien dire. A la fin on a payé le même montant que le prix du scooter. Jamais encore. Il vous semble moins cher que les autres mais à la fin on a payée plus que tout le monde. Après on a changé le scooter avec une 300cc de 2010 kymco ils ont pris 80 euros par mois encore sans nous informer avant. Ça fait 960 euro par an. Évitez évitez évitez</t>
  </si>
  <si>
    <t>bertrand-94900</t>
  </si>
  <si>
    <t>Impossible de les joindre par téléphone depuis 3 jours pour avoir un devis d'assurance auto, service lamentable</t>
  </si>
  <si>
    <t>23/07/2020</t>
  </si>
  <si>
    <t>renec2006-49846</t>
  </si>
  <si>
    <t xml:space="preserve">J'ai de nouveau envoyé un recommande a la Maif ( sociétaire 2710968 D ) , pour résiliation sur tous mes contrats ( loi CHATEL) suite a la réception  de l'avis d'échéance de 2017 ,  sur ma demande de résiliation je leur demande de me faire parvenir un relevé d' information pour la période du 05/12/2014 au 05/12/2016 , car bien évidemment j'ai besoin de se justificatif pour la nouvelle assurance de mon véhicule , quelle délais auront ils encore besoin ? </t>
  </si>
  <si>
    <t>07/12/2016</t>
  </si>
  <si>
    <t>tendil-l-129901</t>
  </si>
  <si>
    <t xml:space="preserve">Je suis satisfait du prix c est simple et efficace merci pour vos réponses et votre réactivité. 
Je vous recommande auprès de mes amis.  Cordialement </t>
  </si>
  <si>
    <t>franck-d-122542</t>
  </si>
  <si>
    <t>Je suis satisfait du service et de la rapidité de souscription. On m'a recommandé votre société et je n'en suis pour le moment que content, en espérant bien entendu ne pas avoir à déclarer de sinistre</t>
  </si>
  <si>
    <t>francois-1422-79213</t>
  </si>
  <si>
    <t>Un service tout simplement honteux, puisque la MAIF n'hésite pas à faire de grandes promesses d'assurance lors de la vente de leur contrats, mais oublient d'en donner les modalités. Et lorsqu'un sinistre arrive, ils s'en souviennent soudainement. Alors c'est toujours la même histoire, on fait une croix sur l'indemnité qu'il nous semblait légitime d'obtenir.
Personnellement, ils m'ont fait un sacré coup : pour un vol à la roulotte dont le sinistre s'estime à près de 700 euros, la MAIF a évalué mes pertes à 238 euros, après m'avoir annoncé que ma franchise s'estimait à... 250 euros ! Dossier clôture, sans indemnisation. Fort non ?</t>
  </si>
  <si>
    <t>15/09/2019</t>
  </si>
  <si>
    <t>nattesco2011-63994</t>
  </si>
  <si>
    <t>Payé en une seule fois dès l'adhésion et n'ai pas eu le contrat jusqu'au bout.
3 certificats provisoires et puis plus rien.
Et d'un coup l'assureur se réveille lors du renouvellement pour me ponctionner le cout de la nouvelle année.</t>
  </si>
  <si>
    <t>14/05/2018</t>
  </si>
  <si>
    <t>ben-55262</t>
  </si>
  <si>
    <t>Conducteur auto avec un bonus maximum, je m'adresse à la mutuelle des motards pour une assurance scooter avec trajets pro: Pas d'assurance possible car je n'ai pas au moins 1 an d'assurance moto! Je demande ou m'adresser pour ce problème qui doit se poser fréquemment. Aucune proposition de la mutuelle. Absence de curiosité intellectuelle ou déficience de sens commercial?</t>
  </si>
  <si>
    <t>10/06/2017</t>
  </si>
  <si>
    <t>naple-102959</t>
  </si>
  <si>
    <t>Cette mutuelle Harmonie Mutuelle n'est pas viable, personne ne répond au téléphone et quand enfin vous avez quelqu'un elle vous raccroche au nez, plus de 45minutes au téléphone, sans avoir une réponse à ma demande pour bénéficier de la nouvelle mutuelle sénior au 0980980880, personne ne répons aux mail, ni aux courriers
c'est un manque de professionnalisme vis à vis des clients, de qui se moque t'on, les employées sont en télétravaille et s'en moque complètement, c'est une honte</t>
  </si>
  <si>
    <t>ana-d-106301</t>
  </si>
  <si>
    <t xml:space="preserve">Je suis Satisfaite des tarifs proposés de la disponibilité des interlocuteurs,  de la rapidité de la mise en fonction du dossier et de l'envoi des documents nécessaires 
</t>
  </si>
  <si>
    <t>jacobson-s-115273</t>
  </si>
  <si>
    <t>satisfait dans l'ensemble, je viens de commencer, à voir. Mandat de prélèvement à changer. Je vous enverrais le bon RIB et vous transférerez le mandat dans la nouvelle banque svp. Merci</t>
  </si>
  <si>
    <t>ahmed-b-133451</t>
  </si>
  <si>
    <t xml:space="preserve">le prix est un peu cher pour une voiture comme ca 
sinon le site est rapide je suis déjà une assurance habitation parcontre je n ai pas bien compris le concept du boitier conecte 
</t>
  </si>
  <si>
    <t>bilo-71317</t>
  </si>
  <si>
    <t xml:space="preserve">Ne paye pas toujours un
Autre document et 
délais impossibles interlocuteur incohérent société que je ne conseille pas du tout que des ennuies jetais à Strasbourg au siège que des clients mécontents que des réclamations </t>
  </si>
  <si>
    <t>14/02/2019</t>
  </si>
  <si>
    <t>huseyin67-100458</t>
  </si>
  <si>
    <t>Je suis sociétaire à la Macif depuis 2011, très bonne expérience, bonne prise en charge lors des sinistres, remboursement rapide. Ils prennent le temps de discuter, sont à l'écoute, ils ne vous traite pas comme un numéro comme le font certains, mais bien comme des humains.
Il faut soutenir des entreprises comme la Macif, certes c'est plus cher que les assureurs en ligne mais au moins la qualité est là.</t>
  </si>
  <si>
    <t>22/11/2020</t>
  </si>
  <si>
    <t>diallo-i-115763</t>
  </si>
  <si>
    <t xml:space="preserve">Pas mal comme assurance je pense que c'est très intéressant surtout pour les jeunes. Le service est correct les numéros standard pas aussi encombré pas beaucoup d'attente donc oui c'est très bien organisé dans l'ensemble. </t>
  </si>
  <si>
    <t>pinault-m-113584</t>
  </si>
  <si>
    <t xml:space="preserve">Le service est très correct, le prix aussi. 
Le service téléphonique, est très agréable. 
Et le prix très abordable, je suis satisfaite de l'olivier assurance </t>
  </si>
  <si>
    <t>envoituresimone-81720</t>
  </si>
  <si>
    <t>La mutuelle, l'auto, l'habitation, tous mes contrats sont à la MAAF depuis longtemps. 
La prise en charge et la qualité des services sont très bons.
Je déplore toutefois les prises de décisions concernant le tri que font les compagnies d'assurance vis à vis des bons et mauvais clients. 
Je m'explique : je suis assurée tous risques,  j'ai eu 1 sinistre non responsable en 2018 mais était-ce celui de trop puisqu'il s'est rajouté à 2 autres en 2016 dont 1 responsable. Mon contrat auto a été résilié pour cette raison. Je trouve cette décision un peu cavalière car je n'ai jamais eu d'incidents de permis (retrait, alcool, drogue) ni de non-paiement, je suis réglo depuis l'obtention de mon permis en 1990. Je trouve déplorable d'avoir été marginalisée à ce stade. 
Du coup je suis en train de résilier mon contrat habitation parce que si je suis une mauvaise cliente, autant que je résilie mes autres contrats, logique.
Voilà ma petite histoire, c'est cool</t>
  </si>
  <si>
    <t>07/12/2019</t>
  </si>
  <si>
    <t>fblum-137800</t>
  </si>
  <si>
    <t xml:space="preserve">Très bien renseigné par Aya qui est surtout d'une grande écoute, simple et courtoise  dans les explications. Merci à elle car j'ai pu résoudre mon problème avec ses réponses. </t>
  </si>
  <si>
    <t>19/10/2021</t>
  </si>
  <si>
    <t>anisivy-85858</t>
  </si>
  <si>
    <t>Je suis totalement désespéré de l'attitude de metlife. J'ai engage des démarches le 18/08/2019 suite à un accord avec ma banque pour la renegociation  de mes emprunts immobiliers pour lequel je dois passer 2 avenants successifs. Après avoir reçu les confirmations écrites de ma banque et de metlife pour la renegociation, j'ai transmis tous les documents demandés fin AOut 2019.
Depuis, il ne se passe rien; PAr 2 fois, j'ai contacté metliffe par téléphone ; les conseillers m'ont confirmé que le dossier était complet et qu'il serait traité sous deux mois... 5 mois plus tard, je suis dégouté de l'attitude cet assureur qui ne respecte pas ses clients et met en peril ma renegociation d'emprunts. Silence total, 0 mail, 0 appel, rien... Par contre les primes sont bien prélevées en temps et en heure.
Par contre, de rage, j'ai réalisé une demande de devis sur le site internet de metlife et là, oh surprise, un conseiller m'a rappelé moins de 3 minutes après mon mail. Bref, je trouve cet assureur désesperant et scandaleusement irrespectueux de ses clients. Sachant que je dois réaliser 2 avenants, je crains que cet assureur mette en peril ma renégociation s'il faut 6 mois entre chaque communication. Bref, je déconseille totalement cet assureur</t>
  </si>
  <si>
    <t>wave66-96918</t>
  </si>
  <si>
    <t>Gestion de la clientèle bureaucratique  : aucune ecoute , Interlocuteur non specialise et changeant régulièrement , malus exagere  en cas de non responsabilite.
Aucun suivi , aucune i formation</t>
  </si>
  <si>
    <t>audrey-110198</t>
  </si>
  <si>
    <t>A fuir ! Ils demandent toujours des documents en plus en cas d'arrêt, indemnisent avec 2-3 mois de retard, résilient pendant un arrêt de travail, aucun conseil compétent, aucune réponse apportée et des prix très élevés.</t>
  </si>
  <si>
    <t>goodsenz-68310</t>
  </si>
  <si>
    <t>Dommage qu'on ne puisse mettre 0... Des prix très attractifs, mais une inefficacité affolante. Je ne sais pas s'ils ont délocalisés dans un pays, un autre service dans un autre pays ou qque du genre : mais ils faudraient qu'ils se mettent d'accord entre eux déjà ça serait pas mal. En un mot: nul.</t>
  </si>
  <si>
    <t>03/11/2018</t>
  </si>
  <si>
    <t>soubeyrascecile-61175</t>
  </si>
  <si>
    <t>cet assureur paye n'importe quand... ils vous laissent facilement deux mois sans ressources ce qui va engendrer des frais bancaires qui ne sont pas récupérables , ils ne tiennent pas compte des changements de RIB je ne conseille pas du tout cette assurance</t>
  </si>
  <si>
    <t>06/02/2018</t>
  </si>
  <si>
    <t>eric-z-130622</t>
  </si>
  <si>
    <t xml:space="preserve">JE SUIS SATISFAIT DE TOUT VOS SERVICE. QUE CE SOIT HABITATION,ASSURANCE SCOLAIRE, ASSURANCE AUTO. C ,EST IRREPROCHABLE. MERCI POUR TOUT ET POUR VOS SERVICES
</t>
  </si>
  <si>
    <t>dia-m-135143</t>
  </si>
  <si>
    <t>c'est la nieme fois que je souscrit un contrat chez l'Olivier assurance et à chaque fois les conseillers sont Réactifs et professionnels même en cas de sinistre :)</t>
  </si>
  <si>
    <t>monexperienceperso-70334</t>
  </si>
  <si>
    <t>bonjour, je suis victime (ainsi que mes voisins) d'un incendie auto. Aprés avoir deposé plainte je me fais beaucoup de soucis car après avoir lu certains avis je suis en plein doute en ce qui concerne la prise en charge et le remboursement de l'olivier assurance.  A voir.....</t>
  </si>
  <si>
    <t>22/09/2019</t>
  </si>
  <si>
    <t>gaetan-l-127749</t>
  </si>
  <si>
    <t>Au top ! 
Les tarifs sont toujours aussi compétitif depuis plusieurs années! 
Je recommande APRIL à tous les motards! 
De plus, service client vraiment cool !</t>
  </si>
  <si>
    <t>ahmed-suliman-haj-mukhtar-r-113474</t>
  </si>
  <si>
    <t>JE VIEN DE CHERCHE SUR INTERNET MON PRIMIER CONTAT ASSURENCE ET TRES BIEN CE CONTRAT POUR DEPUT COMME MOI  ET JE VOUS REMERCIE POUR VOTRE PROPSITION ET JE VOUS SOUHAITE TRES BONNE JOURNNEE</t>
  </si>
  <si>
    <t>aurelie-b-105470</t>
  </si>
  <si>
    <t>très satisfaite pour l'instant , je verrai quand je déclarerai un sinistre  .....si cela est toujours efficace .En tout cas , le service client est très pro</t>
  </si>
  <si>
    <t>marouani-s-106295</t>
  </si>
  <si>
    <t xml:space="preserve">je ne peux encore juger la qualité de votre service
Il faut se mettre dans des situations d'accidents pour vérifier la fiabilité de  vos promesses !! 
</t>
  </si>
  <si>
    <t>nash-55748</t>
  </si>
  <si>
    <t xml:space="preserve">assurance crédit  qui ne couvre rien juste quand vous passer au sapin   a fuir a fuir  nous avons perdu notre maison a cause d eux personne en invalidité non pris en charge passer devant leur médecin qui n ausculte même pas il faut fuir </t>
  </si>
  <si>
    <t>28/07/2018</t>
  </si>
  <si>
    <t>sylou-137528</t>
  </si>
  <si>
    <t xml:space="preserve">merci à MR Abo qui as su répondre à mes question et a me guider pour faire la manipulation pour que je puisse envoyer le document avec un nouveau chemin d'accés </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</si>
</sst>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8.71"/>
    <col customWidth="1" min="7" max="7" width="15.86"/>
    <col customWidth="1" min="8" max="8" width="11.29"/>
    <col customWidth="1" min="9" max="26" width="8.71"/>
  </cols>
  <sheetData>
    <row r="1">
      <c r="A1" s="1" t="s">
        <v>0</v>
      </c>
      <c r="B1" s="1" t="s">
        <v>1</v>
      </c>
      <c r="C1" s="1" t="s">
        <v>2</v>
      </c>
      <c r="D1" s="1" t="s">
        <v>3</v>
      </c>
      <c r="E1" s="1" t="s">
        <v>4</v>
      </c>
      <c r="F1" s="1" t="s">
        <v>5</v>
      </c>
      <c r="G1" s="1" t="s">
        <v>6</v>
      </c>
      <c r="H1" s="1" t="s">
        <v>7</v>
      </c>
      <c r="I1" s="1" t="s">
        <v>8</v>
      </c>
      <c r="J1" s="1" t="s">
        <v>9</v>
      </c>
      <c r="K1" s="1" t="s">
        <v>10</v>
      </c>
    </row>
    <row r="2">
      <c r="A2" s="2">
        <v>1.0</v>
      </c>
      <c r="B2" s="2" t="s">
        <v>11</v>
      </c>
      <c r="C2" s="2" t="s">
        <v>12</v>
      </c>
      <c r="D2" s="2" t="s">
        <v>13</v>
      </c>
      <c r="E2" s="2" t="s">
        <v>14</v>
      </c>
      <c r="F2" s="2" t="s">
        <v>15</v>
      </c>
      <c r="G2" s="2" t="s">
        <v>16</v>
      </c>
      <c r="H2" s="2" t="s">
        <v>17</v>
      </c>
      <c r="I2" s="2" t="str">
        <f>IFERROR(__xludf.DUMMYFUNCTION("GOOGLETRANSLATE(C2,""fr"",""en"")"),"I made a request for care following an accident at work following the advice of my BNP Paribas advisor. It is the 3rd identical letter that I receive from their part which asks me for the same documents. I have already sent them twice. Following a telepho"&amp;"ne call they tell me that they have received nothing and that I have to send them the documents a 3rd time by email this time. Lamentable!")</f>
        <v>I made a request for care following an accident at work following the advice of my BNP Paribas advisor. It is the 3rd identical letter that I receive from their part which asks me for the same documents. I have already sent them twice. Following a telephone call they tell me that they have received nothing and that I have to send them the documents a 3rd time by email this time. Lamentable!</v>
      </c>
    </row>
    <row r="3">
      <c r="A3" s="2">
        <v>1.0</v>
      </c>
      <c r="B3" s="2" t="s">
        <v>18</v>
      </c>
      <c r="C3" s="2" t="s">
        <v>19</v>
      </c>
      <c r="D3" s="2" t="s">
        <v>20</v>
      </c>
      <c r="E3" s="2" t="s">
        <v>21</v>
      </c>
      <c r="F3" s="2" t="s">
        <v>15</v>
      </c>
      <c r="G3" s="2" t="s">
        <v>22</v>
      </c>
      <c r="H3" s="2" t="s">
        <v>23</v>
      </c>
      <c r="I3" s="2" t="str">
        <f>IFERROR(__xludf.DUMMYFUNCTION("GOOGLETRANSLATE(C3,""fr"",""en"")"),"This mutual is zero. Very difficult to reach on the phone. We are in March 2021, I am still waiting to be reimbursed for 2 orthodontic invoices for my children one date in November. This represents almost 500 euros !!!!!!!
It is inadmissible when we see "&amp;"how much we are taken per month in date and in time of their monthly payment !!!! They ask me to provide the same documents permanently.
In addition, unlike my previous mutual that I regret, they do not reimburse all costs 100%... I do not recommend. Fle"&amp;"e Mercer!")</f>
        <v>This mutual is zero. Very difficult to reach on the phone. We are in March 2021, I am still waiting to be reimbursed for 2 orthodontic invoices for my children one date in November. This represents almost 500 euros !!!!!!!
It is inadmissible when we see how much we are taken per month in date and in time of their monthly payment !!!! They ask me to provide the same documents permanently.
In addition, unlike my previous mutual that I regret, they do not reimburse all costs 100%... I do not recommend. Flee Mercer!</v>
      </c>
    </row>
    <row r="4">
      <c r="A4" s="2">
        <v>4.0</v>
      </c>
      <c r="B4" s="2" t="s">
        <v>24</v>
      </c>
      <c r="C4" s="2" t="s">
        <v>25</v>
      </c>
      <c r="D4" s="2" t="s">
        <v>26</v>
      </c>
      <c r="E4" s="2" t="s">
        <v>27</v>
      </c>
      <c r="F4" s="2" t="s">
        <v>15</v>
      </c>
      <c r="G4" s="2" t="s">
        <v>28</v>
      </c>
      <c r="H4" s="2" t="s">
        <v>29</v>
      </c>
      <c r="I4" s="2" t="str">
        <f>IFERROR(__xludf.DUMMYFUNCTION("GOOGLETRANSLATE(C4,""fr"",""en"")"),"I satisfy the service very easy to enter with very interesting prices I will not exempt it to recommend it around me, it is a serious insurance company")</f>
        <v>I satisfy the service very easy to enter with very interesting prices I will not exempt it to recommend it around me, it is a serious insurance company</v>
      </c>
    </row>
    <row r="5">
      <c r="A5" s="2">
        <v>5.0</v>
      </c>
      <c r="B5" s="2" t="s">
        <v>30</v>
      </c>
      <c r="C5" s="2" t="s">
        <v>31</v>
      </c>
      <c r="D5" s="2" t="s">
        <v>32</v>
      </c>
      <c r="E5" s="2" t="s">
        <v>21</v>
      </c>
      <c r="F5" s="2" t="s">
        <v>15</v>
      </c>
      <c r="G5" s="2" t="s">
        <v>33</v>
      </c>
      <c r="H5" s="2" t="s">
        <v>34</v>
      </c>
      <c r="I5" s="2" t="str">
        <f>IFERROR(__xludf.DUMMYFUNCTION("GOOGLETRANSLATE(C5,""fr"",""en"")"),"Very good satisfaction of this mutual for the service it offers as well as prices. I recommend this mutual insurance no doubt possible.")</f>
        <v>Very good satisfaction of this mutual for the service it offers as well as prices. I recommend this mutual insurance no doubt possible.</v>
      </c>
    </row>
    <row r="6">
      <c r="A6" s="2">
        <v>1.0</v>
      </c>
      <c r="B6" s="2" t="s">
        <v>35</v>
      </c>
      <c r="C6" s="2" t="s">
        <v>36</v>
      </c>
      <c r="D6" s="2" t="s">
        <v>37</v>
      </c>
      <c r="E6" s="2" t="s">
        <v>27</v>
      </c>
      <c r="F6" s="2" t="s">
        <v>15</v>
      </c>
      <c r="G6" s="2" t="s">
        <v>38</v>
      </c>
      <c r="H6" s="2" t="s">
        <v>39</v>
      </c>
      <c r="I6" s="2" t="str">
        <f>IFERROR(__xludf.DUMMYFUNCTION("GOOGLETRANSLATE(C6,""fr"",""en"")"),"After a very moderate offer at the price level on all -risk auto risk insurance 2018 at 319.64 euros The subscription for the same service increased in 2019 to 383.81 euros or + 16% increase and with a most fanciful explanation : The other companies have "&amp;"also increased their prices !! So if you want to change do it ????")</f>
        <v>After a very moderate offer at the price level on all -risk auto risk insurance 2018 at 319.64 euros The subscription for the same service increased in 2019 to 383.81 euros or + 16% increase and with a most fanciful explanation : The other companies have also increased their prices !! So if you want to change do it ????</v>
      </c>
    </row>
    <row r="7">
      <c r="A7" s="2">
        <v>2.0</v>
      </c>
      <c r="B7" s="2" t="s">
        <v>40</v>
      </c>
      <c r="C7" s="2" t="s">
        <v>41</v>
      </c>
      <c r="D7" s="2" t="s">
        <v>42</v>
      </c>
      <c r="E7" s="2" t="s">
        <v>43</v>
      </c>
      <c r="F7" s="2" t="s">
        <v>15</v>
      </c>
      <c r="G7" s="2" t="s">
        <v>44</v>
      </c>
      <c r="H7" s="2" t="s">
        <v>45</v>
      </c>
      <c r="I7" s="2" t="str">
        <f>IFERROR(__xludf.DUMMYFUNCTION("GOOGLETRANSLATE(C7,""fr"",""en"")"),"I am 49 years old and have always been insured with the MAIF. On the other hand, I had never had, unless I was mistaken, to request their assistance. This is now done during a water damage I was the victim. I am landed.
You will find below my return of e"&amp;"xperience with MAIF, one of its partner companies and one of its experts. It’s a bit long but edifying.
On November 12, 2018 I addressed to MAIF the observation of water damage signed with the owner of the apartment behind the leak. On November 19, the M"&amp;"AIF confirms by telephone the care of the work of restoring my apartment and offered to use a partner company. I accept. Finally, the MAIF suggests me on March 6, 2019 to seek an entrepreneur on my side because the partner company, who nevertheless came t"&amp;"o build up with me on January 6, never sent his quote despite the reminders of the MAIF. So we lost more than three months with this partner.
I contact an entrepreneur on March 11. He comes to my house on the 13th and addresses me his quote on the 18th. "&amp;"I transmit this quote of 3,850 euros TTC the next day, March 19, to the Maif who indicates to me by bringing an expert to intervene to quantify the work of recovery state. It’s a shame that this decision did not take place four months earlier.
An appoint"&amp;"ment is finally made on April 5 and the expert travels to my house to make his buildings on May 6, his first possible date. He then addressed his report to the MAIF without submitting his conclusions or asked for my opinion beforehand. The report will nev"&amp;"er be transmitted to me, whether by the expert or by the MAIF. However, this does not prevent MAIF from opposing the conclusions of this report, without even communicating it. As much for the contradictory nature of expertise.
Without news after the expe"&amp;"rt's visit I contacted his secretariat which indicates to me on May 29 that the report was sent to the MAIF and that it is me to contact the latter to find out the expert's conclusions. So I address the Maif who confirms me by email on June 3 the receptio"&amp;"n of the expert report. She tells me that this report allows her to compensate me and that a transfer of 1,432.20 euros corresponding to my damage will be addressed to me. She also tells me that a supplement of compensation will be paid to me upon present"&amp;"ation of supporting documents and within the limit of the expert's assessment, but without mentioning the amount of this evaluation. I answer by return on the same day to indicate that I will have the work carried out on the basis of the quote previously "&amp;"obtained and communicated to the MAIF and the expert. I emphasize that I do not know the assessment of the expert and expressly requests to be informed if the quote, on which neither the MAIF nor the expert has never made me the slightest remark, exceeds "&amp;"the assessment of the expert. I attach a new copy of the quote to my email. I have no response to my email.
I let a week spend a week then I get closer to the entrepreneur on June 11 and confirms my agreement on his quote. On June 21 we agree that the wo"&amp;"rk will be carried out at home from July 1 to 5 and the next day I reserve a week of vacation abroad for the same period in order to leave room for workers and not be disturbed by the works. On June 25, more than three weeks after our exchanges of June 3,"&amp;" the MAIF finally informs me that the assessment set by the expert is 1,909.60 euros and that it is me to renegotiate the quote with The entrepreneur or, failing that, that the work will be carried out by one of his partner companies. I answer the same da"&amp;"y to share my misunderstanding vis-à-vis the period of three weeks to return to me and explain, having regard to the contractual commitments subscribed to the entrepreneur and the tour operator, which he It is impossible for me to renegotiate the quote an"&amp;"d or cancel and or postpone the work as well as the vacation week without incurring financial penalties and practical disadvantages. My email of June 25 remains unanswered by the MAIF.
The work is carried out as scheduled in early July and I settle the e"&amp;"ntrepreneur's invoice. On July 24, I address the MAIF a copy of the invoice, the amount of which is identical to the initial quote. I explain in particular in my email that I consider that the assessment of the expert cannot have opposed me as soon as, in"&amp;" my opinion, the MAIF committed a first fault by omitting to communicate me spontaneously on June 3 The costing of her expert then in addition that she could not ignore that he was lower than the quote communicated, then a second fault by putting more tha"&amp;"n three weeks to return to me to communicate it when she knew that I Mandatais the entrepreneur to carry out the work.
The MAIF did not respond to my complaint on July 24, despite a written revival on August 30. On the other hand, I received an additiona"&amp;"l sum of 477.40 euros intended to complete my compensation on August 30 within the limit of the expert's costing. So I remain debtor of my pocket of a sum of 1,940.40 euros, the difference between the cost of the work and the assessment of the expert.
I "&amp;"called Maif twice on August 9 and September 20, to inquire about the status of my complaint but without success. The Maif finally told me on September 25 that she was going to take stock with her expert and come back to me as soon as possible. I had indee"&amp;"d questioned the MAIF on July 24 in writing about the methodology adopted by its expert to try to understand its costing and had returns in the form of vocal messages on August 9 and 28. My latest remarks in response sent on August 30 to MAIF, in writing,"&amp;" are however always unanswered to date. That said, my main grievance is directed against the Maif itself and not against its expert and it is a response from MAIF to this grievance that I despair of receiving.
I will now enter the complaint service of MA"&amp;"IF. I don't expect much but you never know. On the one hand, I imagine that this service will be more likely to decide on a possible fault of the loss management service as soon as it is not directly concerned by my complaint. On the other hand, this will"&amp;" allow me to be able to justify judicially that I explored all the amicable steps likely to be taken with the MAIF before seizing the court at the end of October, if this was not settled by then .
I will not fail to share with you the return, positive or"&amp;" negative, of this complaint service for your complete information.
To follow therefore.
")</f>
        <v>I am 49 years old and have always been insured with the MAIF. On the other hand, I had never had, unless I was mistaken, to request their assistance. This is now done during a water damage I was the victim. I am landed.
You will find below my return of experience with MAIF, one of its partner companies and one of its experts. It’s a bit long but edifying.
On November 12, 2018 I addressed to MAIF the observation of water damage signed with the owner of the apartment behind the leak. On November 19, the MAIF confirms by telephone the care of the work of restoring my apartment and offered to use a partner company. I accept. Finally, the MAIF suggests me on March 6, 2019 to seek an entrepreneur on my side because the partner company, who nevertheless came to build up with me on January 6, never sent his quote despite the reminders of the MAIF. So we lost more than three months with this partner.
I contact an entrepreneur on March 11. He comes to my house on the 13th and addresses me his quote on the 18th. I transmit this quote of 3,850 euros TTC the next day, March 19, to the Maif who indicates to me by bringing an expert to intervene to quantify the work of recovery state. It’s a shame that this decision did not take place four months earlier.
An appointment is finally made on April 5 and the expert travels to my house to make his buildings on May 6, his first possible date. He then addressed his report to the MAIF without submitting his conclusions or asked for my opinion beforehand. The report will never be transmitted to me, whether by the expert or by the MAIF. However, this does not prevent MAIF from opposing the conclusions of this report, without even communicating it. As much for the contradictory nature of expertise.
Without news after the expert's visit I contacted his secretariat which indicates to me on May 29 that the report was sent to the MAIF and that it is me to contact the latter to find out the expert's conclusions. So I address the Maif who confirms me by email on June 3 the reception of the expert report. She tells me that this report allows her to compensate me and that a transfer of 1,432.20 euros corresponding to my damage will be addressed to me. She also tells me that a supplement of compensation will be paid to me upon presentation of supporting documents and within the limit of the expert's assessment, but without mentioning the amount of this evaluation. I answer by return on the same day to indicate that I will have the work carried out on the basis of the quote previously obtained and communicated to the MAIF and the expert. I emphasize that I do not know the assessment of the expert and expressly requests to be informed if the quote, on which neither the MAIF nor the expert has never made me the slightest remark, exceeds the assessment of the expert. I attach a new copy of the quote to my email. I have no response to my email.
I let a week spend a week then I get closer to the entrepreneur on June 11 and confirms my agreement on his quote. On June 21 we agree that the work will be carried out at home from July 1 to 5 and the next day I reserve a week of vacation abroad for the same period in order to leave room for workers and not be disturbed by the works. On June 25, more than three weeks after our exchanges of June 3, the MAIF finally informs me that the assessment set by the expert is 1,909.60 euros and that it is me to renegotiate the quote with The entrepreneur or, failing that, that the work will be carried out by one of his partner companies. I answer the same day to share my misunderstanding vis-à-vis the period of three weeks to return to me and explain, having regard to the contractual commitments subscribed to the entrepreneur and the tour operator, which he It is impossible for me to renegotiate the quote and or cancel and or postpone the work as well as the vacation week without incurring financial penalties and practical disadvantages. My email of June 25 remains unanswered by the MAIF.
The work is carried out as scheduled in early July and I settle the entrepreneur's invoice. On July 24, I address the MAIF a copy of the invoice, the amount of which is identical to the initial quote. I explain in particular in my email that I consider that the assessment of the expert cannot have opposed me as soon as, in my opinion, the MAIF committed a first fault by omitting to communicate me spontaneously on June 3 The costing of her expert then in addition that she could not ignore that he was lower than the quote communicated, then a second fault by putting more than three weeks to return to me to communicate it when she knew that I Mandatais the entrepreneur to carry out the work.
The MAIF did not respond to my complaint on July 24, despite a written revival on August 30. On the other hand, I received an additional sum of 477.40 euros intended to complete my compensation on August 30 within the limit of the expert's costing. So I remain debtor of my pocket of a sum of 1,940.40 euros, the difference between the cost of the work and the assessment of the expert.
I called Maif twice on August 9 and September 20, to inquire about the status of my complaint but without success. The Maif finally told me on September 25 that she was going to take stock with her expert and come back to me as soon as possible. I had indeed questioned the MAIF on July 24 in writing about the methodology adopted by its expert to try to understand its costing and had returns in the form of vocal messages on August 9 and 28. My latest remarks in response sent on August 30 to MAIF, in writing, are however always unanswered to date. That said, my main grievance is directed against the Maif itself and not against its expert and it is a response from MAIF to this grievance that I despair of receiving.
I will now enter the complaint service of MAIF. I don't expect much but you never know. On the one hand, I imagine that this service will be more likely to decide on a possible fault of the loss management service as soon as it is not directly concerned by my complaint. On the other hand, this will allow me to be able to justify judicially that I explored all the amicable steps likely to be taken with the MAIF before seizing the court at the end of October, if this was not settled by then .
I will not fail to share with you the return, positive or negative, of this complaint service for your complete information.
To follow therefore.
</v>
      </c>
    </row>
    <row r="8">
      <c r="A8" s="2">
        <v>3.0</v>
      </c>
      <c r="B8" s="2" t="s">
        <v>46</v>
      </c>
      <c r="C8" s="2" t="s">
        <v>47</v>
      </c>
      <c r="D8" s="2" t="s">
        <v>48</v>
      </c>
      <c r="E8" s="2" t="s">
        <v>21</v>
      </c>
      <c r="F8" s="2" t="s">
        <v>15</v>
      </c>
      <c r="G8" s="2" t="s">
        <v>49</v>
      </c>
      <c r="H8" s="2" t="s">
        <v>50</v>
      </c>
      <c r="I8" s="2" t="str">
        <f>IFERROR(__xludf.DUMMYFUNCTION("GOOGLETRANSLATE(C8,""fr"",""en"")"),"I am a retiree from St Gobain Pam I therefore stayed in this insurance since 2007 which was that of my company. Nothing to report so far but since June 10 I have been waiting for a refund of € 65 for a glass of glasses for my husband who has been operated"&amp;" on cataracts and which puts me in progressive glass so 2 pairs of glasses A close vision and a far vision without changing the frames while going through the Kalivia network I already relaunched 4 times and still nothing while for mine which are progress"&amp;"istic and whose amount amounts to € 700 I did not make any costs. Look for the error ...")</f>
        <v>I am a retiree from St Gobain Pam I therefore stayed in this insurance since 2007 which was that of my company. Nothing to report so far but since June 10 I have been waiting for a refund of € 65 for a glass of glasses for my husband who has been operated on cataracts and which puts me in progressive glass so 2 pairs of glasses A close vision and a far vision without changing the frames while going through the Kalivia network I already relaunched 4 times and still nothing while for mine which are progressistic and whose amount amounts to € 700 I did not make any costs. Look for the error ...</v>
      </c>
    </row>
    <row r="9">
      <c r="A9" s="2">
        <v>1.0</v>
      </c>
      <c r="B9" s="2" t="s">
        <v>51</v>
      </c>
      <c r="C9" s="2" t="s">
        <v>52</v>
      </c>
      <c r="D9" s="2" t="s">
        <v>13</v>
      </c>
      <c r="E9" s="2" t="s">
        <v>14</v>
      </c>
      <c r="F9" s="2" t="s">
        <v>15</v>
      </c>
      <c r="G9" s="2" t="s">
        <v>53</v>
      </c>
      <c r="H9" s="2" t="s">
        <v>54</v>
      </c>
      <c r="I9" s="2" t="str">
        <f>IFERROR(__xludf.DUMMYFUNCTION("GOOGLETRANSLATE(C9,""fr"",""en"")"),"I receive yesterday on July 3 a letter from Cardif who said to me: In view of the expert report received, our doctor advice noted that you are no longer in work stoppage, (of course since I am in disability, and cardif knows that) your contractual rate of"&amp;" incapacity for work is less than 66 %, they are however aware of the decree of the medical committee of the Ministry of the Interior which declared me incapable in an absolute and definitive way to the profession of police officer and to Any job, followi"&amp;"ng the many expertise carried out by psychiatrists. The disease does not allow me to work, and believe me, I will not stop there !!!")</f>
        <v>I receive yesterday on July 3 a letter from Cardif who said to me: In view of the expert report received, our doctor advice noted that you are no longer in work stoppage, (of course since I am in disability, and cardif knows that) your contractual rate of incapacity for work is less than 66 %, they are however aware of the decree of the medical committee of the Ministry of the Interior which declared me incapable in an absolute and definitive way to the profession of police officer and to Any job, following the many expertise carried out by psychiatrists. The disease does not allow me to work, and believe me, I will not stop there !!!</v>
      </c>
    </row>
    <row r="10">
      <c r="A10" s="2">
        <v>1.0</v>
      </c>
      <c r="B10" s="2" t="s">
        <v>55</v>
      </c>
      <c r="C10" s="2" t="s">
        <v>56</v>
      </c>
      <c r="D10" s="2" t="s">
        <v>57</v>
      </c>
      <c r="E10" s="2" t="s">
        <v>43</v>
      </c>
      <c r="F10" s="2" t="s">
        <v>15</v>
      </c>
      <c r="G10" s="2" t="s">
        <v>58</v>
      </c>
      <c r="H10" s="2" t="s">
        <v>23</v>
      </c>
      <c r="I10" s="2" t="str">
        <f>IFERROR(__xludf.DUMMYFUNCTION("GOOGLETRANSLATE(C10,""fr"",""en"")"),"Following a water damage
Pacifica sent an expert to see
The expert to cut the water and said that he was going to transmit his report to Pacifica
To put more water in the apartment
When contacts to find out the intervention period the response and
In"&amp;" several weeks
What a shame this insurance
How can we leave an apartment with children for several weeks without water")</f>
        <v>Following a water damage
Pacifica sent an expert to see
The expert to cut the water and said that he was going to transmit his report to Pacifica
To put more water in the apartment
When contacts to find out the intervention period the response and
In several weeks
What a shame this insurance
How can we leave an apartment with children for several weeks without water</v>
      </c>
    </row>
    <row r="11">
      <c r="A11" s="2">
        <v>5.0</v>
      </c>
      <c r="B11" s="2" t="s">
        <v>59</v>
      </c>
      <c r="C11" s="2" t="s">
        <v>60</v>
      </c>
      <c r="D11" s="2" t="s">
        <v>37</v>
      </c>
      <c r="E11" s="2" t="s">
        <v>27</v>
      </c>
      <c r="F11" s="2" t="s">
        <v>15</v>
      </c>
      <c r="G11" s="2" t="s">
        <v>61</v>
      </c>
      <c r="H11" s="2" t="s">
        <v>62</v>
      </c>
      <c r="I11" s="2" t="str">
        <f>IFERROR(__xludf.DUMMYFUNCTION("GOOGLETRANSLATE(C11,""fr"",""en"")"),"I am very happy with insurance conditions, I am happy to be part of your insured for the prices. I am delighted to be at Direct Insurance")</f>
        <v>I am very happy with insurance conditions, I am happy to be part of your insured for the prices. I am delighted to be at Direct Insurance</v>
      </c>
    </row>
    <row r="12">
      <c r="A12" s="2">
        <v>3.0</v>
      </c>
      <c r="B12" s="2" t="s">
        <v>63</v>
      </c>
      <c r="C12" s="2" t="s">
        <v>64</v>
      </c>
      <c r="D12" s="2" t="s">
        <v>26</v>
      </c>
      <c r="E12" s="2" t="s">
        <v>27</v>
      </c>
      <c r="F12" s="2" t="s">
        <v>15</v>
      </c>
      <c r="G12" s="2" t="s">
        <v>61</v>
      </c>
      <c r="H12" s="2" t="s">
        <v>62</v>
      </c>
      <c r="I12" s="2" t="str">
        <f>IFERROR(__xludf.DUMMYFUNCTION("GOOGLETRANSLATE(C12,""fr"",""en"")"),"Listening and well -watching staff, for a quick and efficient telephone reception.
The kindness and the accessibility of your advisers seem to be a very interesting added value from your insurance company.")</f>
        <v>Listening and well -watching staff, for a quick and efficient telephone reception.
The kindness and the accessibility of your advisers seem to be a very interesting added value from your insurance company.</v>
      </c>
    </row>
    <row r="13">
      <c r="A13" s="2">
        <v>5.0</v>
      </c>
      <c r="B13" s="2" t="s">
        <v>65</v>
      </c>
      <c r="C13" s="2" t="s">
        <v>66</v>
      </c>
      <c r="D13" s="2" t="s">
        <v>67</v>
      </c>
      <c r="E13" s="2" t="s">
        <v>68</v>
      </c>
      <c r="F13" s="2" t="s">
        <v>15</v>
      </c>
      <c r="G13" s="2" t="s">
        <v>69</v>
      </c>
      <c r="H13" s="2" t="s">
        <v>29</v>
      </c>
      <c r="I13" s="2" t="str">
        <f>IFERROR(__xludf.DUMMYFUNCTION("GOOGLETRANSLATE(C13,""fr"",""en"")"),"Very good and fast site. Very practical. I can ensure my motorcycle today. I recommend to all those who would like to ensure their new motorcycle.")</f>
        <v>Very good and fast site. Very practical. I can ensure my motorcycle today. I recommend to all those who would like to ensure their new motorcycle.</v>
      </c>
    </row>
    <row r="14">
      <c r="A14" s="2">
        <v>4.0</v>
      </c>
      <c r="B14" s="2" t="s">
        <v>70</v>
      </c>
      <c r="C14" s="2" t="s">
        <v>71</v>
      </c>
      <c r="D14" s="2" t="s">
        <v>26</v>
      </c>
      <c r="E14" s="2" t="s">
        <v>27</v>
      </c>
      <c r="F14" s="2" t="s">
        <v>15</v>
      </c>
      <c r="G14" s="2" t="s">
        <v>72</v>
      </c>
      <c r="H14" s="2" t="s">
        <v>23</v>
      </c>
      <c r="I14" s="2" t="str">
        <f>IFERROR(__xludf.DUMMYFUNCTION("GOOGLETRANSLATE(C14,""fr"",""en"")"),"Very good value for money !
Listening and customer service advisers!
I recommend this insurance, the processing of files is fast and efficient.")</f>
        <v>Very good value for money !
Listening and customer service advisers!
I recommend this insurance, the processing of files is fast and efficient.</v>
      </c>
    </row>
    <row r="15">
      <c r="A15" s="2">
        <v>1.0</v>
      </c>
      <c r="B15" s="2" t="s">
        <v>73</v>
      </c>
      <c r="C15" s="2" t="s">
        <v>74</v>
      </c>
      <c r="D15" s="2" t="s">
        <v>37</v>
      </c>
      <c r="E15" s="2" t="s">
        <v>27</v>
      </c>
      <c r="F15" s="2" t="s">
        <v>15</v>
      </c>
      <c r="G15" s="2" t="s">
        <v>75</v>
      </c>
      <c r="H15" s="2" t="s">
        <v>23</v>
      </c>
      <c r="I15" s="2" t="str">
        <f>IFERROR(__xludf.DUMMYFUNCTION("GOOGLETRANSLATE(C15,""fr"",""en"")"),"The prices increase from one year to the next, +60 euros this year
Subscription in 2018 of a new contract all riques at € 555.
The price for this year is € 760, an increase of € 200 in 3 years.")</f>
        <v>The prices increase from one year to the next, +60 euros this year
Subscription in 2018 of a new contract all riques at € 555.
The price for this year is € 760, an increase of € 200 in 3 years.</v>
      </c>
    </row>
    <row r="16">
      <c r="A16" s="2">
        <v>5.0</v>
      </c>
      <c r="B16" s="2" t="s">
        <v>76</v>
      </c>
      <c r="C16" s="2" t="s">
        <v>77</v>
      </c>
      <c r="D16" s="2" t="s">
        <v>78</v>
      </c>
      <c r="E16" s="2" t="s">
        <v>43</v>
      </c>
      <c r="F16" s="2" t="s">
        <v>15</v>
      </c>
      <c r="G16" s="2" t="s">
        <v>79</v>
      </c>
      <c r="H16" s="2" t="s">
        <v>80</v>
      </c>
      <c r="I16" s="2" t="str">
        <f>IFERROR(__xludf.DUMMYFUNCTION("GOOGLETRANSLATE(C16,""fr"",""en"")"),"Super welcome from Groupama in an agency in the 29 which ensures a complex joint/ bare owners/ usufructuary situation with a bonus a reduction for purchase of several contracts simultaneously.")</f>
        <v>Super welcome from Groupama in an agency in the 29 which ensures a complex joint/ bare owners/ usufructuary situation with a bonus a reduction for purchase of several contracts simultaneously.</v>
      </c>
    </row>
    <row r="17">
      <c r="A17" s="2">
        <v>3.0</v>
      </c>
      <c r="B17" s="2" t="s">
        <v>81</v>
      </c>
      <c r="C17" s="2" t="s">
        <v>82</v>
      </c>
      <c r="D17" s="2" t="s">
        <v>67</v>
      </c>
      <c r="E17" s="2" t="s">
        <v>68</v>
      </c>
      <c r="F17" s="2" t="s">
        <v>15</v>
      </c>
      <c r="G17" s="2" t="s">
        <v>83</v>
      </c>
      <c r="H17" s="2" t="s">
        <v>84</v>
      </c>
      <c r="I17" s="2" t="str">
        <f>IFERROR(__xludf.DUMMYFUNCTION("GOOGLETRANSLATE(C17,""fr"",""en"")"),"Errorly taken for 6 months instead of another customer
This is the second time fortunately I have been watching my accounts
Problem dating from May 2017 still not resolved
I made opposition")</f>
        <v>Errorly taken for 6 months instead of another customer
This is the second time fortunately I have been watching my accounts
Problem dating from May 2017 still not resolved
I made opposition</v>
      </c>
    </row>
    <row r="18">
      <c r="A18" s="2">
        <v>4.0</v>
      </c>
      <c r="B18" s="2" t="s">
        <v>85</v>
      </c>
      <c r="C18" s="2" t="s">
        <v>86</v>
      </c>
      <c r="D18" s="2" t="s">
        <v>26</v>
      </c>
      <c r="E18" s="2" t="s">
        <v>27</v>
      </c>
      <c r="F18" s="2" t="s">
        <v>15</v>
      </c>
      <c r="G18" s="2" t="s">
        <v>87</v>
      </c>
      <c r="H18" s="2" t="s">
        <v>88</v>
      </c>
      <c r="I18" s="2" t="str">
        <f>IFERROR(__xludf.DUMMYFUNCTION("GOOGLETRANSLATE(C18,""fr"",""en"")"),"Very satisfied with my exchange with the insurance olive tree, 1st contact with them and I am reassuring for the future and I hope that if there is a sistre or not they will meet my expectations")</f>
        <v>Very satisfied with my exchange with the insurance olive tree, 1st contact with them and I am reassuring for the future and I hope that if there is a sistre or not they will meet my expectations</v>
      </c>
    </row>
    <row r="19">
      <c r="A19" s="2">
        <v>4.0</v>
      </c>
      <c r="B19" s="2" t="s">
        <v>89</v>
      </c>
      <c r="C19" s="2" t="s">
        <v>90</v>
      </c>
      <c r="D19" s="2" t="s">
        <v>42</v>
      </c>
      <c r="E19" s="2" t="s">
        <v>27</v>
      </c>
      <c r="F19" s="2" t="s">
        <v>15</v>
      </c>
      <c r="G19" s="2" t="s">
        <v>91</v>
      </c>
      <c r="H19" s="2" t="s">
        <v>92</v>
      </c>
      <c r="I19" s="2" t="str">
        <f>IFERROR(__xludf.DUMMYFUNCTION("GOOGLETRANSLATE(C19,""fr"",""en"")"),"Reachable and serious insurance
They do not take their policyholders for pigeons, in the event of a claim they are there to ensure you.
Very good value for money")</f>
        <v>Reachable and serious insurance
They do not take their policyholders for pigeons, in the event of a claim they are there to ensure you.
Very good value for money</v>
      </c>
    </row>
    <row r="20">
      <c r="A20" s="2">
        <v>3.0</v>
      </c>
      <c r="B20" s="2" t="s">
        <v>93</v>
      </c>
      <c r="C20" s="2" t="s">
        <v>94</v>
      </c>
      <c r="D20" s="2" t="s">
        <v>42</v>
      </c>
      <c r="E20" s="2" t="s">
        <v>43</v>
      </c>
      <c r="F20" s="2" t="s">
        <v>15</v>
      </c>
      <c r="G20" s="2" t="s">
        <v>95</v>
      </c>
      <c r="H20" s="2" t="s">
        <v>96</v>
      </c>
      <c r="I20" s="2" t="str">
        <f>IFERROR(__xludf.DUMMYFUNCTION("GOOGLETRANSLATE(C20,""fr"",""en"")"),"I am 70 years old - I was insured at MAIF for more than 20 years for cars - no claims - in 2017 I launched ahbit and legal protection - having had concerns, I called To legal protection: refusal - to date I find myself with three judicial mortgages - the "&amp;"maif does not want to know anything - scandalous and lamentable I have contributed hanging 20 years without disaster for cars and when I ask to be compensated under the Legal protection: simple mail received: resilions The contract for altered relationshi"&amp;"p - it is disrespectful I am disappointed at my age and I do not recommend -
")</f>
        <v>I am 70 years old - I was insured at MAIF for more than 20 years for cars - no claims - in 2017 I launched ahbit and legal protection - having had concerns, I called To legal protection: refusal - to date I find myself with three judicial mortgages - the maif does not want to know anything - scandalous and lamentable I have contributed hanging 20 years without disaster for cars and when I ask to be compensated under the Legal protection: simple mail received: resilions The contract for altered relationship - it is disrespectful I am disappointed at my age and I do not recommend -
</v>
      </c>
    </row>
    <row r="21" ht="15.75" customHeight="1">
      <c r="A21" s="2">
        <v>2.0</v>
      </c>
      <c r="B21" s="2" t="s">
        <v>97</v>
      </c>
      <c r="C21" s="2" t="s">
        <v>98</v>
      </c>
      <c r="D21" s="2" t="s">
        <v>99</v>
      </c>
      <c r="E21" s="2" t="s">
        <v>43</v>
      </c>
      <c r="F21" s="2" t="s">
        <v>15</v>
      </c>
      <c r="G21" s="2" t="s">
        <v>100</v>
      </c>
      <c r="H21" s="2" t="s">
        <v>101</v>
      </c>
      <c r="I21" s="2" t="str">
        <f>IFERROR(__xludf.DUMMYFUNCTION("GOOGLETRANSLATE(C21,""fr"",""en"")"),"Customer Since September 2005, my premium went from € 23.30 in 2013, to 29.97 in 2018 (28 % in 5 years), then 33.66 in 2019 and now 39.35 in 2020, or 69 % of Increase since the origin of the contract !!!!!!
Why did my home insurance subscription increase"&amp;"d by 17% this year, and also by 12% last year, while the media announces increases of around 1; 5 to 2.2%, possibly until 'at 5% in exceptional cases?
I am waiting to receive your plausible supporting documents.")</f>
        <v>Customer Since September 2005, my premium went from € 23.30 in 2013, to 29.97 in 2018 (28 % in 5 years), then 33.66 in 2019 and now 39.35 in 2020, or 69 % of Increase since the origin of the contract !!!!!!
Why did my home insurance subscription increased by 17% this year, and also by 12% last year, while the media announces increases of around 1; 5 to 2.2%, possibly until 'at 5% in exceptional cases?
I am waiting to receive your plausible supporting documents.</v>
      </c>
    </row>
    <row r="22" ht="15.75" customHeight="1">
      <c r="A22" s="2">
        <v>4.0</v>
      </c>
      <c r="B22" s="2" t="s">
        <v>102</v>
      </c>
      <c r="C22" s="2" t="s">
        <v>103</v>
      </c>
      <c r="D22" s="2" t="s">
        <v>26</v>
      </c>
      <c r="E22" s="2" t="s">
        <v>27</v>
      </c>
      <c r="F22" s="2" t="s">
        <v>15</v>
      </c>
      <c r="G22" s="2" t="s">
        <v>104</v>
      </c>
      <c r="H22" s="2" t="s">
        <v>88</v>
      </c>
      <c r="I22" s="2" t="str">
        <f>IFERROR(__xludf.DUMMYFUNCTION("GOOGLETRANSLATE(C22,""fr"",""en"")"),"Easy internet subscription. Quite good price. Found by an insurance comparator. Temporary green card available immediately. Good service. To recommend")</f>
        <v>Easy internet subscription. Quite good price. Found by an insurance comparator. Temporary green card available immediately. Good service. To recommend</v>
      </c>
    </row>
    <row r="23" ht="15.75" customHeight="1">
      <c r="A23" s="2">
        <v>3.0</v>
      </c>
      <c r="B23" s="2" t="s">
        <v>105</v>
      </c>
      <c r="C23" s="2" t="s">
        <v>106</v>
      </c>
      <c r="D23" s="2" t="s">
        <v>107</v>
      </c>
      <c r="E23" s="2" t="s">
        <v>21</v>
      </c>
      <c r="F23" s="2" t="s">
        <v>15</v>
      </c>
      <c r="G23" s="2" t="s">
        <v>108</v>
      </c>
      <c r="H23" s="2" t="s">
        <v>45</v>
      </c>
      <c r="I23" s="2" t="str">
        <f>IFERROR(__xludf.DUMMYFUNCTION("GOOGLETRANSLATE(C23,""fr"",""en"")"),"Very satisfied with my customer advisor Lamia
I give him 5 stars")</f>
        <v>Very satisfied with my customer advisor Lamia
I give him 5 stars</v>
      </c>
    </row>
    <row r="24" ht="15.75" customHeight="1">
      <c r="A24" s="2">
        <v>5.0</v>
      </c>
      <c r="B24" s="2" t="s">
        <v>109</v>
      </c>
      <c r="C24" s="2" t="s">
        <v>110</v>
      </c>
      <c r="D24" s="2" t="s">
        <v>67</v>
      </c>
      <c r="E24" s="2" t="s">
        <v>68</v>
      </c>
      <c r="F24" s="2" t="s">
        <v>15</v>
      </c>
      <c r="G24" s="2" t="s">
        <v>111</v>
      </c>
      <c r="H24" s="2" t="s">
        <v>112</v>
      </c>
      <c r="I24" s="2" t="str">
        <f>IFERROR(__xludf.DUMMYFUNCTION("GOOGLETRANSLATE(C24,""fr"",""en"")"),"Fast secure practice super easy to subscribe I strongly recommend and hopes to be satisfied with the service thereafter and count several years of insurance with them")</f>
        <v>Fast secure practice super easy to subscribe I strongly recommend and hopes to be satisfied with the service thereafter and count several years of insurance with them</v>
      </c>
    </row>
    <row r="25" ht="15.75" customHeight="1">
      <c r="A25" s="2">
        <v>2.0</v>
      </c>
      <c r="B25" s="2" t="s">
        <v>113</v>
      </c>
      <c r="C25" s="2" t="s">
        <v>114</v>
      </c>
      <c r="D25" s="2" t="s">
        <v>37</v>
      </c>
      <c r="E25" s="2" t="s">
        <v>27</v>
      </c>
      <c r="F25" s="2" t="s">
        <v>15</v>
      </c>
      <c r="G25" s="2" t="s">
        <v>115</v>
      </c>
      <c r="H25" s="2" t="s">
        <v>116</v>
      </c>
      <c r="I25" s="2" t="str">
        <f>IFERROR(__xludf.DUMMYFUNCTION("GOOGLETRANSLATE(C25,""fr"",""en"")"),"Hello,
I end up with the same problem and with Direct Assurances.
My car is immobilized in the garage for a few days and I benefited from a car loan of the garage during repair.
The only problem is that Direct Insurance refuses me the transfer of warra"&amp;"nty (the garage I contacted for informed tells me that he had ever seen that insurance that does not transfer guarantees).
In short I am obliged to make the vehicle gently lend by my garage all this because of direct insurance and good luck to me to go t"&amp;"o work (I do not know how I will do to travel the daily 45 kms for me go to work.
It is the shame of acting on this way.")</f>
        <v>Hello,
I end up with the same problem and with Direct Assurances.
My car is immobilized in the garage for a few days and I benefited from a car loan of the garage during repair.
The only problem is that Direct Insurance refuses me the transfer of warranty (the garage I contacted for informed tells me that he had ever seen that insurance that does not transfer guarantees).
In short I am obliged to make the vehicle gently lend by my garage all this because of direct insurance and good luck to me to go to work (I do not know how I will do to travel the daily 45 kms for me go to work.
It is the shame of acting on this way.</v>
      </c>
    </row>
    <row r="26" ht="15.75" customHeight="1">
      <c r="A26" s="2">
        <v>3.0</v>
      </c>
      <c r="B26" s="2" t="s">
        <v>117</v>
      </c>
      <c r="C26" s="2" t="s">
        <v>118</v>
      </c>
      <c r="D26" s="2" t="s">
        <v>119</v>
      </c>
      <c r="E26" s="2" t="s">
        <v>120</v>
      </c>
      <c r="F26" s="2" t="s">
        <v>15</v>
      </c>
      <c r="G26" s="2" t="s">
        <v>121</v>
      </c>
      <c r="H26" s="2" t="s">
        <v>121</v>
      </c>
      <c r="I26" s="2" t="str">
        <f>IFERROR(__xludf.DUMMYFUNCTION("GOOGLETRANSLATE(C26,""fr"",""en"")"),"A disability file open for more than 2 months; 2 months that the service is unreachable !! No response to emails however read !!!! shameful documents claimed when I sent them !!!")</f>
        <v>A disability file open for more than 2 months; 2 months that the service is unreachable !! No response to emails however read !!!! shameful documents claimed when I sent them !!!</v>
      </c>
    </row>
    <row r="27" ht="15.75" customHeight="1">
      <c r="A27" s="2">
        <v>5.0</v>
      </c>
      <c r="B27" s="2" t="s">
        <v>122</v>
      </c>
      <c r="C27" s="2" t="s">
        <v>123</v>
      </c>
      <c r="D27" s="2" t="s">
        <v>37</v>
      </c>
      <c r="E27" s="2" t="s">
        <v>27</v>
      </c>
      <c r="F27" s="2" t="s">
        <v>15</v>
      </c>
      <c r="G27" s="2" t="s">
        <v>124</v>
      </c>
      <c r="H27" s="2" t="s">
        <v>88</v>
      </c>
      <c r="I27" s="2" t="str">
        <f>IFERROR(__xludf.DUMMYFUNCTION("GOOGLETRANSLATE(C27,""fr"",""en"")"),"I am satisfied with the service, simple and quick via the internet
The price suits me perfectly
I potentially plan to make a quote for my next home")</f>
        <v>I am satisfied with the service, simple and quick via the internet
The price suits me perfectly
I potentially plan to make a quote for my next home</v>
      </c>
    </row>
    <row r="28" ht="15.75" customHeight="1">
      <c r="A28" s="2">
        <v>3.0</v>
      </c>
      <c r="B28" s="2" t="s">
        <v>125</v>
      </c>
      <c r="C28" s="2" t="s">
        <v>126</v>
      </c>
      <c r="D28" s="2" t="s">
        <v>37</v>
      </c>
      <c r="E28" s="2" t="s">
        <v>27</v>
      </c>
      <c r="F28" s="2" t="s">
        <v>15</v>
      </c>
      <c r="G28" s="2" t="s">
        <v>127</v>
      </c>
      <c r="H28" s="2" t="s">
        <v>23</v>
      </c>
      <c r="I28" s="2" t="str">
        <f>IFERROR(__xludf.DUMMYFUNCTION("GOOGLETRANSLATE(C28,""fr"",""en"")"),"I am just disappointed by the price difference that there can be for a new customer compared to my annual subscription! Suddenly, I feel obliged to contact customer service to try to obtain a commercial gesture")</f>
        <v>I am just disappointed by the price difference that there can be for a new customer compared to my annual subscription! Suddenly, I feel obliged to contact customer service to try to obtain a commercial gesture</v>
      </c>
    </row>
    <row r="29" ht="15.75" customHeight="1">
      <c r="A29" s="2">
        <v>3.0</v>
      </c>
      <c r="B29" s="2" t="s">
        <v>128</v>
      </c>
      <c r="C29" s="2" t="s">
        <v>129</v>
      </c>
      <c r="D29" s="2" t="s">
        <v>37</v>
      </c>
      <c r="E29" s="2" t="s">
        <v>27</v>
      </c>
      <c r="F29" s="2" t="s">
        <v>15</v>
      </c>
      <c r="G29" s="2" t="s">
        <v>130</v>
      </c>
      <c r="H29" s="2" t="s">
        <v>62</v>
      </c>
      <c r="I29" s="2" t="str">
        <f>IFERROR(__xludf.DUMMYFUNCTION("GOOGLETRANSLATE(C29,""fr"",""en"")"),"I am satisfied, it is fast registration and the Sprix suits me well hoping that the fact that there is no visu interlocutor is not problematic")</f>
        <v>I am satisfied, it is fast registration and the Sprix suits me well hoping that the fact that there is no visu interlocutor is not problematic</v>
      </c>
    </row>
    <row r="30" ht="15.75" customHeight="1">
      <c r="A30" s="2">
        <v>3.0</v>
      </c>
      <c r="B30" s="2" t="s">
        <v>131</v>
      </c>
      <c r="C30" s="2" t="s">
        <v>132</v>
      </c>
      <c r="D30" s="2" t="s">
        <v>37</v>
      </c>
      <c r="E30" s="2" t="s">
        <v>27</v>
      </c>
      <c r="F30" s="2" t="s">
        <v>15</v>
      </c>
      <c r="G30" s="2" t="s">
        <v>133</v>
      </c>
      <c r="H30" s="2" t="s">
        <v>134</v>
      </c>
      <c r="I30" s="2" t="str">
        <f>IFERROR(__xludf.DUMMYFUNCTION("GOOGLETRANSLATE(C30,""fr"",""en"")"),"I find it a little expensive for a 2009 and third party car as long as I have several contracts with you. The prices should be degressive depending on the number of contracts")</f>
        <v>I find it a little expensive for a 2009 and third party car as long as I have several contracts with you. The prices should be degressive depending on the number of contracts</v>
      </c>
    </row>
    <row r="31" ht="15.75" customHeight="1">
      <c r="A31" s="2">
        <v>4.0</v>
      </c>
      <c r="B31" s="2" t="s">
        <v>135</v>
      </c>
      <c r="C31" s="2" t="s">
        <v>136</v>
      </c>
      <c r="D31" s="2" t="s">
        <v>37</v>
      </c>
      <c r="E31" s="2" t="s">
        <v>27</v>
      </c>
      <c r="F31" s="2" t="s">
        <v>15</v>
      </c>
      <c r="G31" s="2" t="s">
        <v>137</v>
      </c>
      <c r="H31" s="2" t="s">
        <v>29</v>
      </c>
      <c r="I31" s="2" t="str">
        <f>IFERROR(__xludf.DUMMYFUNCTION("GOOGLETRANSLATE(C31,""fr"",""en"")"),"Very unhappy with regular increases!
On the other hand, very satisfied with the services, so I still remain a customer, to what percentage of increase? .....")</f>
        <v>Very unhappy with regular increases!
On the other hand, very satisfied with the services, so I still remain a customer, to what percentage of increase? .....</v>
      </c>
    </row>
    <row r="32" ht="15.75" customHeight="1">
      <c r="A32" s="2">
        <v>4.0</v>
      </c>
      <c r="B32" s="2" t="s">
        <v>138</v>
      </c>
      <c r="C32" s="2" t="s">
        <v>139</v>
      </c>
      <c r="D32" s="2" t="s">
        <v>26</v>
      </c>
      <c r="E32" s="2" t="s">
        <v>27</v>
      </c>
      <c r="F32" s="2" t="s">
        <v>15</v>
      </c>
      <c r="G32" s="2" t="s">
        <v>140</v>
      </c>
      <c r="H32" s="2" t="s">
        <v>141</v>
      </c>
      <c r="I32" s="2" t="str">
        <f>IFERROR(__xludf.DUMMYFUNCTION("GOOGLETRANSLATE(C32,""fr"",""en"")"),"Satisfaction of services, listening and responsiveness.
Responses adapted to the situations presented.
Speed ​​of telephone access with advisers")</f>
        <v>Satisfaction of services, listening and responsiveness.
Responses adapted to the situations presented.
Speed ​​of telephone access with advisers</v>
      </c>
    </row>
    <row r="33" ht="15.75" customHeight="1">
      <c r="A33" s="2">
        <v>1.0</v>
      </c>
      <c r="B33" s="2" t="s">
        <v>142</v>
      </c>
      <c r="C33" s="2" t="s">
        <v>143</v>
      </c>
      <c r="D33" s="2" t="s">
        <v>99</v>
      </c>
      <c r="E33" s="2" t="s">
        <v>120</v>
      </c>
      <c r="F33" s="2" t="s">
        <v>15</v>
      </c>
      <c r="G33" s="2" t="s">
        <v>144</v>
      </c>
      <c r="H33" s="2" t="s">
        <v>145</v>
      </c>
      <c r="I33" s="2" t="str">
        <f>IFERROR(__xludf.DUMMYFUNCTION("GOOGLETRANSLATE(C33,""fr"",""en"")"),"Null- non-existent customer service- non-compliance with incompetent customer service contracts-ignorant of the services to be provided- to make their own contracts")</f>
        <v>Null- non-existent customer service- non-compliance with incompetent customer service contracts-ignorant of the services to be provided- to make their own contracts</v>
      </c>
    </row>
    <row r="34" ht="15.75" customHeight="1">
      <c r="A34" s="2">
        <v>2.0</v>
      </c>
      <c r="B34" s="2" t="s">
        <v>146</v>
      </c>
      <c r="C34" s="2" t="s">
        <v>147</v>
      </c>
      <c r="D34" s="2" t="s">
        <v>57</v>
      </c>
      <c r="E34" s="2" t="s">
        <v>27</v>
      </c>
      <c r="F34" s="2" t="s">
        <v>15</v>
      </c>
      <c r="G34" s="2" t="s">
        <v>148</v>
      </c>
      <c r="H34" s="2" t="s">
        <v>149</v>
      </c>
      <c r="I34" s="2" t="str">
        <f>IFERROR(__xludf.DUMMYFUNCTION("GOOGLETRANSLATE(C34,""fr"",""en"")"),"I just suffered a disaster. The person who takes care of my Emeline file is just incompetent and incapable of answering my questions (ex: how to complete an observation because first accident his answer I do not know). Throughout the procedure I had to go"&amp;" to her to try to understand the rest of my file since I had no information. It's just unacceptable! I will never take insurance linked to a bank again they are not specialized in accidents I do not recommend at all !!!!! TO FLEE !")</f>
        <v>I just suffered a disaster. The person who takes care of my Emeline file is just incompetent and incapable of answering my questions (ex: how to complete an observation because first accident his answer I do not know). Throughout the procedure I had to go to her to try to understand the rest of my file since I had no information. It's just unacceptable! I will never take insurance linked to a bank again they are not specialized in accidents I do not recommend at all !!!!! TO FLEE !</v>
      </c>
    </row>
    <row r="35" ht="15.75" customHeight="1">
      <c r="A35" s="2">
        <v>1.0</v>
      </c>
      <c r="B35" s="2" t="s">
        <v>150</v>
      </c>
      <c r="C35" s="2" t="s">
        <v>151</v>
      </c>
      <c r="D35" s="2" t="s">
        <v>152</v>
      </c>
      <c r="E35" s="2" t="s">
        <v>68</v>
      </c>
      <c r="F35" s="2" t="s">
        <v>15</v>
      </c>
      <c r="G35" s="2" t="s">
        <v>153</v>
      </c>
      <c r="H35" s="2" t="s">
        <v>23</v>
      </c>
      <c r="I35" s="2" t="str">
        <f>IFERROR(__xludf.DUMMYFUNCTION("GOOGLETRANSLATE(C35,""fr"",""en"")"),"A disaster, I just received my maturity and there, surprise + 23 % with 50 % bonus, no accident for more than 25 years and almost not rolled this year. (2020: 415 € - 2021: 519.65 €). Solidarity mutual, I have doubts. I will terminate.")</f>
        <v>A disaster, I just received my maturity and there, surprise + 23 % with 50 % bonus, no accident for more than 25 years and almost not rolled this year. (2020: 415 € - 2021: 519.65 €). Solidarity mutual, I have doubts. I will terminate.</v>
      </c>
    </row>
    <row r="36" ht="15.75" customHeight="1">
      <c r="A36" s="2">
        <v>2.0</v>
      </c>
      <c r="B36" s="2" t="s">
        <v>154</v>
      </c>
      <c r="C36" s="2" t="s">
        <v>155</v>
      </c>
      <c r="D36" s="2" t="s">
        <v>156</v>
      </c>
      <c r="E36" s="2" t="s">
        <v>21</v>
      </c>
      <c r="F36" s="2" t="s">
        <v>15</v>
      </c>
      <c r="G36" s="2" t="s">
        <v>157</v>
      </c>
      <c r="H36" s="2" t="s">
        <v>134</v>
      </c>
      <c r="I36" s="2" t="str">
        <f>IFERROR(__xludf.DUMMYFUNCTION("GOOGLETRANSLATE(C36,""fr"",""en"")"),"April Health does nothing to help terminate their contract quite the contrary. Count on a very long reaction time if necessary. Easy to join it difficult to leave.
Very unhappy")</f>
        <v>April Health does nothing to help terminate their contract quite the contrary. Count on a very long reaction time if necessary. Easy to join it difficult to leave.
Very unhappy</v>
      </c>
    </row>
    <row r="37" ht="15.75" customHeight="1">
      <c r="A37" s="2">
        <v>1.0</v>
      </c>
      <c r="B37" s="2" t="s">
        <v>158</v>
      </c>
      <c r="C37" s="2" t="s">
        <v>159</v>
      </c>
      <c r="D37" s="2" t="s">
        <v>160</v>
      </c>
      <c r="E37" s="2" t="s">
        <v>21</v>
      </c>
      <c r="F37" s="2" t="s">
        <v>15</v>
      </c>
      <c r="G37" s="2" t="s">
        <v>161</v>
      </c>
      <c r="H37" s="2" t="s">
        <v>50</v>
      </c>
      <c r="I37" s="2" t="str">
        <f>IFERROR(__xludf.DUMMYFUNCTION("GOOGLETRANSLATE(C37,""fr"",""en"")"),"On August 20, they have taken out my father aged 83 by phone and through VINC Assurance.
There was no ""electronic"" signature because by email and especially no mobile phone coverage.
They still published a mutual contract.
A complaint is filed in the"&amp;" gendarmerie as well as at the DGCCRF level.
It is high time to sanction them.")</f>
        <v>On August 20, they have taken out my father aged 83 by phone and through VINC Assurance.
There was no "electronic" signature because by email and especially no mobile phone coverage.
They still published a mutual contract.
A complaint is filed in the gendarmerie as well as at the DGCCRF level.
It is high time to sanction them.</v>
      </c>
    </row>
    <row r="38" ht="15.75" customHeight="1">
      <c r="A38" s="2">
        <v>5.0</v>
      </c>
      <c r="B38" s="2" t="s">
        <v>162</v>
      </c>
      <c r="C38" s="2" t="s">
        <v>163</v>
      </c>
      <c r="D38" s="2" t="s">
        <v>37</v>
      </c>
      <c r="E38" s="2" t="s">
        <v>27</v>
      </c>
      <c r="F38" s="2" t="s">
        <v>15</v>
      </c>
      <c r="G38" s="2" t="s">
        <v>164</v>
      </c>
      <c r="H38" s="2" t="s">
        <v>112</v>
      </c>
      <c r="I38" s="2" t="str">
        <f>IFERROR(__xludf.DUMMYFUNCTION("GOOGLETRANSLATE(C38,""fr"",""en"")"),"I am very very satisfied with your online insurance service. The process for ensuring a vehicle is very simple and very fast. I recommend !")</f>
        <v>I am very very satisfied with your online insurance service. The process for ensuring a vehicle is very simple and very fast. I recommend !</v>
      </c>
    </row>
    <row r="39" ht="15.75" customHeight="1">
      <c r="A39" s="2">
        <v>1.0</v>
      </c>
      <c r="B39" s="2" t="s">
        <v>165</v>
      </c>
      <c r="C39" s="2" t="s">
        <v>166</v>
      </c>
      <c r="D39" s="2" t="s">
        <v>167</v>
      </c>
      <c r="E39" s="2" t="s">
        <v>168</v>
      </c>
      <c r="F39" s="2" t="s">
        <v>15</v>
      </c>
      <c r="G39" s="2" t="s">
        <v>169</v>
      </c>
      <c r="H39" s="2" t="s">
        <v>170</v>
      </c>
      <c r="I39" s="2" t="str">
        <f>IFERROR(__xludf.DUMMYFUNCTION("GOOGLETRANSLATE(C39,""fr"",""en"")"),"The 6 -year -old daughter's minette, a 1 year old, has just died of a pif diagnosed at the end of a week's stay in intensive care at Maison Alfort.
We had subscribed to the Optimal Healthtevet contract, which completely reimburses the costs related to di"&amp;"seases up to € 2500 per year.
The bill of a little more than 1300 euros had to be paid entirely because it is costs in intensive care following a non -congenital disease.")</f>
        <v>The 6 -year -old daughter's minette, a 1 year old, has just died of a pif diagnosed at the end of a week's stay in intensive care at Maison Alfort.
We had subscribed to the Optimal Healthtevet contract, which completely reimburses the costs related to diseases up to € 2500 per year.
The bill of a little more than 1300 euros had to be paid entirely because it is costs in intensive care following a non -congenital disease.</v>
      </c>
    </row>
    <row r="40" ht="15.75" customHeight="1">
      <c r="A40" s="2">
        <v>2.0</v>
      </c>
      <c r="B40" s="2" t="s">
        <v>171</v>
      </c>
      <c r="C40" s="2" t="s">
        <v>172</v>
      </c>
      <c r="D40" s="2" t="s">
        <v>48</v>
      </c>
      <c r="E40" s="2" t="s">
        <v>21</v>
      </c>
      <c r="F40" s="2" t="s">
        <v>15</v>
      </c>
      <c r="G40" s="2" t="s">
        <v>173</v>
      </c>
      <c r="H40" s="2" t="s">
        <v>174</v>
      </c>
      <c r="I40" s="2" t="str">
        <f>IFERROR(__xludf.DUMMYFUNCTION("GOOGLETRANSLATE(C40,""fr"",""en"")"),"Never use their mediator despite your right it is lost in advance. For 3 months in dispute following reimbursement of fees exceeding surgeon while all documents have been clear and clear since departure, this mediator confirms the conformity of the reimbu"&amp;"rsement while the rate provided for in the group contract is not respected on a basis, he Call a Sunday and get angry as soon as you tell him that you really spent this sum no longer lets you speak and then puts an end to the conversation by saying to go "&amp;"to court for him!
I report to Harmonie Mutuelle that I don't have Facebook")</f>
        <v>Never use their mediator despite your right it is lost in advance. For 3 months in dispute following reimbursement of fees exceeding surgeon while all documents have been clear and clear since departure, this mediator confirms the conformity of the reimbursement while the rate provided for in the group contract is not respected on a basis, he Call a Sunday and get angry as soon as you tell him that you really spent this sum no longer lets you speak and then puts an end to the conversation by saying to go to court for him!
I report to Harmonie Mutuelle that I don't have Facebook</v>
      </c>
    </row>
    <row r="41" ht="15.75" customHeight="1">
      <c r="A41" s="2">
        <v>5.0</v>
      </c>
      <c r="B41" s="2" t="s">
        <v>175</v>
      </c>
      <c r="C41" s="2" t="s">
        <v>176</v>
      </c>
      <c r="D41" s="2" t="s">
        <v>107</v>
      </c>
      <c r="E41" s="2" t="s">
        <v>21</v>
      </c>
      <c r="F41" s="2" t="s">
        <v>15</v>
      </c>
      <c r="G41" s="2" t="s">
        <v>177</v>
      </c>
      <c r="H41" s="2" t="s">
        <v>112</v>
      </c>
      <c r="I41" s="2" t="str">
        <f>IFERROR(__xludf.DUMMYFUNCTION("GOOGLETRANSLATE(C41,""fr"",""en"")"),"Insurer with very good communication. I am very satisfied with my choice. Entirely at our disposal. Quality, fast and efficient exchanges. I highly recommend this insurer.")</f>
        <v>Insurer with very good communication. I am very satisfied with my choice. Entirely at our disposal. Quality, fast and efficient exchanges. I highly recommend this insurer.</v>
      </c>
    </row>
    <row r="42" ht="15.75" customHeight="1">
      <c r="A42" s="2">
        <v>4.0</v>
      </c>
      <c r="B42" s="2" t="s">
        <v>178</v>
      </c>
      <c r="C42" s="2" t="s">
        <v>179</v>
      </c>
      <c r="D42" s="2" t="s">
        <v>180</v>
      </c>
      <c r="E42" s="2" t="s">
        <v>21</v>
      </c>
      <c r="F42" s="2" t="s">
        <v>15</v>
      </c>
      <c r="G42" s="2" t="s">
        <v>181</v>
      </c>
      <c r="H42" s="2" t="s">
        <v>182</v>
      </c>
      <c r="I42" s="2" t="str">
        <f>IFERROR(__xludf.DUMMYFUNCTION("GOOGLETRANSLATE(C42,""fr"",""en"")"),"Hello I have medical care as dental care orthodontic apparatus for my children glasses or on you need a quote for each act all that at a cost for the family C is a mutual company always attentive either by phone and email response and Return of quotes for"&amp;" a clarity and speed to do the care I recommend this mutual insurance company for having had several this one have found it in taking in CGARGE reimbursement recommends this mutual for a healthier life")</f>
        <v>Hello I have medical care as dental care orthodontic apparatus for my children glasses or on you need a quote for each act all that at a cost for the family C is a mutual company always attentive either by phone and email response and Return of quotes for a clarity and speed to do the care I recommend this mutual insurance company for having had several this one have found it in taking in CGARGE reimbursement recommends this mutual for a healthier life</v>
      </c>
    </row>
    <row r="43" ht="15.75" customHeight="1">
      <c r="A43" s="2">
        <v>1.0</v>
      </c>
      <c r="B43" s="2" t="s">
        <v>183</v>
      </c>
      <c r="C43" s="2" t="s">
        <v>184</v>
      </c>
      <c r="D43" s="2" t="s">
        <v>37</v>
      </c>
      <c r="E43" s="2" t="s">
        <v>27</v>
      </c>
      <c r="F43" s="2" t="s">
        <v>15</v>
      </c>
      <c r="G43" s="2" t="s">
        <v>72</v>
      </c>
      <c r="H43" s="2" t="s">
        <v>23</v>
      </c>
      <c r="I43" s="2" t="str">
        <f>IFERROR(__xludf.DUMMYFUNCTION("GOOGLETRANSLATE(C43,""fr"",""en"")"),"So far I have been very very happy with your services, I have advised you for a lot of people around me but I am very disappointed with the management of the disaster and my file. I have the feeling of being stolen and having been manipulated. Our 4 vehic"&amp;"les will have changed as a company if it is confirmed and I would advise you very strongly!")</f>
        <v>So far I have been very very happy with your services, I have advised you for a lot of people around me but I am very disappointed with the management of the disaster and my file. I have the feeling of being stolen and having been manipulated. Our 4 vehicles will have changed as a company if it is confirmed and I would advise you very strongly!</v>
      </c>
    </row>
    <row r="44" ht="15.75" customHeight="1">
      <c r="A44" s="2">
        <v>3.0</v>
      </c>
      <c r="B44" s="2" t="s">
        <v>185</v>
      </c>
      <c r="C44" s="2" t="s">
        <v>186</v>
      </c>
      <c r="D44" s="2" t="s">
        <v>32</v>
      </c>
      <c r="E44" s="2" t="s">
        <v>21</v>
      </c>
      <c r="F44" s="2" t="s">
        <v>15</v>
      </c>
      <c r="G44" s="2" t="s">
        <v>187</v>
      </c>
      <c r="H44" s="2" t="s">
        <v>188</v>
      </c>
      <c r="I44" s="2" t="str">
        <f>IFERROR(__xludf.DUMMYFUNCTION("GOOGLETRANSLATE(C44,""fr"",""en"")"),"Call made today to obtain clarifications concerning my contract and a particular situation. My correspondent brought me all the elements in a clear, fast and effective way. The identification process is very advanced: it is very reassuring")</f>
        <v>Call made today to obtain clarifications concerning my contract and a particular situation. My correspondent brought me all the elements in a clear, fast and effective way. The identification process is very advanced: it is very reassuring</v>
      </c>
    </row>
    <row r="45" ht="15.75" customHeight="1">
      <c r="A45" s="2">
        <v>5.0</v>
      </c>
      <c r="B45" s="2" t="s">
        <v>189</v>
      </c>
      <c r="C45" s="2" t="s">
        <v>190</v>
      </c>
      <c r="D45" s="2" t="s">
        <v>26</v>
      </c>
      <c r="E45" s="2" t="s">
        <v>27</v>
      </c>
      <c r="F45" s="2" t="s">
        <v>15</v>
      </c>
      <c r="G45" s="2" t="s">
        <v>191</v>
      </c>
      <c r="H45" s="2" t="s">
        <v>23</v>
      </c>
      <c r="I45" s="2" t="str">
        <f>IFERROR(__xludf.DUMMYFUNCTION("GOOGLETRANSLATE(C45,""fr"",""en"")"),"Extremely pleasant and professional advisers based in France's lowest prices in the market a speed and simple processing of any file or change either on the personal space or on the phone at the top")</f>
        <v>Extremely pleasant and professional advisers based in France's lowest prices in the market a speed and simple processing of any file or change either on the personal space or on the phone at the top</v>
      </c>
    </row>
    <row r="46" ht="15.75" customHeight="1">
      <c r="A46" s="2">
        <v>5.0</v>
      </c>
      <c r="B46" s="2" t="s">
        <v>192</v>
      </c>
      <c r="C46" s="2" t="s">
        <v>193</v>
      </c>
      <c r="D46" s="2" t="s">
        <v>194</v>
      </c>
      <c r="E46" s="2" t="s">
        <v>14</v>
      </c>
      <c r="F46" s="2" t="s">
        <v>15</v>
      </c>
      <c r="G46" s="2" t="s">
        <v>195</v>
      </c>
      <c r="H46" s="2" t="s">
        <v>29</v>
      </c>
      <c r="I46" s="2" t="str">
        <f>IFERROR(__xludf.DUMMYFUNCTION("GOOGLETRANSLATE(C46,""fr"",""en"")"),"Present and professional interlocutor who accompanied me in all the steps, everything is done by internet and no useless paperwork. The price ? twice cheaper as the insurance offered by my bank.
Thanks to Benjamin Impeccable Service.")</f>
        <v>Present and professional interlocutor who accompanied me in all the steps, everything is done by internet and no useless paperwork. The price ? twice cheaper as the insurance offered by my bank.
Thanks to Benjamin Impeccable Service.</v>
      </c>
    </row>
    <row r="47" ht="15.75" customHeight="1">
      <c r="A47" s="2">
        <v>3.0</v>
      </c>
      <c r="B47" s="2" t="s">
        <v>196</v>
      </c>
      <c r="C47" s="2" t="s">
        <v>197</v>
      </c>
      <c r="D47" s="2" t="s">
        <v>26</v>
      </c>
      <c r="E47" s="2" t="s">
        <v>27</v>
      </c>
      <c r="F47" s="2" t="s">
        <v>15</v>
      </c>
      <c r="G47" s="2" t="s">
        <v>198</v>
      </c>
      <c r="H47" s="2" t="s">
        <v>134</v>
      </c>
      <c r="I47" s="2" t="str">
        <f>IFERROR(__xludf.DUMMYFUNCTION("GOOGLETRANSLATE(C47,""fr"",""en"")"),"Hello, Service not too bad. Easy to access and well explained. Website accessible even on smartphone, for my part I recommend without any problem.")</f>
        <v>Hello, Service not too bad. Easy to access and well explained. Website accessible even on smartphone, for my part I recommend without any problem.</v>
      </c>
    </row>
    <row r="48" ht="15.75" customHeight="1">
      <c r="A48" s="2">
        <v>2.0</v>
      </c>
      <c r="B48" s="2" t="s">
        <v>199</v>
      </c>
      <c r="C48" s="2" t="s">
        <v>200</v>
      </c>
      <c r="D48" s="2" t="s">
        <v>201</v>
      </c>
      <c r="E48" s="2" t="s">
        <v>68</v>
      </c>
      <c r="F48" s="2" t="s">
        <v>15</v>
      </c>
      <c r="G48" s="2" t="s">
        <v>202</v>
      </c>
      <c r="H48" s="2" t="s">
        <v>54</v>
      </c>
      <c r="I48" s="2" t="str">
        <f>IFERROR(__xludf.DUMMYFUNCTION("GOOGLETRANSLATE(C48,""fr"",""en"")"),"An inconsistent offer with the prices indicated on the fertures.com. Almost 110 EUR difference between the 1st offer received and the 2nd after discussion with the commercial. And she spoke to me of a commercial gesture: yes she passed the file fees from "&amp;"24 EUR to 60 EUR. A commercial gesture ... for them")</f>
        <v>An inconsistent offer with the prices indicated on the fertures.com. Almost 110 EUR difference between the 1st offer received and the 2nd after discussion with the commercial. And she spoke to me of a commercial gesture: yes she passed the file fees from 24 EUR to 60 EUR. A commercial gesture ... for them</v>
      </c>
    </row>
    <row r="49" ht="15.75" customHeight="1">
      <c r="A49" s="2">
        <v>4.0</v>
      </c>
      <c r="B49" s="2" t="s">
        <v>203</v>
      </c>
      <c r="C49" s="2" t="s">
        <v>204</v>
      </c>
      <c r="D49" s="2" t="s">
        <v>107</v>
      </c>
      <c r="E49" s="2" t="s">
        <v>21</v>
      </c>
      <c r="F49" s="2" t="s">
        <v>15</v>
      </c>
      <c r="G49" s="2" t="s">
        <v>205</v>
      </c>
      <c r="H49" s="2" t="s">
        <v>206</v>
      </c>
      <c r="I49" s="2" t="str">
        <f>IFERROR(__xludf.DUMMYFUNCTION("GOOGLETRANSLATE(C49,""fr"",""en"")"),"Thank you to Sarah for her kindness and professionalism.")</f>
        <v>Thank you to Sarah for her kindness and professionalism.</v>
      </c>
    </row>
    <row r="50" ht="15.75" customHeight="1">
      <c r="A50" s="2">
        <v>1.0</v>
      </c>
      <c r="B50" s="2" t="s">
        <v>207</v>
      </c>
      <c r="C50" s="2" t="s">
        <v>208</v>
      </c>
      <c r="D50" s="2" t="s">
        <v>209</v>
      </c>
      <c r="E50" s="2" t="s">
        <v>21</v>
      </c>
      <c r="F50" s="2" t="s">
        <v>15</v>
      </c>
      <c r="G50" s="2" t="s">
        <v>210</v>
      </c>
      <c r="H50" s="2" t="s">
        <v>134</v>
      </c>
      <c r="I50" s="2" t="str">
        <f>IFERROR(__xludf.DUMMYFUNCTION("GOOGLETRANSLATE(C50,""fr"",""en"")"),"Mutual more and more disappointing with incompetent ""advisers""! Errors in reimbursements, not a single advisor gives you the same answer! Everything is a pretext not to reimburse despite the full formula! Example of incompetence: request for recovery of"&amp;" the QR COVID vaccination code. The MGEN replies that it is not able to make it recover it and do not know how we must proceed! The height is that this morning, my pharmacist told me that it was enough to ask for it in pharmacies ... With our insured numb"&amp;"er, she could take it out in a few minutes! The MGEN was not screwed to provide us with this information! Reflection of doctors and pharmacists: ""Ah !!! MGEN !!!"" That says everything!")</f>
        <v>Mutual more and more disappointing with incompetent "advisers"! Errors in reimbursements, not a single advisor gives you the same answer! Everything is a pretext not to reimburse despite the full formula! Example of incompetence: request for recovery of the QR COVID vaccination code. The MGEN replies that it is not able to make it recover it and do not know how we must proceed! The height is that this morning, my pharmacist told me that it was enough to ask for it in pharmacies ... With our insured number, she could take it out in a few minutes! The MGEN was not screwed to provide us with this information! Reflection of doctors and pharmacists: "Ah !!! MGEN !!!" That says everything!</v>
      </c>
    </row>
    <row r="51" ht="15.75" customHeight="1">
      <c r="A51" s="2">
        <v>1.0</v>
      </c>
      <c r="B51" s="2" t="s">
        <v>211</v>
      </c>
      <c r="C51" s="2" t="s">
        <v>212</v>
      </c>
      <c r="D51" s="2" t="s">
        <v>57</v>
      </c>
      <c r="E51" s="2" t="s">
        <v>27</v>
      </c>
      <c r="F51" s="2" t="s">
        <v>15</v>
      </c>
      <c r="G51" s="2" t="s">
        <v>213</v>
      </c>
      <c r="H51" s="2" t="s">
        <v>214</v>
      </c>
      <c r="I51" s="2" t="str">
        <f>IFERROR(__xludf.DUMMYFUNCTION("GOOGLETRANSLATE(C51,""fr"",""en"")"),"Since April 2019, I have been fighting with them for a poorly recorded CRM coefficient despite the communication of my information statement. These unable to modify it computer (2 years after subscription) made me terminate and re subscribe a new contract"&amp;". The nugget? I am again re -engaged for a year !!! So I cannot assert the Hamon law despite whether I have been at Pacifica for 3 years. Not to mention the incalculable numbers of interlocutors that you have, where you must re -explain the whole story ea"&amp;"ch time ... I plan to take contact with the mediator in order to hope to be able to start from this insurance as soon as possible. In short to flee, but really turn around !!!!!")</f>
        <v>Since April 2019, I have been fighting with them for a poorly recorded CRM coefficient despite the communication of my information statement. These unable to modify it computer (2 years after subscription) made me terminate and re subscribe a new contract. The nugget? I am again re -engaged for a year !!! So I cannot assert the Hamon law despite whether I have been at Pacifica for 3 years. Not to mention the incalculable numbers of interlocutors that you have, where you must re -explain the whole story each time ... I plan to take contact with the mediator in order to hope to be able to start from this insurance as soon as possible. In short to flee, but really turn around !!!!!</v>
      </c>
    </row>
    <row r="52" ht="15.75" customHeight="1">
      <c r="A52" s="2">
        <v>2.0</v>
      </c>
      <c r="B52" s="2" t="s">
        <v>215</v>
      </c>
      <c r="C52" s="2" t="s">
        <v>216</v>
      </c>
      <c r="D52" s="2" t="s">
        <v>217</v>
      </c>
      <c r="E52" s="2" t="s">
        <v>27</v>
      </c>
      <c r="F52" s="2" t="s">
        <v>15</v>
      </c>
      <c r="G52" s="2" t="s">
        <v>218</v>
      </c>
      <c r="H52" s="2" t="s">
        <v>219</v>
      </c>
      <c r="I52" s="2" t="str">
        <f>IFERROR(__xludf.DUMMYFUNCTION("GOOGLETRANSLATE(C52,""fr"",""en"")"),"We are forced to pay family pension plan accident when we have never signed. I call to pay because the contribution of auto insurance but not this family pension plan insurance accident and I am told that it is impossible. One person in the Macif would ha"&amp;"ve validated both insurance and they can do nothing. It seems to be a forced sale.
Law: Forced sale: prohibited by law: article L122-3
It is prohibited to require the immediate or delayed payment of goods or services provided by a professional or, wit"&amp;"h regard to goods, to demand their referral or their conservation, without these having been the subject of a Prior order of the consumer
I made a complaint and no answer. I should have had it on July 22, 2019.
PS 1: I was asked to make a letter to "&amp;"terminate the unsigned insurance, a shame.
PS 2: Other problems have been reported on the complaint")</f>
        <v>We are forced to pay family pension plan accident when we have never signed. I call to pay because the contribution of auto insurance but not this family pension plan insurance accident and I am told that it is impossible. One person in the Macif would have validated both insurance and they can do nothing. It seems to be a forced sale.
Law: Forced sale: prohibited by law: article L122-3
It is prohibited to require the immediate or delayed payment of goods or services provided by a professional or, with regard to goods, to demand their referral or their conservation, without these having been the subject of a Prior order of the consumer
I made a complaint and no answer. I should have had it on July 22, 2019.
PS 1: I was asked to make a letter to terminate the unsigned insurance, a shame.
PS 2: Other problems have been reported on the complaint</v>
      </c>
    </row>
    <row r="53" ht="15.75" customHeight="1">
      <c r="A53" s="2">
        <v>2.0</v>
      </c>
      <c r="B53" s="2" t="s">
        <v>220</v>
      </c>
      <c r="C53" s="2" t="s">
        <v>221</v>
      </c>
      <c r="D53" s="2" t="s">
        <v>42</v>
      </c>
      <c r="E53" s="2" t="s">
        <v>27</v>
      </c>
      <c r="F53" s="2" t="s">
        <v>15</v>
      </c>
      <c r="G53" s="2" t="s">
        <v>222</v>
      </c>
      <c r="H53" s="2" t="s">
        <v>222</v>
      </c>
      <c r="I53" s="2" t="str">
        <f>IFERROR(__xludf.DUMMYFUNCTION("GOOGLETRANSLATE(C53,""fr"",""en"")"),"Hello to all,
I was provided at all risks premium with the MAIF.
Invoking an alleged false declaration without real arguments and without expert report, the MAIF refused to indemnise me.
This story has been lasting for 2 years without responding to any"&amp;" of the letters transmitted by my lawyer.
I will not let myself be done, a media publication is scheduled soon with files of people who have waged the fight against MAIF and who have had their case and others in the same situation as me.
Everyone who wa"&amp;"nts to join us are welcome.
")</f>
        <v>Hello to all,
I was provided at all risks premium with the MAIF.
Invoking an alleged false declaration without real arguments and without expert report, the MAIF refused to indemnise me.
This story has been lasting for 2 years without responding to any of the letters transmitted by my lawyer.
I will not let myself be done, a media publication is scheduled soon with files of people who have waged the fight against MAIF and who have had their case and others in the same situation as me.
Everyone who wants to join us are welcome.
</v>
      </c>
    </row>
    <row r="54" ht="15.75" customHeight="1">
      <c r="A54" s="2">
        <v>4.0</v>
      </c>
      <c r="B54" s="2" t="s">
        <v>223</v>
      </c>
      <c r="C54" s="2" t="s">
        <v>224</v>
      </c>
      <c r="D54" s="2" t="s">
        <v>37</v>
      </c>
      <c r="E54" s="2" t="s">
        <v>27</v>
      </c>
      <c r="F54" s="2" t="s">
        <v>15</v>
      </c>
      <c r="G54" s="2" t="s">
        <v>111</v>
      </c>
      <c r="H54" s="2" t="s">
        <v>112</v>
      </c>
      <c r="I54" s="2" t="str">
        <f>IFERROR(__xludf.DUMMYFUNCTION("GOOGLETRANSLATE(C54,""fr"",""en"")"),"I am satisfied with the service and the price for subscription, however, I have already been insured at Direct Insurance and my premium increased after a year for no valid reason when my bonus improves and my vehicle Viellit which pushed to terminate
I"&amp;" now come out of a similar experience with another insurer (Olivier Insurance) which I was just as satisfied, however, I have never declared a claim or with Direct Insurance or Olivier Insurance
If this experience is reproduced here again, I will chang"&amp;"e insurer again next year and so on ...")</f>
        <v>I am satisfied with the service and the price for subscription, however, I have already been insured at Direct Insurance and my premium increased after a year for no valid reason when my bonus improves and my vehicle Viellit which pushed to terminate
I now come out of a similar experience with another insurer (Olivier Insurance) which I was just as satisfied, however, I have never declared a claim or with Direct Insurance or Olivier Insurance
If this experience is reproduced here again, I will change insurer again next year and so on ...</v>
      </c>
    </row>
    <row r="55" ht="15.75" customHeight="1">
      <c r="A55" s="2">
        <v>3.0</v>
      </c>
      <c r="B55" s="2" t="s">
        <v>225</v>
      </c>
      <c r="C55" s="2" t="s">
        <v>226</v>
      </c>
      <c r="D55" s="2" t="s">
        <v>26</v>
      </c>
      <c r="E55" s="2" t="s">
        <v>27</v>
      </c>
      <c r="F55" s="2" t="s">
        <v>15</v>
      </c>
      <c r="G55" s="2" t="s">
        <v>227</v>
      </c>
      <c r="H55" s="2" t="s">
        <v>228</v>
      </c>
      <c r="I55" s="2" t="str">
        <f>IFERROR(__xludf.DUMMYFUNCTION("GOOGLETRANSLATE(C55,""fr"",""en"")"),"I am satisfied with your site it is clear and readable and without frills.
The prices in force seems to me relatively honest unlike other quote")</f>
        <v>I am satisfied with your site it is clear and readable and without frills.
The prices in force seems to me relatively honest unlike other quote</v>
      </c>
    </row>
    <row r="56" ht="15.75" customHeight="1">
      <c r="A56" s="2">
        <v>2.0</v>
      </c>
      <c r="B56" s="2" t="s">
        <v>229</v>
      </c>
      <c r="C56" s="2" t="s">
        <v>230</v>
      </c>
      <c r="D56" s="2" t="s">
        <v>37</v>
      </c>
      <c r="E56" s="2" t="s">
        <v>27</v>
      </c>
      <c r="F56" s="2" t="s">
        <v>15</v>
      </c>
      <c r="G56" s="2" t="s">
        <v>231</v>
      </c>
      <c r="H56" s="2" t="s">
        <v>112</v>
      </c>
      <c r="I56" s="2" t="str">
        <f>IFERROR(__xludf.DUMMYFUNCTION("GOOGLETRANSLATE(C56,""fr"",""en"")"),"Do not reward loyalty quite the contrary. It is necessary to renegotiate each year, it is exhausting. The call prices are correct.
For claims, I don't know, it's been a long time since I had one.")</f>
        <v>Do not reward loyalty quite the contrary. It is necessary to renegotiate each year, it is exhausting. The call prices are correct.
For claims, I don't know, it's been a long time since I had one.</v>
      </c>
    </row>
    <row r="57" ht="15.75" customHeight="1">
      <c r="A57" s="2">
        <v>1.0</v>
      </c>
      <c r="B57" s="2" t="s">
        <v>232</v>
      </c>
      <c r="C57" s="2" t="s">
        <v>233</v>
      </c>
      <c r="D57" s="2" t="s">
        <v>234</v>
      </c>
      <c r="E57" s="2" t="s">
        <v>21</v>
      </c>
      <c r="F57" s="2" t="s">
        <v>15</v>
      </c>
      <c r="G57" s="2" t="s">
        <v>235</v>
      </c>
      <c r="H57" s="2" t="s">
        <v>236</v>
      </c>
      <c r="I57" s="2" t="str">
        <f>IFERROR(__xludf.DUMMYFUNCTION("GOOGLETRANSLATE(C57,""fr"",""en"")"),"I do not recommend this mutual! Following a registration on a mutual health comparator, I was contacted by an advisor to this mutual which then passed the phone to one of his colleagues. To two they limited me stressed, harassed and almost obliged to subs"&amp;"cribe to this mutual.
A few days later, I terminated my contract by registered letter with acknowledgment of receipt within 14 days in accordance with the legislation in force on remote line sales.
I received by email two notifications: the first meanin"&amp;"g me that my request was taken into account and that it will be processed, the second meaning me that my contract has been terminated. Big surprise! Neoliane tightened me money on my account on 04/16/2018 Why? I don't know. Flee this mutual insurance comp"&amp;"any I do not recommend it! I demand the refund of my money!")</f>
        <v>I do not recommend this mutual! Following a registration on a mutual health comparator, I was contacted by an advisor to this mutual which then passed the phone to one of his colleagues. To two they limited me stressed, harassed and almost obliged to subscribe to this mutual.
A few days later, I terminated my contract by registered letter with acknowledgment of receipt within 14 days in accordance with the legislation in force on remote line sales.
I received by email two notifications: the first meaning me that my request was taken into account and that it will be processed, the second meaning me that my contract has been terminated. Big surprise! Neoliane tightened me money on my account on 04/16/2018 Why? I don't know. Flee this mutual insurance company I do not recommend it! I demand the refund of my money!</v>
      </c>
    </row>
    <row r="58" ht="15.75" customHeight="1">
      <c r="A58" s="2">
        <v>5.0</v>
      </c>
      <c r="B58" s="2" t="s">
        <v>237</v>
      </c>
      <c r="C58" s="2" t="s">
        <v>238</v>
      </c>
      <c r="D58" s="2" t="s">
        <v>67</v>
      </c>
      <c r="E58" s="2" t="s">
        <v>68</v>
      </c>
      <c r="F58" s="2" t="s">
        <v>15</v>
      </c>
      <c r="G58" s="2" t="s">
        <v>239</v>
      </c>
      <c r="H58" s="2" t="s">
        <v>112</v>
      </c>
      <c r="I58" s="2" t="str">
        <f>IFERROR(__xludf.DUMMYFUNCTION("GOOGLETRANSLATE(C58,""fr"",""en"")"),"I am satisfied thank you for sending me the proof for the gray card
Thanks to the ferret, I found the.")</f>
        <v>I am satisfied thank you for sending me the proof for the gray card
Thanks to the ferret, I found the.</v>
      </c>
    </row>
    <row r="59" ht="15.75" customHeight="1">
      <c r="A59" s="2">
        <v>1.0</v>
      </c>
      <c r="B59" s="2" t="s">
        <v>240</v>
      </c>
      <c r="C59" s="2" t="s">
        <v>241</v>
      </c>
      <c r="D59" s="2" t="s">
        <v>20</v>
      </c>
      <c r="E59" s="2" t="s">
        <v>21</v>
      </c>
      <c r="F59" s="2" t="s">
        <v>15</v>
      </c>
      <c r="G59" s="2" t="s">
        <v>242</v>
      </c>
      <c r="H59" s="2" t="s">
        <v>228</v>
      </c>
      <c r="I59" s="2" t="str">
        <f>IFERROR(__xludf.DUMMYFUNCTION("GOOGLETRANSLATE(C59,""fr"",""en"")"),"No sense of customer service no listening
Very long waiting time to reach an advisor when they answer!
No empathy
Incorrect and disrespectful malicious staff")</f>
        <v>No sense of customer service no listening
Very long waiting time to reach an advisor when they answer!
No empathy
Incorrect and disrespectful malicious staff</v>
      </c>
    </row>
    <row r="60" ht="15.75" customHeight="1">
      <c r="A60" s="2">
        <v>1.0</v>
      </c>
      <c r="B60" s="2" t="s">
        <v>243</v>
      </c>
      <c r="C60" s="2" t="s">
        <v>244</v>
      </c>
      <c r="D60" s="2" t="s">
        <v>245</v>
      </c>
      <c r="E60" s="2" t="s">
        <v>120</v>
      </c>
      <c r="F60" s="2" t="s">
        <v>15</v>
      </c>
      <c r="G60" s="2" t="s">
        <v>16</v>
      </c>
      <c r="H60" s="2" t="s">
        <v>17</v>
      </c>
      <c r="I60" s="2" t="str">
        <f>IFERROR(__xludf.DUMMYFUNCTION("GOOGLETRANSLATE(C60,""fr"",""en"")"),"So amazing
At 3 and a half months of expectation refusal of complement of maternity compensation according to them treated on June 20 but a letter mentioning the reason will be sent as soon as possible but there it is the ultimate
Supposedly no obligati"&amp;"on to be on contract for this supplement
I have never asked the AG2R on my pay sheets I only asked to benefit what
My next contracts will take place otherwise
And I always remain waiting for the reason for refusal")</f>
        <v>So amazing
At 3 and a half months of expectation refusal of complement of maternity compensation according to them treated on June 20 but a letter mentioning the reason will be sent as soon as possible but there it is the ultimate
Supposedly no obligation to be on contract for this supplement
I have never asked the AG2R on my pay sheets I only asked to benefit what
My next contracts will take place otherwise
And I always remain waiting for the reason for refusal</v>
      </c>
    </row>
    <row r="61" ht="15.75" customHeight="1">
      <c r="A61" s="2">
        <v>5.0</v>
      </c>
      <c r="B61" s="2" t="s">
        <v>246</v>
      </c>
      <c r="C61" s="2" t="s">
        <v>247</v>
      </c>
      <c r="D61" s="2" t="s">
        <v>26</v>
      </c>
      <c r="E61" s="2" t="s">
        <v>27</v>
      </c>
      <c r="F61" s="2" t="s">
        <v>15</v>
      </c>
      <c r="G61" s="2" t="s">
        <v>248</v>
      </c>
      <c r="H61" s="2" t="s">
        <v>92</v>
      </c>
      <c r="I61" s="2" t="str">
        <f>IFERROR(__xludf.DUMMYFUNCTION("GOOGLETRANSLATE(C61,""fr"",""en"")"),"The prices are really very reasonable. There is a receptive and fast customer service I highly recommend")</f>
        <v>The prices are really very reasonable. There is a receptive and fast customer service I highly recommend</v>
      </c>
    </row>
    <row r="62" ht="15.75" customHeight="1">
      <c r="A62" s="2">
        <v>5.0</v>
      </c>
      <c r="B62" s="2" t="s">
        <v>249</v>
      </c>
      <c r="C62" s="2" t="s">
        <v>250</v>
      </c>
      <c r="D62" s="2" t="s">
        <v>67</v>
      </c>
      <c r="E62" s="2" t="s">
        <v>68</v>
      </c>
      <c r="F62" s="2" t="s">
        <v>15</v>
      </c>
      <c r="G62" s="2" t="s">
        <v>251</v>
      </c>
      <c r="H62" s="2" t="s">
        <v>23</v>
      </c>
      <c r="I62" s="2" t="str">
        <f>IFERROR(__xludf.DUMMYFUNCTION("GOOGLETRANSLATE(C62,""fr"",""en"")"),"I am satisfied with the service, a team attentive. Insurance corresponding to low and suitable prices. For a very satisfactory first motorcycle insurance.")</f>
        <v>I am satisfied with the service, a team attentive. Insurance corresponding to low and suitable prices. For a very satisfactory first motorcycle insurance.</v>
      </c>
    </row>
    <row r="63" ht="15.75" customHeight="1">
      <c r="A63" s="2">
        <v>1.0</v>
      </c>
      <c r="B63" s="2" t="s">
        <v>252</v>
      </c>
      <c r="C63" s="2" t="s">
        <v>253</v>
      </c>
      <c r="D63" s="2" t="s">
        <v>254</v>
      </c>
      <c r="E63" s="2" t="s">
        <v>168</v>
      </c>
      <c r="F63" s="2" t="s">
        <v>15</v>
      </c>
      <c r="G63" s="2" t="s">
        <v>111</v>
      </c>
      <c r="H63" s="2" t="s">
        <v>112</v>
      </c>
      <c r="I63" s="2" t="str">
        <f>IFERROR(__xludf.DUMMYFUNCTION("GOOGLETRANSLATE(C63,""fr"",""en"")"),"Morning.
I am not only of the quality of customer relations. The wait is very long, despite a surcharged number. The minutes do not parade, voicemail repeats you several times that there are only 12 minutes left. We promise to give you the right addres"&amp;"s by email and it is not done.
Besides, I am not happy with reimbursements.
It started with vaccines where I learn that I only have an envelope of 25th each year.
My puppy recently had an otitis and I have just received an email informing that there is"&amp;" a deficiency period of 3 months, and that therefore the costs will not be borne.
All this I discover it because the registration was forbid for phone.
I only received the written contract later.
I wait for the time necessary to change insurance next y"&amp;"ear. And I will no longer accept online subscriptions because we are not read the exceptions.
")</f>
        <v>Morning.
I am not only of the quality of customer relations. The wait is very long, despite a surcharged number. The minutes do not parade, voicemail repeats you several times that there are only 12 minutes left. We promise to give you the right address by email and it is not done.
Besides, I am not happy with reimbursements.
It started with vaccines where I learn that I only have an envelope of 25th each year.
My puppy recently had an otitis and I have just received an email informing that there is a deficiency period of 3 months, and that therefore the costs will not be borne.
All this I discover it because the registration was forbid for phone.
I only received the written contract later.
I wait for the time necessary to change insurance next year. And I will no longer accept online subscriptions because we are not read the exceptions.
</v>
      </c>
    </row>
    <row r="64" ht="15.75" customHeight="1">
      <c r="A64" s="2">
        <v>1.0</v>
      </c>
      <c r="B64" s="2" t="s">
        <v>255</v>
      </c>
      <c r="C64" s="2" t="s">
        <v>256</v>
      </c>
      <c r="D64" s="2" t="s">
        <v>167</v>
      </c>
      <c r="E64" s="2" t="s">
        <v>168</v>
      </c>
      <c r="F64" s="2" t="s">
        <v>15</v>
      </c>
      <c r="G64" s="2" t="s">
        <v>257</v>
      </c>
      <c r="H64" s="2" t="s">
        <v>258</v>
      </c>
      <c r="I64" s="2" t="str">
        <f>IFERROR(__xludf.DUMMYFUNCTION("GOOGLETRANSLATE(C64,""fr"",""en"")"),"In 4 years of subscription to them, I had no problem for my cat. Arrives from a newcomer home and big cat caught the coryza ... well the most to help us because the date of the vaccine is exceeding so we redo the vaccines and all and no refund. I am frank"&amp;"ly disappointed and I ensured my new cat elsewhere!")</f>
        <v>In 4 years of subscription to them, I had no problem for my cat. Arrives from a newcomer home and big cat caught the coryza ... well the most to help us because the date of the vaccine is exceeding so we redo the vaccines and all and no refund. I am frankly disappointed and I ensured my new cat elsewhere!</v>
      </c>
    </row>
    <row r="65" ht="15.75" customHeight="1">
      <c r="A65" s="2">
        <v>4.0</v>
      </c>
      <c r="B65" s="2" t="s">
        <v>259</v>
      </c>
      <c r="C65" s="2" t="s">
        <v>260</v>
      </c>
      <c r="D65" s="2" t="s">
        <v>180</v>
      </c>
      <c r="E65" s="2" t="s">
        <v>21</v>
      </c>
      <c r="F65" s="2" t="s">
        <v>15</v>
      </c>
      <c r="G65" s="2" t="s">
        <v>261</v>
      </c>
      <c r="H65" s="2" t="s">
        <v>23</v>
      </c>
      <c r="I65" s="2" t="str">
        <f>IFERROR(__xludf.DUMMYFUNCTION("GOOGLETRANSLATE(C65,""fr"",""en"")"),"Top at the level of the advisor, the person was able to answer my questions but unfortunately I did not have an answer to the amount to make my glasses")</f>
        <v>Top at the level of the advisor, the person was able to answer my questions but unfortunately I did not have an answer to the amount to make my glasses</v>
      </c>
    </row>
    <row r="66" ht="15.75" customHeight="1">
      <c r="A66" s="2">
        <v>1.0</v>
      </c>
      <c r="B66" s="2" t="s">
        <v>262</v>
      </c>
      <c r="C66" s="2" t="s">
        <v>263</v>
      </c>
      <c r="D66" s="2" t="s">
        <v>264</v>
      </c>
      <c r="E66" s="2" t="s">
        <v>27</v>
      </c>
      <c r="F66" s="2" t="s">
        <v>15</v>
      </c>
      <c r="G66" s="2" t="s">
        <v>265</v>
      </c>
      <c r="H66" s="2" t="s">
        <v>188</v>
      </c>
      <c r="I66" s="2" t="str">
        <f>IFERROR(__xludf.DUMMYFUNCTION("GOOGLETRANSLATE(C66,""fr"",""en"")"),"hello
Medames and Mr don't say that you are not warned, do not take care of it if you do not want to catch the diabete.
Customer service who is in Robo mode of the who has a problem or reclamation they repeat the same sentence ten times.
They do not re"&amp;"imburse anything, you just pay a vignity on the Parbrise
they take care without warning
etc., etc...
Save yourself")</f>
        <v>hello
Medames and Mr don't say that you are not warned, do not take care of it if you do not want to catch the diabete.
Customer service who is in Robo mode of the who has a problem or reclamation they repeat the same sentence ten times.
They do not reimburse anything, you just pay a vignity on the Parbrise
they take care without warning
etc., etc...
Save yourself</v>
      </c>
    </row>
    <row r="67" ht="15.75" customHeight="1">
      <c r="A67" s="2">
        <v>3.0</v>
      </c>
      <c r="B67" s="2" t="s">
        <v>266</v>
      </c>
      <c r="C67" s="2" t="s">
        <v>267</v>
      </c>
      <c r="D67" s="2" t="s">
        <v>37</v>
      </c>
      <c r="E67" s="2" t="s">
        <v>27</v>
      </c>
      <c r="F67" s="2" t="s">
        <v>15</v>
      </c>
      <c r="G67" s="2" t="s">
        <v>231</v>
      </c>
      <c r="H67" s="2" t="s">
        <v>112</v>
      </c>
      <c r="I67" s="2" t="str">
        <f>IFERROR(__xludf.DUMMYFUNCTION("GOOGLETRANSLATE(C67,""fr"",""en"")"),"I cannot be bewitched by the Parrinage offer because my friend who advised me used direct. There is no option to put his name or details of his contract at the end")</f>
        <v>I cannot be bewitched by the Parrinage offer because my friend who advised me used direct. There is no option to put his name or details of his contract at the end</v>
      </c>
    </row>
    <row r="68" ht="15.75" customHeight="1">
      <c r="A68" s="2">
        <v>3.0</v>
      </c>
      <c r="B68" s="2" t="s">
        <v>268</v>
      </c>
      <c r="C68" s="2" t="s">
        <v>269</v>
      </c>
      <c r="D68" s="2" t="s">
        <v>209</v>
      </c>
      <c r="E68" s="2" t="s">
        <v>21</v>
      </c>
      <c r="F68" s="2" t="s">
        <v>15</v>
      </c>
      <c r="G68" s="2" t="s">
        <v>270</v>
      </c>
      <c r="H68" s="2" t="s">
        <v>62</v>
      </c>
      <c r="I68" s="2" t="str">
        <f>IFERROR(__xludf.DUMMYFUNCTION("GOOGLETRANSLATE(C68,""fr"",""en"")"),"MGEN member since 1970, I asked for my radiation in 2020.
I quote the mail that I sent to the president of the MGEN via my departmental section. No response on the merits, just telephone calls to offer me to reduce my (already insufficient) services to l"&amp;"ower the cost:
""Subject: termination of my membership in MGEN
Dear,
It was on 09/16/1970 that I joined to the M.G.E.N. You may not have been born at that time when certain values ​​were not only words but resulted in acts, because as Malraux sai"&amp;"d ""ideas are not made to be thought but to be lived ».
After this half-century passed in this institution and by noting the drift which has distant it, particularly during the last decade, of the values ​​which were hers, I regret to inform you of my "&amp;"decision to put an end to my membership.
I would just like to make you understand my decision to recall what was and should still be today the ambition of the MGEN: ""MGEN mutual protection is united, without option, without selection and guaranteed fo"&amp;"r life"" (words of Jean -Michel Laxalt, president of the MGEN, in a letter to the members dated October 2003)
What about today ? The MGEN, as the most capitalist of insurance companies declines its offer in several formulas to best meet the expectation"&amp;"s of its ""customers"", sorry for its members: those who are content with a formula guaranteeing the essentials, but not Inevitably the necessary, those who seek a reinforced formula and accept for that to pay a little more and those who seek the maximum "&amp;"guarantee and who pay the price with the same qualifier!
I am looking for what remains of solidarity and the mutualist ideal in this variation.
I will be answered that these are essential developments to ensure the sustainability of MGEN and the quali"&amp;"ty of services in this constantly changing world. In addition and it is unstoppable, that these developments result from the democratic life of our mutual.
It is undoubtedly that democracy and solidarity do not always go well together.
So I too change"&amp;" and I adapt to our new very little mutual and united world, even if these words are frequently used or rather overused.
When Jean-Michel Laxalt wrote to the members in October 2003, I was then director of school of group 4 and at the 11th echelon. My gr"&amp;"oss salary was € 2423.44. The MGEN applied to this salary the solidarity rate of 2.6% and my monthly subscription amounted to € 63.27.
No need for a quote to know how I wanted or could be insured and how much it would cost me.
At this stage, there is "&amp;"no point in recalling the slogan inscribed in large characters on the mail of Jean-Michel Laxalt, president of the MGEN in 2003:
""Everyone contributes according to their means
And receives according to his needs. »»
Today, in 2020, I am retired an"&amp;"d my gross pension amounts to € 2351.07.
My means have therefore not changed between 2003 and today.
But the MGEN contribution? 2.6% in 2003 and 4.7% in 2021, therefore € 63.27 of monthly subscription in 2003 and € 111.23 in 2021. (75.80% increase!)
Be"&amp;"tween 2020 and 2021, the contribution increase reached 6.03%!
So, yes I evolve and I also adopt the best strategy for the cheapest. Enough of the mutual that forgot the meaning of this word.
And even if it is more expensive elsewhere, at least we will"&amp;" not try to sell me an ideal which is only a memory. ""
")</f>
        <v>MGEN member since 1970, I asked for my radiation in 2020.
I quote the mail that I sent to the president of the MGEN via my departmental section. No response on the merits, just telephone calls to offer me to reduce my (already insufficient) services to lower the cost:
"Subject: termination of my membership in MGEN
Dear,
It was on 09/16/1970 that I joined to the M.G.E.N. You may not have been born at that time when certain values ​​were not only words but resulted in acts, because as Malraux said "ideas are not made to be thought but to be lived ».
After this half-century passed in this institution and by noting the drift which has distant it, particularly during the last decade, of the values ​​which were hers, I regret to inform you of my decision to put an end to my membership.
I would just like to make you understand my decision to recall what was and should still be today the ambition of the MGEN: "MGEN mutual protection is united, without option, without selection and guaranteed for life" (words of Jean -Michel Laxalt, president of the MGEN, in a letter to the members dated October 2003)
What about today ? The MGEN, as the most capitalist of insurance companies declines its offer in several formulas to best meet the expectations of its "customers", sorry for its members: those who are content with a formula guaranteeing the essentials, but not Inevitably the necessary, those who seek a reinforced formula and accept for that to pay a little more and those who seek the maximum guarantee and who pay the price with the same qualifier!
I am looking for what remains of solidarity and the mutualist ideal in this variation.
I will be answered that these are essential developments to ensure the sustainability of MGEN and the quality of services in this constantly changing world. In addition and it is unstoppable, that these developments result from the democratic life of our mutual.
It is undoubtedly that democracy and solidarity do not always go well together.
So I too change and I adapt to our new very little mutual and united world, even if these words are frequently used or rather overused.
When Jean-Michel Laxalt wrote to the members in October 2003, I was then director of school of group 4 and at the 11th echelon. My gross salary was € 2423.44. The MGEN applied to this salary the solidarity rate of 2.6% and my monthly subscription amounted to € 63.27.
No need for a quote to know how I wanted or could be insured and how much it would cost me.
At this stage, there is no point in recalling the slogan inscribed in large characters on the mail of Jean-Michel Laxalt, president of the MGEN in 2003:
"Everyone contributes according to their means
And receives according to his needs. »»
Today, in 2020, I am retired and my gross pension amounts to € 2351.07.
My means have therefore not changed between 2003 and today.
But the MGEN contribution? 2.6% in 2003 and 4.7% in 2021, therefore € 63.27 of monthly subscription in 2003 and € 111.23 in 2021. (75.80% increase!)
Between 2020 and 2021, the contribution increase reached 6.03%!
So, yes I evolve and I also adopt the best strategy for the cheapest. Enough of the mutual that forgot the meaning of this word.
And even if it is more expensive elsewhere, at least we will not try to sell me an ideal which is only a memory. "
</v>
      </c>
    </row>
    <row r="69" ht="15.75" customHeight="1">
      <c r="A69" s="2">
        <v>2.0</v>
      </c>
      <c r="B69" s="2" t="s">
        <v>271</v>
      </c>
      <c r="C69" s="2" t="s">
        <v>272</v>
      </c>
      <c r="D69" s="2" t="s">
        <v>160</v>
      </c>
      <c r="E69" s="2" t="s">
        <v>21</v>
      </c>
      <c r="F69" s="2" t="s">
        <v>15</v>
      </c>
      <c r="G69" s="2" t="s">
        <v>273</v>
      </c>
      <c r="H69" s="2" t="s">
        <v>274</v>
      </c>
      <c r="I69" s="2" t="str">
        <f>IFERROR(__xludf.DUMMYFUNCTION("GOOGLETRANSLATE(C69,""fr"",""en"")"),"We are waiting for several reimbursements for an amount of 3,200 euros. Dental costs.
Impossible to join you. Impossible to know why. We sent our papers several times because it was saying something was missing.
We are waiting for January then we will n"&amp;"otice for a change.")</f>
        <v>We are waiting for several reimbursements for an amount of 3,200 euros. Dental costs.
Impossible to join you. Impossible to know why. We sent our papers several times because it was saying something was missing.
We are waiting for January then we will notice for a change.</v>
      </c>
    </row>
    <row r="70" ht="15.75" customHeight="1">
      <c r="A70" s="2">
        <v>3.0</v>
      </c>
      <c r="B70" s="2" t="s">
        <v>275</v>
      </c>
      <c r="C70" s="2" t="s">
        <v>276</v>
      </c>
      <c r="D70" s="2" t="s">
        <v>26</v>
      </c>
      <c r="E70" s="2" t="s">
        <v>27</v>
      </c>
      <c r="F70" s="2" t="s">
        <v>15</v>
      </c>
      <c r="G70" s="2" t="s">
        <v>277</v>
      </c>
      <c r="H70" s="2" t="s">
        <v>29</v>
      </c>
      <c r="I70" s="2" t="str">
        <f>IFERROR(__xludf.DUMMYFUNCTION("GOOGLETRANSLATE(C70,""fr"",""en"")"),"Hello, it is sure that it is easy to go through the internet to sit down, however it is not obvious to transmit the documents.")</f>
        <v>Hello, it is sure that it is easy to go through the internet to sit down, however it is not obvious to transmit the documents.</v>
      </c>
    </row>
    <row r="71" ht="15.75" customHeight="1">
      <c r="A71" s="2">
        <v>5.0</v>
      </c>
      <c r="B71" s="2" t="s">
        <v>278</v>
      </c>
      <c r="C71" s="2" t="s">
        <v>279</v>
      </c>
      <c r="D71" s="2" t="s">
        <v>67</v>
      </c>
      <c r="E71" s="2" t="s">
        <v>68</v>
      </c>
      <c r="F71" s="2" t="s">
        <v>15</v>
      </c>
      <c r="G71" s="2" t="s">
        <v>280</v>
      </c>
      <c r="H71" s="2" t="s">
        <v>134</v>
      </c>
      <c r="I71" s="2" t="str">
        <f>IFERROR(__xludf.DUMMYFUNCTION("GOOGLETRANSLATE(C71,""fr"",""en"")"),"Really friendly advisor, who explains well and who accompanies well.
Very attentive to the customer.
Affordable price and awarded with an appreciable second contract.")</f>
        <v>Really friendly advisor, who explains well and who accompanies well.
Very attentive to the customer.
Affordable price and awarded with an appreciable second contract.</v>
      </c>
    </row>
    <row r="72" ht="15.75" customHeight="1">
      <c r="A72" s="2">
        <v>1.0</v>
      </c>
      <c r="B72" s="2" t="s">
        <v>281</v>
      </c>
      <c r="C72" s="2" t="s">
        <v>282</v>
      </c>
      <c r="D72" s="2" t="s">
        <v>283</v>
      </c>
      <c r="E72" s="2" t="s">
        <v>14</v>
      </c>
      <c r="F72" s="2" t="s">
        <v>15</v>
      </c>
      <c r="G72" s="2" t="s">
        <v>284</v>
      </c>
      <c r="H72" s="2" t="s">
        <v>285</v>
      </c>
      <c r="I72" s="2" t="str">
        <f>IFERROR(__xludf.DUMMYFUNCTION("GOOGLETRANSLATE(C72,""fr"",""en"")"),"Very high price. To flee !
Notorious incompetents coupled with a big dose in bad faith")</f>
        <v>Very high price. To flee !
Notorious incompetents coupled with a big dose in bad faith</v>
      </c>
    </row>
    <row r="73" ht="15.75" customHeight="1">
      <c r="A73" s="2">
        <v>1.0</v>
      </c>
      <c r="B73" s="2" t="s">
        <v>286</v>
      </c>
      <c r="C73" s="2" t="s">
        <v>287</v>
      </c>
      <c r="D73" s="2" t="s">
        <v>288</v>
      </c>
      <c r="E73" s="2" t="s">
        <v>289</v>
      </c>
      <c r="F73" s="2" t="s">
        <v>15</v>
      </c>
      <c r="G73" s="2" t="s">
        <v>290</v>
      </c>
      <c r="H73" s="2" t="s">
        <v>34</v>
      </c>
      <c r="I73" s="2" t="str">
        <f>IFERROR(__xludf.DUMMYFUNCTION("GOOGLETRANSLATE(C73,""fr"",""en"")"),"Hello,
I would like to point out that after the death of my father in April 2020, it was very complicated to recover the capital of life insurance from which I was beneficiary. The AFER succession service did not respond to requests. In addition, no inte"&amp;"rest was perceived on 2020 because the provisional remuneration in 2020 at AFER was suspended! Here is the answer I obtained! So 4 months of interest lost for us but surely not for them!
So you have to die at 12/31/2020 to have the interests of 2020! Oth"&amp;"erwise nothing! This is not serious!
")</f>
        <v>Hello,
I would like to point out that after the death of my father in April 2020, it was very complicated to recover the capital of life insurance from which I was beneficiary. The AFER succession service did not respond to requests. In addition, no interest was perceived on 2020 because the provisional remuneration in 2020 at AFER was suspended! Here is the answer I obtained! So 4 months of interest lost for us but surely not for them!
So you have to die at 12/31/2020 to have the interests of 2020! Otherwise nothing! This is not serious!
</v>
      </c>
    </row>
    <row r="74" ht="15.75" customHeight="1">
      <c r="A74" s="2">
        <v>4.0</v>
      </c>
      <c r="B74" s="2" t="s">
        <v>291</v>
      </c>
      <c r="C74" s="2" t="s">
        <v>292</v>
      </c>
      <c r="D74" s="2" t="s">
        <v>37</v>
      </c>
      <c r="E74" s="2" t="s">
        <v>27</v>
      </c>
      <c r="F74" s="2" t="s">
        <v>15</v>
      </c>
      <c r="G74" s="2" t="s">
        <v>293</v>
      </c>
      <c r="H74" s="2" t="s">
        <v>29</v>
      </c>
      <c r="I74" s="2" t="str">
        <f>IFERROR(__xludf.DUMMYFUNCTION("GOOGLETRANSLATE(C74,""fr"",""en"")"),"I am satisfied with the service and its site, simple and efficient. The prices are attractive and the site allows you to subscribe to a little te: MPS to an insurance contract")</f>
        <v>I am satisfied with the service and its site, simple and efficient. The prices are attractive and the site allows you to subscribe to a little te: MPS to an insurance contract</v>
      </c>
    </row>
    <row r="75" ht="15.75" customHeight="1">
      <c r="A75" s="2">
        <v>4.0</v>
      </c>
      <c r="B75" s="2" t="s">
        <v>294</v>
      </c>
      <c r="C75" s="2" t="s">
        <v>295</v>
      </c>
      <c r="D75" s="2" t="s">
        <v>37</v>
      </c>
      <c r="E75" s="2" t="s">
        <v>27</v>
      </c>
      <c r="F75" s="2" t="s">
        <v>15</v>
      </c>
      <c r="G75" s="2" t="s">
        <v>157</v>
      </c>
      <c r="H75" s="2" t="s">
        <v>134</v>
      </c>
      <c r="I75" s="2" t="str">
        <f>IFERROR(__xludf.DUMMYFUNCTION("GOOGLETRANSLATE(C75,""fr"",""en"")"),"Satisfied so far - to see in the event of a claim.
Competitive price but constantly increasing over the years. It is necessary to renegotiate to have a competitive price")</f>
        <v>Satisfied so far - to see in the event of a claim.
Competitive price but constantly increasing over the years. It is necessary to renegotiate to have a competitive price</v>
      </c>
    </row>
    <row r="76" ht="15.75" customHeight="1">
      <c r="A76" s="2">
        <v>2.0</v>
      </c>
      <c r="B76" s="2" t="s">
        <v>296</v>
      </c>
      <c r="C76" s="2" t="s">
        <v>297</v>
      </c>
      <c r="D76" s="2" t="s">
        <v>194</v>
      </c>
      <c r="E76" s="2" t="s">
        <v>14</v>
      </c>
      <c r="F76" s="2" t="s">
        <v>15</v>
      </c>
      <c r="G76" s="2" t="s">
        <v>231</v>
      </c>
      <c r="H76" s="2" t="s">
        <v>112</v>
      </c>
      <c r="I76" s="2" t="str">
        <f>IFERROR(__xludf.DUMMYFUNCTION("GOOGLETRANSLATE(C76,""fr"",""en"")"),"After receiving an insurance proposal within 48 hours, we signed up on the site. Then we tried to inform the medical questionnaire: the site had a technical error. We sent an email to the financial advisor who had made the insurance proposal to us, who ne"&amp;"ver answered
This service is o")</f>
        <v>After receiving an insurance proposal within 48 hours, we signed up on the site. Then we tried to inform the medical questionnaire: the site had a technical error. We sent an email to the financial advisor who had made the insurance proposal to us, who never answered
This service is o</v>
      </c>
    </row>
    <row r="77" ht="15.75" customHeight="1">
      <c r="A77" s="2">
        <v>2.0</v>
      </c>
      <c r="B77" s="2" t="s">
        <v>298</v>
      </c>
      <c r="C77" s="2" t="s">
        <v>299</v>
      </c>
      <c r="D77" s="2" t="s">
        <v>300</v>
      </c>
      <c r="E77" s="2" t="s">
        <v>43</v>
      </c>
      <c r="F77" s="2" t="s">
        <v>15</v>
      </c>
      <c r="G77" s="2" t="s">
        <v>301</v>
      </c>
      <c r="H77" s="2" t="s">
        <v>34</v>
      </c>
      <c r="I77" s="2" t="str">
        <f>IFERROR(__xludf.DUMMYFUNCTION("GOOGLETRANSLATE(C77,""fr"",""en"")"),"A member for 40 years of the GMF, I was attacked by the pit bulls of my neighbors with two surgical interventions and a month of hospitalization. After making contact with my GMF home insurance, I returned my file to benefit from the defense of the use of"&amp;" my civil liability.
By a telephone call three days later, my agency informed me that I no longer benefited from a RC coverage after removal of this guarantee from my two insured houses, and that consequently, the GMF was not affected by this Who had hap"&amp;"pened to me and that she would not follow up on the file. No following my appeals.
The GMF rebounds on its pub ""close to you"", I felt it well, with a hot breath in my neck.
")</f>
        <v>A member for 40 years of the GMF, I was attacked by the pit bulls of my neighbors with two surgical interventions and a month of hospitalization. After making contact with my GMF home insurance, I returned my file to benefit from the defense of the use of my civil liability.
By a telephone call three days later, my agency informed me that I no longer benefited from a RC coverage after removal of this guarantee from my two insured houses, and that consequently, the GMF was not affected by this Who had happened to me and that she would not follow up on the file. No following my appeals.
The GMF rebounds on its pub "close to you", I felt it well, with a hot breath in my neck.
</v>
      </c>
    </row>
    <row r="78" ht="15.75" customHeight="1">
      <c r="A78" s="2">
        <v>1.0</v>
      </c>
      <c r="B78" s="2" t="s">
        <v>302</v>
      </c>
      <c r="C78" s="2" t="s">
        <v>303</v>
      </c>
      <c r="D78" s="2" t="s">
        <v>57</v>
      </c>
      <c r="E78" s="2" t="s">
        <v>43</v>
      </c>
      <c r="F78" s="2" t="s">
        <v>15</v>
      </c>
      <c r="G78" s="2" t="s">
        <v>304</v>
      </c>
      <c r="H78" s="2" t="s">
        <v>88</v>
      </c>
      <c r="I78" s="2" t="str">
        <f>IFERROR(__xludf.DUMMYFUNCTION("GOOGLETRANSLATE(C78,""fr"",""en"")"),"Deplorable: a small drought crack file. More than a year no news despite several reminders.
The interlocutor never responds to messages.
An expert passed over a year ago and clearly confirmed in an email that the problem was linked to the drought of 201"&amp;"9.
I learn, via the expertise firm, qq days ago, that Pacifica has passed another expert ....
")</f>
        <v>Deplorable: a small drought crack file. More than a year no news despite several reminders.
The interlocutor never responds to messages.
An expert passed over a year ago and clearly confirmed in an email that the problem was linked to the drought of 2019.
I learn, via the expertise firm, qq days ago, that Pacifica has passed another expert ....
</v>
      </c>
    </row>
    <row r="79" ht="15.75" customHeight="1">
      <c r="A79" s="2">
        <v>4.0</v>
      </c>
      <c r="B79" s="2" t="s">
        <v>305</v>
      </c>
      <c r="C79" s="2" t="s">
        <v>306</v>
      </c>
      <c r="D79" s="2" t="s">
        <v>67</v>
      </c>
      <c r="E79" s="2" t="s">
        <v>68</v>
      </c>
      <c r="F79" s="2" t="s">
        <v>15</v>
      </c>
      <c r="G79" s="2" t="s">
        <v>307</v>
      </c>
      <c r="H79" s="2" t="s">
        <v>112</v>
      </c>
      <c r="I79" s="2" t="str">
        <f>IFERROR(__xludf.DUMMYFUNCTION("GOOGLETRANSLATE(C79,""fr"",""en"")"),"OK but lack of clarity to have a personal account, I did not even come into account or to modify the motorcycle brand, it is marked that it is 2014 but put into circulation in 2011")</f>
        <v>OK but lack of clarity to have a personal account, I did not even come into account or to modify the motorcycle brand, it is marked that it is 2014 but put into circulation in 2011</v>
      </c>
    </row>
    <row r="80" ht="15.75" customHeight="1">
      <c r="A80" s="2">
        <v>1.0</v>
      </c>
      <c r="B80" s="2" t="s">
        <v>308</v>
      </c>
      <c r="C80" s="2" t="s">
        <v>309</v>
      </c>
      <c r="D80" s="2" t="s">
        <v>264</v>
      </c>
      <c r="E80" s="2" t="s">
        <v>27</v>
      </c>
      <c r="F80" s="2" t="s">
        <v>15</v>
      </c>
      <c r="G80" s="2" t="s">
        <v>310</v>
      </c>
      <c r="H80" s="2" t="s">
        <v>310</v>
      </c>
      <c r="I80" s="2" t="str">
        <f>IFERROR(__xludf.DUMMYFUNCTION("GOOGLETRANSLATE(C80,""fr"",""en"")"),"To avoid by closing your eyes and without thinking, registration and communication at first it was really easy after they do not take their share of responsibility when you have a non -responsible or responsible disaster you see your bill increases direct"&amp;"ly and you receive at You a recommended termination letter at the end of the schedule and when we try to negotiate to talk about asking for more explanations in relation to termination and do not say that it is the mother company Swisslife which decides i"&amp;"t is based on what nobody Do not know it, however, the time of registration and the withdrawals is active insurance is not Swisslife the best it is to be avoided there is a lot of insurance which deserves that we pay them He surprised me it is who dischar"&amp;"ges any responsibility and to make you flee like that you do not ask for your rights he starts to speak badly like that he does not cause and the vice versa and there he finds the opportunity for that you are wrongly do waiting nation A advice from ex -in"&amp;"sured")</f>
        <v>To avoid by closing your eyes and without thinking, registration and communication at first it was really easy after they do not take their share of responsibility when you have a non -responsible or responsible disaster you see your bill increases directly and you receive at You a recommended termination letter at the end of the schedule and when we try to negotiate to talk about asking for more explanations in relation to termination and do not say that it is the mother company Swisslife which decides it is based on what nobody Do not know it, however, the time of registration and the withdrawals is active insurance is not Swisslife the best it is to be avoided there is a lot of insurance which deserves that we pay them He surprised me it is who discharges any responsibility and to make you flee like that you do not ask for your rights he starts to speak badly like that he does not cause and the vice versa and there he finds the opportunity for that you are wrongly do waiting nation A advice from ex -insured</v>
      </c>
    </row>
    <row r="81" ht="15.75" customHeight="1">
      <c r="A81" s="2">
        <v>3.0</v>
      </c>
      <c r="B81" s="2" t="s">
        <v>311</v>
      </c>
      <c r="C81" s="2" t="s">
        <v>312</v>
      </c>
      <c r="D81" s="2" t="s">
        <v>37</v>
      </c>
      <c r="E81" s="2" t="s">
        <v>27</v>
      </c>
      <c r="F81" s="2" t="s">
        <v>15</v>
      </c>
      <c r="G81" s="2" t="s">
        <v>313</v>
      </c>
      <c r="H81" s="2" t="s">
        <v>228</v>
      </c>
      <c r="I81" s="2" t="str">
        <f>IFERROR(__xludf.DUMMYFUNCTION("GOOGLETRANSLATE(C81,""fr"",""en"")"),"What to say: prices could be less elevated, when you are already a customer and have several contracts ... It would be good to reward our loyalty.")</f>
        <v>What to say: prices could be less elevated, when you are already a customer and have several contracts ... It would be good to reward our loyalty.</v>
      </c>
    </row>
    <row r="82" ht="15.75" customHeight="1">
      <c r="A82" s="2">
        <v>3.0</v>
      </c>
      <c r="B82" s="2" t="s">
        <v>314</v>
      </c>
      <c r="C82" s="2" t="s">
        <v>315</v>
      </c>
      <c r="D82" s="2" t="s">
        <v>48</v>
      </c>
      <c r="E82" s="2" t="s">
        <v>21</v>
      </c>
      <c r="F82" s="2" t="s">
        <v>15</v>
      </c>
      <c r="G82" s="2" t="s">
        <v>316</v>
      </c>
      <c r="H82" s="2" t="s">
        <v>149</v>
      </c>
      <c r="I82" s="2" t="str">
        <f>IFERROR(__xludf.DUMMYFUNCTION("GOOGLETRANSLATE(C82,""fr"",""en"")"),"Not terrible mutual harmony .. inexpensive mutual for those under 28 but the really lamentable customer service level. You should think about training better and above all be a little more professional.")</f>
        <v>Not terrible mutual harmony .. inexpensive mutual for those under 28 but the really lamentable customer service level. You should think about training better and above all be a little more professional.</v>
      </c>
    </row>
    <row r="83" ht="15.75" customHeight="1">
      <c r="A83" s="2">
        <v>2.0</v>
      </c>
      <c r="B83" s="2" t="s">
        <v>317</v>
      </c>
      <c r="C83" s="2" t="s">
        <v>318</v>
      </c>
      <c r="D83" s="2" t="s">
        <v>217</v>
      </c>
      <c r="E83" s="2" t="s">
        <v>68</v>
      </c>
      <c r="F83" s="2" t="s">
        <v>15</v>
      </c>
      <c r="G83" s="2" t="s">
        <v>319</v>
      </c>
      <c r="H83" s="2" t="s">
        <v>236</v>
      </c>
      <c r="I83" s="2" t="str">
        <f>IFERROR(__xludf.DUMMYFUNCTION("GOOGLETRANSLATE(C83,""fr"",""en"")"),"Today I am taken for car insurance that is no longer assured at the Macif, despite a registered letter of termination and 4 telephonic calls! At first they refuse me this termination without explanation, after a first call they resound only one of the two"&amp;" insurance concerned, second call the necessary is still not made they promise to do it as soon as possible, third call C is Too late the sample will pass the next day. Their apologies: the error is human and we only talk about 46 euros, dixit the advisor"&amp;" !!! If we do not pay can be given as it is only 46 euros ??? I am refused reimbursement this month when it is an error on their part! I will be reimbursed on 12 months! Fail t we of me!")</f>
        <v>Today I am taken for car insurance that is no longer assured at the Macif, despite a registered letter of termination and 4 telephonic calls! At first they refuse me this termination without explanation, after a first call they resound only one of the two insurance concerned, second call the necessary is still not made they promise to do it as soon as possible, third call C is Too late the sample will pass the next day. Their apologies: the error is human and we only talk about 46 euros, dixit the advisor !!! If we do not pay can be given as it is only 46 euros ??? I am refused reimbursement this month when it is an error on their part! I will be reimbursed on 12 months! Fail t we of me!</v>
      </c>
    </row>
    <row r="84" ht="15.75" customHeight="1">
      <c r="A84" s="2">
        <v>4.0</v>
      </c>
      <c r="B84" s="2" t="s">
        <v>320</v>
      </c>
      <c r="C84" s="2" t="s">
        <v>321</v>
      </c>
      <c r="D84" s="2" t="s">
        <v>42</v>
      </c>
      <c r="E84" s="2" t="s">
        <v>43</v>
      </c>
      <c r="F84" s="2" t="s">
        <v>15</v>
      </c>
      <c r="G84" s="2" t="s">
        <v>29</v>
      </c>
      <c r="H84" s="2" t="s">
        <v>29</v>
      </c>
      <c r="I84" s="2" t="str">
        <f>IFERROR(__xludf.DUMMYFUNCTION("GOOGLETRANSLATE(C84,""fr"",""en"")"),"After a significant water damage, the impossibility of relocating us and some unfortunate misunderstandings, the MAIF despite everything managed with the help of the expert (Union Expert) and the work company (Vital Assistance) within a suitable time my p"&amp;"roblem And we were able to reinstate our house after 4 months. I would like to thank Insurance Opinion thanks to whom we were able to resume contact with my insurer and the Maif who is interested in the opinions of their insured.")</f>
        <v>After a significant water damage, the impossibility of relocating us and some unfortunate misunderstandings, the MAIF despite everything managed with the help of the expert (Union Expert) and the work company (Vital Assistance) within a suitable time my problem And we were able to reinstate our house after 4 months. I would like to thank Insurance Opinion thanks to whom we were able to resume contact with my insurer and the Maif who is interested in the opinions of their insured.</v>
      </c>
    </row>
    <row r="85" ht="15.75" customHeight="1">
      <c r="A85" s="2">
        <v>2.0</v>
      </c>
      <c r="B85" s="2" t="s">
        <v>322</v>
      </c>
      <c r="C85" s="2" t="s">
        <v>323</v>
      </c>
      <c r="D85" s="2" t="s">
        <v>99</v>
      </c>
      <c r="E85" s="2" t="s">
        <v>27</v>
      </c>
      <c r="F85" s="2" t="s">
        <v>15</v>
      </c>
      <c r="G85" s="2" t="s">
        <v>92</v>
      </c>
      <c r="H85" s="2" t="s">
        <v>92</v>
      </c>
      <c r="I85" s="2" t="str">
        <f>IFERROR(__xludf.DUMMYFUNCTION("GOOGLETRANSLATE(C85,""fr"",""en"")"),"E-Allianz is a low cost insurer who gives less than the other mutuals I have left to join Allianz, thinking that a remote service, without a network of local agencies would allow for the same price a service better. Instead I come across a call center whi"&amp;"ch leaves you 17 minutes of waiting to be told that they do not have to justify the termination of your contract, but that the only reason for this termination was these 3 accidents in 3 years and that they no longer wanted to assume the level of risk bef"&amp;"ore which I put them. Remember: 3 non-responsible accidents (with identified third parties). With a bonus at 0.50 for 4 years")</f>
        <v>E-Allianz is a low cost insurer who gives less than the other mutuals I have left to join Allianz, thinking that a remote service, without a network of local agencies would allow for the same price a service better. Instead I come across a call center which leaves you 17 minutes of waiting to be told that they do not have to justify the termination of your contract, but that the only reason for this termination was these 3 accidents in 3 years and that they no longer wanted to assume the level of risk before which I put them. Remember: 3 non-responsible accidents (with identified third parties). With a bonus at 0.50 for 4 years</v>
      </c>
    </row>
    <row r="86" ht="15.75" customHeight="1">
      <c r="A86" s="2">
        <v>5.0</v>
      </c>
      <c r="B86" s="2" t="s">
        <v>324</v>
      </c>
      <c r="C86" s="2" t="s">
        <v>325</v>
      </c>
      <c r="D86" s="2" t="s">
        <v>37</v>
      </c>
      <c r="E86" s="2" t="s">
        <v>27</v>
      </c>
      <c r="F86" s="2" t="s">
        <v>15</v>
      </c>
      <c r="G86" s="2" t="s">
        <v>326</v>
      </c>
      <c r="H86" s="2" t="s">
        <v>80</v>
      </c>
      <c r="I86" s="2" t="str">
        <f>IFERROR(__xludf.DUMMYFUNCTION("GOOGLETRANSLATE(C86,""fr"",""en"")"),"Customer for many years, I have been very satisfied with the attractive rates, reactivity and the services provided. Simple and quick. I recommend .")</f>
        <v>Customer for many years, I have been very satisfied with the attractive rates, reactivity and the services provided. Simple and quick. I recommend .</v>
      </c>
    </row>
    <row r="87" ht="15.75" customHeight="1">
      <c r="A87" s="2">
        <v>2.0</v>
      </c>
      <c r="B87" s="2" t="s">
        <v>327</v>
      </c>
      <c r="C87" s="2" t="s">
        <v>328</v>
      </c>
      <c r="D87" s="2" t="s">
        <v>26</v>
      </c>
      <c r="E87" s="2" t="s">
        <v>27</v>
      </c>
      <c r="F87" s="2" t="s">
        <v>15</v>
      </c>
      <c r="G87" s="2" t="s">
        <v>329</v>
      </c>
      <c r="H87" s="2" t="s">
        <v>274</v>
      </c>
      <c r="I87" s="2" t="str">
        <f>IFERROR(__xludf.DUMMYFUNCTION("GOOGLETRANSLATE(C87,""fr"",""en"")"),"Total dissatisfaction with this insurance I terminate in the stride because I had 1 claim whose responsibility was not engaged my contract included a replacement vehicle.
Result: I have paid the sum of 1991 € of my pocket because no advance of costs !!!!"&amp;" No garage approved for the olive tree know it is the assistance who tells me !!! And olive on the cake not a replacement vehicle provided. Their advertising is a lie assurance to flee !!!")</f>
        <v>Total dissatisfaction with this insurance I terminate in the stride because I had 1 claim whose responsibility was not engaged my contract included a replacement vehicle.
Result: I have paid the sum of 1991 € of my pocket because no advance of costs !!!! No garage approved for the olive tree know it is the assistance who tells me !!! And olive on the cake not a replacement vehicle provided. Their advertising is a lie assurance to flee !!!</v>
      </c>
    </row>
    <row r="88" ht="15.75" customHeight="1">
      <c r="A88" s="2">
        <v>4.0</v>
      </c>
      <c r="B88" s="2" t="s">
        <v>330</v>
      </c>
      <c r="C88" s="2" t="s">
        <v>331</v>
      </c>
      <c r="D88" s="2" t="s">
        <v>37</v>
      </c>
      <c r="E88" s="2" t="s">
        <v>27</v>
      </c>
      <c r="F88" s="2" t="s">
        <v>15</v>
      </c>
      <c r="G88" s="2" t="s">
        <v>332</v>
      </c>
      <c r="H88" s="2" t="s">
        <v>29</v>
      </c>
      <c r="I88" s="2" t="str">
        <f>IFERROR(__xludf.DUMMYFUNCTION("GOOGLETRANSLATE(C88,""fr"",""en"")"),"Satisfied with the speed of the quote and the subscription, an interesting price part of certain other insurance companies, GDJDJDJRKRIDOFKFH")</f>
        <v>Satisfied with the speed of the quote and the subscription, an interesting price part of certain other insurance companies, GDJDJDJRKRIDOFKFH</v>
      </c>
    </row>
    <row r="89" ht="15.75" customHeight="1">
      <c r="A89" s="2">
        <v>2.0</v>
      </c>
      <c r="B89" s="2" t="s">
        <v>333</v>
      </c>
      <c r="C89" s="2" t="s">
        <v>334</v>
      </c>
      <c r="D89" s="2" t="s">
        <v>37</v>
      </c>
      <c r="E89" s="2" t="s">
        <v>27</v>
      </c>
      <c r="F89" s="2" t="s">
        <v>15</v>
      </c>
      <c r="G89" s="2" t="s">
        <v>335</v>
      </c>
      <c r="H89" s="2" t="s">
        <v>336</v>
      </c>
      <c r="I89" s="2" t="str">
        <f>IFERROR(__xludf.DUMMYFUNCTION("GOOGLETRANSLATE(C89,""fr"",""en"")"),"Initially insurer chosen for its prices. 2 years later they are more expensive than Maaf or Macif type insurers. Obviously the revision of the price depending on the bonus does not work well ...
In any case, you should not hope to have a positive respons"&amp;"e, whatever the request, except to take out a new contract. Just to have the green cards you have to restart them. I dare not imagine the management of a disaster.")</f>
        <v>Initially insurer chosen for its prices. 2 years later they are more expensive than Maaf or Macif type insurers. Obviously the revision of the price depending on the bonus does not work well ...
In any case, you should not hope to have a positive response, whatever the request, except to take out a new contract. Just to have the green cards you have to restart them. I dare not imagine the management of a disaster.</v>
      </c>
    </row>
    <row r="90" ht="15.75" customHeight="1">
      <c r="A90" s="2">
        <v>3.0</v>
      </c>
      <c r="B90" s="2" t="s">
        <v>337</v>
      </c>
      <c r="C90" s="2" t="s">
        <v>338</v>
      </c>
      <c r="D90" s="2" t="s">
        <v>300</v>
      </c>
      <c r="E90" s="2" t="s">
        <v>27</v>
      </c>
      <c r="F90" s="2" t="s">
        <v>15</v>
      </c>
      <c r="G90" s="2" t="s">
        <v>339</v>
      </c>
      <c r="H90" s="2" t="s">
        <v>134</v>
      </c>
      <c r="I90" s="2" t="str">
        <f>IFERROR(__xludf.DUMMYFUNCTION("GOOGLETRANSLATE(C90,""fr"",""en"")"),"Compared to the competition of higher prices but greater conditions in care.
I have had very little use of the various insurances taken out for at least 30 years.
In 2020, a complicated water damage took time to be managed by insurance. The services oth"&amp;"er than the agency reception were not up to my expectations: no answers, poor orientation.
I had to insist that my file was taken into account with a support expert. What was ultimately done by the GMF, the file is under investigation, I count on the sup"&amp;"port of my insurance to accompany me in the long term.
")</f>
        <v>Compared to the competition of higher prices but greater conditions in care.
I have had very little use of the various insurances taken out for at least 30 years.
In 2020, a complicated water damage took time to be managed by insurance. The services other than the agency reception were not up to my expectations: no answers, poor orientation.
I had to insist that my file was taken into account with a support expert. What was ultimately done by the GMF, the file is under investigation, I count on the support of my insurance to accompany me in the long term.
</v>
      </c>
    </row>
    <row r="91" ht="15.75" customHeight="1">
      <c r="A91" s="2">
        <v>4.0</v>
      </c>
      <c r="B91" s="2" t="s">
        <v>340</v>
      </c>
      <c r="C91" s="2" t="s">
        <v>341</v>
      </c>
      <c r="D91" s="2" t="s">
        <v>37</v>
      </c>
      <c r="E91" s="2" t="s">
        <v>27</v>
      </c>
      <c r="F91" s="2" t="s">
        <v>15</v>
      </c>
      <c r="G91" s="2" t="s">
        <v>177</v>
      </c>
      <c r="H91" s="2" t="s">
        <v>112</v>
      </c>
      <c r="I91" s="2" t="str">
        <f>IFERROR(__xludf.DUMMYFUNCTION("GOOGLETRANSLATE(C91,""fr"",""en"")"),"I am satisfied with your services; But it will still be necessary to review the prices downwards
and allow switching to vehicle insurance to yours")</f>
        <v>I am satisfied with your services; But it will still be necessary to review the prices downwards
and allow switching to vehicle insurance to yours</v>
      </c>
    </row>
    <row r="92" ht="15.75" customHeight="1">
      <c r="A92" s="2">
        <v>2.0</v>
      </c>
      <c r="B92" s="2" t="s">
        <v>342</v>
      </c>
      <c r="C92" s="2" t="s">
        <v>343</v>
      </c>
      <c r="D92" s="2" t="s">
        <v>42</v>
      </c>
      <c r="E92" s="2" t="s">
        <v>43</v>
      </c>
      <c r="F92" s="2" t="s">
        <v>15</v>
      </c>
      <c r="G92" s="2" t="s">
        <v>344</v>
      </c>
      <c r="H92" s="2" t="s">
        <v>345</v>
      </c>
      <c r="I92" s="2" t="str">
        <f>IFERROR(__xludf.DUMMYFUNCTION("GOOGLETRANSLATE(C92,""fr"",""en"")"),"Since August 17, 2017, 2017, I have been waiting to be compensated for damage suffered by a damage from the water of the neighbor from above 16-17 in the night at the 21st afternoon non-stop. Maif asks me to prove the prejudice! ! ! ! How do we do when th"&amp;"e kitchen is inaccessible? We Jeüne?
And when we have to give up on vacation? For spongeing? And the breakage where despite my requests, the expert does not come until October 10? Without lifting the nose of its form? ? ?
Over 50 years of Fidelite and H"&amp;"onnëtete! It is for what ....")</f>
        <v>Since August 17, 2017, 2017, I have been waiting to be compensated for damage suffered by a damage from the water of the neighbor from above 16-17 in the night at the 21st afternoon non-stop. Maif asks me to prove the prejudice! ! ! ! How do we do when the kitchen is inaccessible? We Jeüne?
And when we have to give up on vacation? For spongeing? And the breakage where despite my requests, the expert does not come until October 10? Without lifting the nose of its form? ? ?
Over 50 years of Fidelite and Honnëtete! It is for what ....</v>
      </c>
    </row>
    <row r="93" ht="15.75" customHeight="1">
      <c r="A93" s="2">
        <v>2.0</v>
      </c>
      <c r="B93" s="2" t="s">
        <v>346</v>
      </c>
      <c r="C93" s="2" t="s">
        <v>347</v>
      </c>
      <c r="D93" s="2" t="s">
        <v>264</v>
      </c>
      <c r="E93" s="2" t="s">
        <v>27</v>
      </c>
      <c r="F93" s="2" t="s">
        <v>15</v>
      </c>
      <c r="G93" s="2" t="s">
        <v>79</v>
      </c>
      <c r="H93" s="2" t="s">
        <v>80</v>
      </c>
      <c r="I93" s="2" t="str">
        <f>IFERROR(__xludf.DUMMYFUNCTION("GOOGLETRANSLATE(C93,""fr"",""en"")"),"I declared a claim in November 2019 we are in July 2020 and I still have no news. When I call them they tell me we remind you or it gives me another number that I called 3 times and which does not even capable of telling me what it is.")</f>
        <v>I declared a claim in November 2019 we are in July 2020 and I still have no news. When I call them they tell me we remind you or it gives me another number that I called 3 times and which does not even capable of telling me what it is.</v>
      </c>
    </row>
    <row r="94" ht="15.75" customHeight="1">
      <c r="A94" s="2">
        <v>2.0</v>
      </c>
      <c r="B94" s="2" t="s">
        <v>348</v>
      </c>
      <c r="C94" s="2" t="s">
        <v>349</v>
      </c>
      <c r="D94" s="2" t="s">
        <v>167</v>
      </c>
      <c r="E94" s="2" t="s">
        <v>168</v>
      </c>
      <c r="F94" s="2" t="s">
        <v>15</v>
      </c>
      <c r="G94" s="2" t="s">
        <v>350</v>
      </c>
      <c r="H94" s="2" t="s">
        <v>310</v>
      </c>
      <c r="I94" s="2" t="str">
        <f>IFERROR(__xludf.DUMMYFUNCTION("GOOGLETRANSLATE(C94,""fr"",""en"")"),"Very dissatisfied with HealthVet, contacted to ensure 5 dogs of an animal rescue association. Incompetent interlocutor (we are not talking about the arrogant tone ..): refusal to establish a quote: because with these dogs found, we cannot indicate defined"&amp;" breeds: neither veterinarians nor the ICAD indicates it document. (Note that these are not categorized animals), that the salesperson was unaware. This did not prevent it from proposing the most expensive option 'because it is better for you ""?! This is"&amp;" how Santévet lost the affiliation of 5 dogs, and others in the future. am addressed to blue bubble: no problem !!! they understood very well and were very friendly and accommodating")</f>
        <v>Very dissatisfied with HealthVet, contacted to ensure 5 dogs of an animal rescue association. Incompetent interlocutor (we are not talking about the arrogant tone ..): refusal to establish a quote: because with these dogs found, we cannot indicate defined breeds: neither veterinarians nor the ICAD indicates it document. (Note that these are not categorized animals), that the salesperson was unaware. This did not prevent it from proposing the most expensive option 'because it is better for you "?! This is how Santévet lost the affiliation of 5 dogs, and others in the future. am addressed to blue bubble: no problem !!! they understood very well and were very friendly and accommodating</v>
      </c>
    </row>
    <row r="95" ht="15.75" customHeight="1">
      <c r="A95" s="2">
        <v>4.0</v>
      </c>
      <c r="B95" s="2" t="s">
        <v>351</v>
      </c>
      <c r="C95" s="2" t="s">
        <v>352</v>
      </c>
      <c r="D95" s="2" t="s">
        <v>37</v>
      </c>
      <c r="E95" s="2" t="s">
        <v>27</v>
      </c>
      <c r="F95" s="2" t="s">
        <v>15</v>
      </c>
      <c r="G95" s="2" t="s">
        <v>130</v>
      </c>
      <c r="H95" s="2" t="s">
        <v>62</v>
      </c>
      <c r="I95" s="2" t="str">
        <f>IFERROR(__xludf.DUMMYFUNCTION("GOOGLETRANSLATE(C95,""fr"",""en"")"),"satisfied for online quote and speed. For first insurance you are the cheapest on the market. To do with customer service in the future.")</f>
        <v>satisfied for online quote and speed. For first insurance you are the cheapest on the market. To do with customer service in the future.</v>
      </c>
    </row>
    <row r="96" ht="15.75" customHeight="1">
      <c r="A96" s="2">
        <v>1.0</v>
      </c>
      <c r="B96" s="2" t="s">
        <v>353</v>
      </c>
      <c r="C96" s="2" t="s">
        <v>354</v>
      </c>
      <c r="D96" s="2" t="s">
        <v>355</v>
      </c>
      <c r="E96" s="2" t="s">
        <v>27</v>
      </c>
      <c r="F96" s="2" t="s">
        <v>15</v>
      </c>
      <c r="G96" s="2" t="s">
        <v>356</v>
      </c>
      <c r="H96" s="2" t="s">
        <v>357</v>
      </c>
      <c r="I96" s="2" t="str">
        <f>IFERROR(__xludf.DUMMYFUNCTION("GOOGLETRANSLATE(C96,""fr"",""en"")"),"High price to ensure a vehicle at home (even with the formula to the third party), counselor not very responsive and not available, not at all attentive to its customers, opening hours of the binding agency for someone who works during the day all week an"&amp;"d when we give ourselves the means to move, very long waiting time")</f>
        <v>High price to ensure a vehicle at home (even with the formula to the third party), counselor not very responsive and not available, not at all attentive to its customers, opening hours of the binding agency for someone who works during the day all week and when we give ourselves the means to move, very long waiting time</v>
      </c>
    </row>
    <row r="97" ht="15.75" customHeight="1">
      <c r="A97" s="2">
        <v>2.0</v>
      </c>
      <c r="B97" s="2" t="s">
        <v>358</v>
      </c>
      <c r="C97" s="2" t="s">
        <v>359</v>
      </c>
      <c r="D97" s="2" t="s">
        <v>360</v>
      </c>
      <c r="E97" s="2" t="s">
        <v>120</v>
      </c>
      <c r="F97" s="2" t="s">
        <v>15</v>
      </c>
      <c r="G97" s="2" t="s">
        <v>361</v>
      </c>
      <c r="H97" s="2" t="s">
        <v>62</v>
      </c>
      <c r="I97" s="2" t="str">
        <f>IFERROR(__xludf.DUMMYFUNCTION("GOOGLETRANSLATE(C97,""fr"",""en"")"),"Although client for over 20 years I was very disappointed by subscribing to a funeral contract in April which was only validated because I only received any confirmation. Finally I canceled my file because the explanations brought by mail did not give me "&amp;"satisfaction. However, this did not come from my advisor but from the seat which seems abnormal and uncomfortable ????")</f>
        <v>Although client for over 20 years I was very disappointed by subscribing to a funeral contract in April which was only validated because I only received any confirmation. Finally I canceled my file because the explanations brought by mail did not give me satisfaction. However, this did not come from my advisor but from the seat which seems abnormal and uncomfortable ????</v>
      </c>
    </row>
    <row r="98" ht="15.75" customHeight="1">
      <c r="A98" s="2">
        <v>1.0</v>
      </c>
      <c r="B98" s="2" t="s">
        <v>362</v>
      </c>
      <c r="C98" s="2" t="s">
        <v>363</v>
      </c>
      <c r="D98" s="2" t="s">
        <v>26</v>
      </c>
      <c r="E98" s="2" t="s">
        <v>27</v>
      </c>
      <c r="F98" s="2" t="s">
        <v>15</v>
      </c>
      <c r="G98" s="2" t="s">
        <v>364</v>
      </c>
      <c r="H98" s="2" t="s">
        <v>365</v>
      </c>
      <c r="I98" s="2" t="str">
        <f>IFERROR(__xludf.DUMMYFUNCTION("GOOGLETRANSLATE(C98,""fr"",""en"")"),"I cannot judge the insurance services
On the other hand, deplorable customer service
I just called for a quote, the person is not professional they laugh at me
Cheer")</f>
        <v>I cannot judge the insurance services
On the other hand, deplorable customer service
I just called for a quote, the person is not professional they laugh at me
Cheer</v>
      </c>
    </row>
    <row r="99" ht="15.75" customHeight="1">
      <c r="A99" s="2">
        <v>1.0</v>
      </c>
      <c r="B99" s="2" t="s">
        <v>366</v>
      </c>
      <c r="C99" s="2" t="s">
        <v>367</v>
      </c>
      <c r="D99" s="2" t="s">
        <v>368</v>
      </c>
      <c r="E99" s="2" t="s">
        <v>68</v>
      </c>
      <c r="F99" s="2" t="s">
        <v>15</v>
      </c>
      <c r="G99" s="2" t="s">
        <v>369</v>
      </c>
      <c r="H99" s="2" t="s">
        <v>96</v>
      </c>
      <c r="I99" s="2" t="str">
        <f>IFERROR(__xludf.DUMMYFUNCTION("GOOGLETRANSLATE(C99,""fr"",""en"")"),"Null service and assistance quality. reproach me that I do not pay expensive so that we should not complain if the disorders are not charged.")</f>
        <v>Null service and assistance quality. reproach me that I do not pay expensive so that we should not complain if the disorders are not charged.</v>
      </c>
    </row>
    <row r="100" ht="15.75" customHeight="1">
      <c r="A100" s="2">
        <v>5.0</v>
      </c>
      <c r="B100" s="2" t="s">
        <v>370</v>
      </c>
      <c r="C100" s="2" t="s">
        <v>371</v>
      </c>
      <c r="D100" s="2" t="s">
        <v>26</v>
      </c>
      <c r="E100" s="2" t="s">
        <v>27</v>
      </c>
      <c r="F100" s="2" t="s">
        <v>15</v>
      </c>
      <c r="G100" s="2" t="s">
        <v>372</v>
      </c>
      <c r="H100" s="2" t="s">
        <v>112</v>
      </c>
      <c r="I100" s="2" t="str">
        <f>IFERROR(__xludf.DUMMYFUNCTION("GOOGLETRANSLATE(C100,""fr"",""en"")"),"The prices suit me, the internet is practical, advise by other friends rather satisfied. To see in the event of a claim on reactivity and access to an advisor")</f>
        <v>The prices suit me, the internet is practical, advise by other friends rather satisfied. To see in the event of a claim on reactivity and access to an advisor</v>
      </c>
    </row>
    <row r="101" ht="15.75" customHeight="1">
      <c r="A101" s="2">
        <v>1.0</v>
      </c>
      <c r="B101" s="2" t="s">
        <v>373</v>
      </c>
      <c r="C101" s="2" t="s">
        <v>374</v>
      </c>
      <c r="D101" s="2" t="s">
        <v>375</v>
      </c>
      <c r="E101" s="2" t="s">
        <v>14</v>
      </c>
      <c r="F101" s="2" t="s">
        <v>15</v>
      </c>
      <c r="G101" s="2" t="s">
        <v>376</v>
      </c>
      <c r="H101" s="2" t="s">
        <v>121</v>
      </c>
      <c r="I101" s="2" t="str">
        <f>IFERROR(__xludf.DUMMYFUNCTION("GOOGLETRANSLATE(C101,""fr"",""en"")"),"Following a family problem, I could not honor 2 monthly borrower insurance. I received a letter of formal notice directly without any other letter before telling me that if I did not regulate my premiums within 40 days, my contract would be terminated wit"&amp;"hout any other opinion on their part. I sent the regulations by check in time and more than a month after my check is still not debited and my monthly payment this month was not debited either. I can't reach them to find out what's going on, I have a chec"&amp;"k that is in nature or somewhere in their service I don't know. I had no news from them. I have never seen such a serious company for an insurer who makes fun of their customer.")</f>
        <v>Following a family problem, I could not honor 2 monthly borrower insurance. I received a letter of formal notice directly without any other letter before telling me that if I did not regulate my premiums within 40 days, my contract would be terminated without any other opinion on their part. I sent the regulations by check in time and more than a month after my check is still not debited and my monthly payment this month was not debited either. I can't reach them to find out what's going on, I have a check that is in nature or somewhere in their service I don't know. I had no news from them. I have never seen such a serious company for an insurer who makes fun of their customer.</v>
      </c>
    </row>
    <row r="102" ht="15.75" customHeight="1">
      <c r="A102" s="2">
        <v>5.0</v>
      </c>
      <c r="B102" s="2" t="s">
        <v>377</v>
      </c>
      <c r="C102" s="2" t="s">
        <v>378</v>
      </c>
      <c r="D102" s="2" t="s">
        <v>37</v>
      </c>
      <c r="E102" s="2" t="s">
        <v>27</v>
      </c>
      <c r="F102" s="2" t="s">
        <v>15</v>
      </c>
      <c r="G102" s="2" t="s">
        <v>379</v>
      </c>
      <c r="H102" s="2" t="s">
        <v>188</v>
      </c>
      <c r="I102" s="2" t="str">
        <f>IFERROR(__xludf.DUMMYFUNCTION("GOOGLETRANSLATE(C102,""fr"",""en"")"),"Super satisfied with the service I recommend it to many of my entourage thank you to direct insurance, cheaper than other insurance !! Thank you direct insurance")</f>
        <v>Super satisfied with the service I recommend it to many of my entourage thank you to direct insurance, cheaper than other insurance !! Thank you direct insurance</v>
      </c>
    </row>
    <row r="103" ht="15.75" customHeight="1">
      <c r="A103" s="2">
        <v>3.0</v>
      </c>
      <c r="B103" s="2" t="s">
        <v>380</v>
      </c>
      <c r="C103" s="2" t="s">
        <v>381</v>
      </c>
      <c r="D103" s="2" t="s">
        <v>37</v>
      </c>
      <c r="E103" s="2" t="s">
        <v>27</v>
      </c>
      <c r="F103" s="2" t="s">
        <v>15</v>
      </c>
      <c r="G103" s="2" t="s">
        <v>382</v>
      </c>
      <c r="H103" s="2" t="s">
        <v>23</v>
      </c>
      <c r="I103" s="2" t="str">
        <f>IFERROR(__xludf.DUMMYFUNCTION("GOOGLETRANSLATE(C103,""fr"",""en"")"),"I am satisfied with the service on the other hand for the price with more than 50% bonuses and 2 cars I pay dear my subscription
Thank you for seeing your price
Cordially")</f>
        <v>I am satisfied with the service on the other hand for the price with more than 50% bonuses and 2 cars I pay dear my subscription
Thank you for seeing your price
Cordially</v>
      </c>
    </row>
    <row r="104" ht="15.75" customHeight="1">
      <c r="A104" s="2">
        <v>2.0</v>
      </c>
      <c r="B104" s="2" t="s">
        <v>383</v>
      </c>
      <c r="C104" s="2" t="s">
        <v>384</v>
      </c>
      <c r="D104" s="2" t="s">
        <v>375</v>
      </c>
      <c r="E104" s="2" t="s">
        <v>14</v>
      </c>
      <c r="F104" s="2" t="s">
        <v>15</v>
      </c>
      <c r="G104" s="2" t="s">
        <v>385</v>
      </c>
      <c r="H104" s="2" t="s">
        <v>17</v>
      </c>
      <c r="I104" s="2" t="str">
        <f>IFERROR(__xludf.DUMMYFUNCTION("GOOGLETRANSLATE(C104,""fr"",""en"")"),"Impossible to have an answer within a normal period (1 month)")</f>
        <v>Impossible to have an answer within a normal period (1 month)</v>
      </c>
    </row>
    <row r="105" ht="15.75" customHeight="1">
      <c r="A105" s="2">
        <v>4.0</v>
      </c>
      <c r="B105" s="2" t="s">
        <v>386</v>
      </c>
      <c r="C105" s="2" t="s">
        <v>387</v>
      </c>
      <c r="D105" s="2" t="s">
        <v>26</v>
      </c>
      <c r="E105" s="2" t="s">
        <v>27</v>
      </c>
      <c r="F105" s="2" t="s">
        <v>15</v>
      </c>
      <c r="G105" s="2" t="s">
        <v>388</v>
      </c>
      <c r="H105" s="2" t="s">
        <v>141</v>
      </c>
      <c r="I105" s="2" t="str">
        <f>IFERROR(__xludf.DUMMYFUNCTION("GOOGLETRANSLATE(C105,""fr"",""en"")"),"Everything suits me the prices and the insurance I still have trouble with what I have to sign or not because there is no reminder on the phone and this is a problem
")</f>
        <v>Everything suits me the prices and the insurance I still have trouble with what I have to sign or not because there is no reminder on the phone and this is a problem
</v>
      </c>
    </row>
    <row r="106" ht="15.75" customHeight="1">
      <c r="A106" s="2">
        <v>5.0</v>
      </c>
      <c r="B106" s="2" t="s">
        <v>389</v>
      </c>
      <c r="C106" s="2" t="s">
        <v>390</v>
      </c>
      <c r="D106" s="2" t="s">
        <v>37</v>
      </c>
      <c r="E106" s="2" t="s">
        <v>27</v>
      </c>
      <c r="F106" s="2" t="s">
        <v>15</v>
      </c>
      <c r="G106" s="2" t="s">
        <v>391</v>
      </c>
      <c r="H106" s="2" t="s">
        <v>23</v>
      </c>
      <c r="I106" s="2" t="str">
        <f>IFERROR(__xludf.DUMMYFUNCTION("GOOGLETRANSLATE(C106,""fr"",""en"")"),"Super I am totally satisfied with the services offered!
If I am unhappy, I will let you know. Thank you and congratulations to my interlocutor who knows her job well")</f>
        <v>Super I am totally satisfied with the services offered!
If I am unhappy, I will let you know. Thank you and congratulations to my interlocutor who knows her job well</v>
      </c>
    </row>
    <row r="107" ht="15.75" customHeight="1">
      <c r="A107" s="2">
        <v>1.0</v>
      </c>
      <c r="B107" s="2" t="s">
        <v>392</v>
      </c>
      <c r="C107" s="2" t="s">
        <v>393</v>
      </c>
      <c r="D107" s="2" t="s">
        <v>99</v>
      </c>
      <c r="E107" s="2" t="s">
        <v>289</v>
      </c>
      <c r="F107" s="2" t="s">
        <v>15</v>
      </c>
      <c r="G107" s="2" t="s">
        <v>394</v>
      </c>
      <c r="H107" s="2" t="s">
        <v>92</v>
      </c>
      <c r="I107" s="2" t="str">
        <f>IFERROR(__xludf.DUMMYFUNCTION("GOOGLETRANSLATE(C107,""fr"",""en"")"),"deceptive and fairly complex products to understand
'Explain asset is less likely to be an expert, in fact the Fraix crunches a large part and not well explained elsewhere")</f>
        <v>deceptive and fairly complex products to understand
'Explain asset is less likely to be an expert, in fact the Fraix crunches a large part and not well explained elsewhere</v>
      </c>
    </row>
    <row r="108" ht="15.75" customHeight="1">
      <c r="A108" s="2">
        <v>4.0</v>
      </c>
      <c r="B108" s="2" t="s">
        <v>395</v>
      </c>
      <c r="C108" s="2" t="s">
        <v>396</v>
      </c>
      <c r="D108" s="2" t="s">
        <v>107</v>
      </c>
      <c r="E108" s="2" t="s">
        <v>21</v>
      </c>
      <c r="F108" s="2" t="s">
        <v>15</v>
      </c>
      <c r="G108" s="2" t="s">
        <v>191</v>
      </c>
      <c r="H108" s="2" t="s">
        <v>23</v>
      </c>
      <c r="I108" s="2" t="str">
        <f>IFERROR(__xludf.DUMMYFUNCTION("GOOGLETRANSLATE(C108,""fr"",""en"")"),"I thank Emeline who knew how to give me clear explanations and who responded to my requests
Very professional very listening and courteous
Thank you")</f>
        <v>I thank Emeline who knew how to give me clear explanations and who responded to my requests
Very professional very listening and courteous
Thank you</v>
      </c>
    </row>
    <row r="109" ht="15.75" customHeight="1">
      <c r="A109" s="2">
        <v>4.0</v>
      </c>
      <c r="B109" s="2" t="s">
        <v>397</v>
      </c>
      <c r="C109" s="2" t="s">
        <v>398</v>
      </c>
      <c r="D109" s="2" t="s">
        <v>26</v>
      </c>
      <c r="E109" s="2" t="s">
        <v>27</v>
      </c>
      <c r="F109" s="2" t="s">
        <v>15</v>
      </c>
      <c r="G109" s="2" t="s">
        <v>399</v>
      </c>
      <c r="H109" s="2" t="s">
        <v>29</v>
      </c>
      <c r="I109" s="2" t="str">
        <f>IFERROR(__xludf.DUMMYFUNCTION("GOOGLETRANSLATE(C109,""fr"",""en"")"),"Satisfied and very happy to have taken out insurance.
Fast and efficient I recommend
attractive and satisfactory price
Easy to use website")</f>
        <v>Satisfied and very happy to have taken out insurance.
Fast and efficient I recommend
attractive and satisfactory price
Easy to use website</v>
      </c>
    </row>
    <row r="110" ht="15.75" customHeight="1">
      <c r="A110" s="2">
        <v>4.0</v>
      </c>
      <c r="B110" s="2" t="s">
        <v>400</v>
      </c>
      <c r="C110" s="2" t="s">
        <v>401</v>
      </c>
      <c r="D110" s="2" t="s">
        <v>402</v>
      </c>
      <c r="E110" s="2" t="s">
        <v>68</v>
      </c>
      <c r="F110" s="2" t="s">
        <v>15</v>
      </c>
      <c r="G110" s="2" t="s">
        <v>403</v>
      </c>
      <c r="H110" s="2" t="s">
        <v>174</v>
      </c>
      <c r="I110" s="2" t="str">
        <f>IFERROR(__xludf.DUMMYFUNCTION("GOOGLETRANSLATE(C110,""fr"",""en"")"),"Hello,
Wanting to bring out my motorcycle this year like every year, in early June,
I realized that my insurance certificate was no longer valid.
Validity period from 09/21/2016 to 20/09/2017.
I specify that I am assured of all risks with payment by c"&amp;"heck once a year.
I contact my company and there I realize that following my
Moving last year, I forgot to point out to them the change of address for the motorcycle.
The work of my new house being my priority and well here is the result.
I understand"&amp;" the person who tells me that my insurance is terminated and that payment for this new year is to be made, and that it will send me by email the amount of the subscription.
I remain speechless, but yes by email !!
Why the insurance that holds my email a"&amp;"ddress resilled me, since it had the means to contact me other than by mail afterwards.
I advise this insurance despite my case because
The prices and guarantees are reasonable,
Besides, I brought a friend who has the same motorcycle as me.
")</f>
        <v>Hello,
Wanting to bring out my motorcycle this year like every year, in early June,
I realized that my insurance certificate was no longer valid.
Validity period from 09/21/2016 to 20/09/2017.
I specify that I am assured of all risks with payment by check once a year.
I contact my company and there I realize that following my
Moving last year, I forgot to point out to them the change of address for the motorcycle.
The work of my new house being my priority and well here is the result.
I understand the person who tells me that my insurance is terminated and that payment for this new year is to be made, and that it will send me by email the amount of the subscription.
I remain speechless, but yes by email !!
Why the insurance that holds my email address resilled me, since it had the means to contact me other than by mail afterwards.
I advise this insurance despite my case because
The prices and guarantees are reasonable,
Besides, I brought a friend who has the same motorcycle as me.
</v>
      </c>
    </row>
    <row r="111" ht="15.75" customHeight="1">
      <c r="A111" s="2">
        <v>4.0</v>
      </c>
      <c r="B111" s="2" t="s">
        <v>404</v>
      </c>
      <c r="C111" s="2" t="s">
        <v>405</v>
      </c>
      <c r="D111" s="2" t="s">
        <v>26</v>
      </c>
      <c r="E111" s="2" t="s">
        <v>27</v>
      </c>
      <c r="F111" s="2" t="s">
        <v>15</v>
      </c>
      <c r="G111" s="2" t="s">
        <v>406</v>
      </c>
      <c r="H111" s="2" t="s">
        <v>29</v>
      </c>
      <c r="I111" s="2" t="str">
        <f>IFERROR(__xludf.DUMMYFUNCTION("GOOGLETRANSLATE(C111,""fr"",""en"")"),"Creation of the account only works on Edge ... neither on Chrome nor on Firefox.
The lowest prices, to see when you have to request a refund ...")</f>
        <v>Creation of the account only works on Edge ... neither on Chrome nor on Firefox.
The lowest prices, to see when you have to request a refund ...</v>
      </c>
    </row>
    <row r="112" ht="15.75" customHeight="1">
      <c r="A112" s="2">
        <v>1.0</v>
      </c>
      <c r="B112" s="2" t="s">
        <v>407</v>
      </c>
      <c r="C112" s="2" t="s">
        <v>408</v>
      </c>
      <c r="D112" s="2" t="s">
        <v>37</v>
      </c>
      <c r="E112" s="2" t="s">
        <v>27</v>
      </c>
      <c r="F112" s="2" t="s">
        <v>15</v>
      </c>
      <c r="G112" s="2" t="s">
        <v>409</v>
      </c>
      <c r="H112" s="2" t="s">
        <v>357</v>
      </c>
      <c r="I112" s="2" t="str">
        <f>IFERROR(__xludf.DUMMYFUNCTION("GOOGLETRANSLATE(C112,""fr"",""en"")"),"Direct insurance! Or the insurance that increases every year on! Despite a bonus that increases it!
The logic ? Any
We confirm that new customers pay less than new people who have no seniority is a joke")</f>
        <v>Direct insurance! Or the insurance that increases every year on! Despite a bonus that increases it!
The logic ? Any
We confirm that new customers pay less than new people who have no seniority is a joke</v>
      </c>
    </row>
    <row r="113" ht="15.75" customHeight="1">
      <c r="A113" s="2">
        <v>4.0</v>
      </c>
      <c r="B113" s="2" t="s">
        <v>410</v>
      </c>
      <c r="C113" s="2" t="s">
        <v>411</v>
      </c>
      <c r="D113" s="2" t="s">
        <v>368</v>
      </c>
      <c r="E113" s="2" t="s">
        <v>68</v>
      </c>
      <c r="F113" s="2" t="s">
        <v>15</v>
      </c>
      <c r="G113" s="2" t="s">
        <v>412</v>
      </c>
      <c r="H113" s="2" t="s">
        <v>112</v>
      </c>
      <c r="I113" s="2" t="str">
        <f>IFERROR(__xludf.DUMMYFUNCTION("GOOGLETRANSLATE(C113,""fr"",""en"")"),"Having had no dispute since my membership, I cannot give any opinion. It is in the event of a problem that we can judge. Knowing the insurance system, I never want to have a problem. I pay because I am a good citizen and that I have obligations. After ..."&amp;"... I hope to quietly end my life without history.")</f>
        <v>Having had no dispute since my membership, I cannot give any opinion. It is in the event of a problem that we can judge. Knowing the insurance system, I never want to have a problem. I pay because I am a good citizen and that I have obligations. After ...... I hope to quietly end my life without history.</v>
      </c>
    </row>
    <row r="114" ht="15.75" customHeight="1">
      <c r="A114" s="2">
        <v>5.0</v>
      </c>
      <c r="B114" s="2" t="s">
        <v>413</v>
      </c>
      <c r="C114" s="2" t="s">
        <v>414</v>
      </c>
      <c r="D114" s="2" t="s">
        <v>37</v>
      </c>
      <c r="E114" s="2" t="s">
        <v>27</v>
      </c>
      <c r="F114" s="2" t="s">
        <v>15</v>
      </c>
      <c r="G114" s="2" t="s">
        <v>415</v>
      </c>
      <c r="H114" s="2" t="s">
        <v>88</v>
      </c>
      <c r="I114" s="2" t="str">
        <f>IFERROR(__xludf.DUMMYFUNCTION("GOOGLETRANSLATE(C114,""fr"",""en"")"),"Fast and efficient I are thinking of putting my second automotive contract. I do not know if it is possible to have a preferential rate due to the second contract?")</f>
        <v>Fast and efficient I are thinking of putting my second automotive contract. I do not know if it is possible to have a preferential rate due to the second contract?</v>
      </c>
    </row>
    <row r="115" ht="15.75" customHeight="1">
      <c r="A115" s="2">
        <v>4.0</v>
      </c>
      <c r="B115" s="2" t="s">
        <v>416</v>
      </c>
      <c r="C115" s="2" t="s">
        <v>417</v>
      </c>
      <c r="D115" s="2" t="s">
        <v>37</v>
      </c>
      <c r="E115" s="2" t="s">
        <v>27</v>
      </c>
      <c r="F115" s="2" t="s">
        <v>15</v>
      </c>
      <c r="G115" s="2" t="s">
        <v>418</v>
      </c>
      <c r="H115" s="2" t="s">
        <v>23</v>
      </c>
      <c r="I115" s="2" t="str">
        <f>IFERROR(__xludf.DUMMYFUNCTION("GOOGLETRANSLATE(C115,""fr"",""en"")"),"A little high price for vehicles. Otherwise good services.
Waiting time for very acceptable telephone advice.
Friendly and accessible staff.")</f>
        <v>A little high price for vehicles. Otherwise good services.
Waiting time for very acceptable telephone advice.
Friendly and accessible staff.</v>
      </c>
    </row>
    <row r="116" ht="15.75" customHeight="1">
      <c r="A116" s="2">
        <v>5.0</v>
      </c>
      <c r="B116" s="2" t="s">
        <v>419</v>
      </c>
      <c r="C116" s="2" t="s">
        <v>420</v>
      </c>
      <c r="D116" s="2" t="s">
        <v>26</v>
      </c>
      <c r="E116" s="2" t="s">
        <v>27</v>
      </c>
      <c r="F116" s="2" t="s">
        <v>15</v>
      </c>
      <c r="G116" s="2" t="s">
        <v>421</v>
      </c>
      <c r="H116" s="2" t="s">
        <v>112</v>
      </c>
      <c r="I116" s="2" t="str">
        <f>IFERROR(__xludf.DUMMYFUNCTION("GOOGLETRANSLATE(C116,""fr"",""en"")"),"Super Impeccable Service To Recommend without Problem Price level Super Guarantor and Rapiditer Subscription Facilitates to complete the conditions and send Document")</f>
        <v>Super Impeccable Service To Recommend without Problem Price level Super Guarantor and Rapiditer Subscription Facilitates to complete the conditions and send Document</v>
      </c>
    </row>
    <row r="117" ht="15.75" customHeight="1">
      <c r="A117" s="2">
        <v>3.0</v>
      </c>
      <c r="B117" s="2" t="s">
        <v>422</v>
      </c>
      <c r="C117" s="2" t="s">
        <v>423</v>
      </c>
      <c r="D117" s="2" t="s">
        <v>37</v>
      </c>
      <c r="E117" s="2" t="s">
        <v>27</v>
      </c>
      <c r="F117" s="2" t="s">
        <v>15</v>
      </c>
      <c r="G117" s="2" t="s">
        <v>177</v>
      </c>
      <c r="H117" s="2" t="s">
        <v>112</v>
      </c>
      <c r="I117" s="2" t="str">
        <f>IFERROR(__xludf.DUMMYFUNCTION("GOOGLETRANSLATE(C117,""fr"",""en"")"),"Hello 4% increase on the contract, it is not acceptable, I will consult the competition, the rapprochement with AXA never helps the invoice?")</f>
        <v>Hello 4% increase on the contract, it is not acceptable, I will consult the competition, the rapprochement with AXA never helps the invoice?</v>
      </c>
    </row>
    <row r="118" ht="15.75" customHeight="1">
      <c r="A118" s="2">
        <v>1.0</v>
      </c>
      <c r="B118" s="2" t="s">
        <v>424</v>
      </c>
      <c r="C118" s="2" t="s">
        <v>425</v>
      </c>
      <c r="D118" s="2" t="s">
        <v>37</v>
      </c>
      <c r="E118" s="2" t="s">
        <v>27</v>
      </c>
      <c r="F118" s="2" t="s">
        <v>15</v>
      </c>
      <c r="G118" s="2" t="s">
        <v>426</v>
      </c>
      <c r="H118" s="2" t="s">
        <v>427</v>
      </c>
      <c r="I118" s="2" t="str">
        <f>IFERROR(__xludf.DUMMYFUNCTION("GOOGLETRANSLATE(C118,""fr"",""en"")"),"Hello,
Customer of this company for 5 years, I discover the reasons why the prices are so attractive.
I contacted customer service for my subscription which continues to increase each year, while competition offers the same service and for cheaper.
"&amp;"
I learn from direct assurance that if you are the victim of non -responsible claims, in my case two, you become a customer at risk ... So, even if you are not responsible, you will pay ...
In addition, customer service is mediocre, with each call, I"&amp;" have the impression of disturbing if I try to understand the processes applied.
For my last call, I had the pleasure of interacting with an advisor at the limit of rudeness and not attentive.
In short, a well -established discourse which makes it pos"&amp;"sible to avoid any negotiation or commercial gesture.
This same speech that I find in the whole of the company's response on this page.
They say that we have our money, well I think it is.
Finally, this message is not intended to obtain any commerc"&amp;"ial gesture but to alert consumers, because for my part, I sign with competition.
Have a good day
 ")</f>
        <v>Hello,
Customer of this company for 5 years, I discover the reasons why the prices are so attractive.
I contacted customer service for my subscription which continues to increase each year, while competition offers the same service and for cheaper.
I learn from direct assurance that if you are the victim of non -responsible claims, in my case two, you become a customer at risk ... So, even if you are not responsible, you will pay ...
In addition, customer service is mediocre, with each call, I have the impression of disturbing if I try to understand the processes applied.
For my last call, I had the pleasure of interacting with an advisor at the limit of rudeness and not attentive.
In short, a well -established discourse which makes it possible to avoid any negotiation or commercial gesture.
This same speech that I find in the whole of the company's response on this page.
They say that we have our money, well I think it is.
Finally, this message is not intended to obtain any commercial gesture but to alert consumers, because for my part, I sign with competition.
Have a good day
 </v>
      </c>
    </row>
    <row r="119" ht="15.75" customHeight="1">
      <c r="A119" s="2">
        <v>1.0</v>
      </c>
      <c r="B119" s="2" t="s">
        <v>428</v>
      </c>
      <c r="C119" s="2" t="s">
        <v>429</v>
      </c>
      <c r="D119" s="2" t="s">
        <v>430</v>
      </c>
      <c r="E119" s="2" t="s">
        <v>120</v>
      </c>
      <c r="F119" s="2" t="s">
        <v>15</v>
      </c>
      <c r="G119" s="2" t="s">
        <v>431</v>
      </c>
      <c r="H119" s="2" t="s">
        <v>285</v>
      </c>
      <c r="I119" s="2" t="str">
        <f>IFERROR(__xludf.DUMMYFUNCTION("GOOGLETRANSLATE(C119,""fr"",""en"")"),"CNP ... What to say ...
CNP made me waste my time!
They took 3 months to respond to my insurance request for a mortgage. For the end to refuse the PTIA with dark explanations ... (5 days of stopping in 10 years).
I asked the MAAF, 2 days later, I had a"&amp;" positive response.
I'm sorry, but you don't even have to think about subscribing to them.
My mistake ? Not having looked at the opinions before ...")</f>
        <v>CNP ... What to say ...
CNP made me waste my time!
They took 3 months to respond to my insurance request for a mortgage. For the end to refuse the PTIA with dark explanations ... (5 days of stopping in 10 years).
I asked the MAAF, 2 days later, I had a positive response.
I'm sorry, but you don't even have to think about subscribing to them.
My mistake ? Not having looked at the opinions before ...</v>
      </c>
    </row>
    <row r="120" ht="15.75" customHeight="1">
      <c r="A120" s="2">
        <v>1.0</v>
      </c>
      <c r="B120" s="2" t="s">
        <v>432</v>
      </c>
      <c r="C120" s="2" t="s">
        <v>433</v>
      </c>
      <c r="D120" s="2" t="s">
        <v>20</v>
      </c>
      <c r="E120" s="2" t="s">
        <v>21</v>
      </c>
      <c r="F120" s="2" t="s">
        <v>15</v>
      </c>
      <c r="G120" s="2" t="s">
        <v>434</v>
      </c>
      <c r="H120" s="2" t="s">
        <v>112</v>
      </c>
      <c r="I120" s="2" t="str">
        <f>IFERROR(__xludf.DUMMYFUNCTION("GOOGLETRANSLATE(C120,""fr"",""en"")"),"This mutual is a scandal! They are unreachable at Tel, and they do not respond to emails! What do the employees do? They doubled my contributions without a letter of accompaniment or explanation. It's a shame. I have terminated my contract and since then "&amp;"they do not reimburse me from hospital costs which are however well covered, since before the termination. I still have for 90 €. I sent 5 or six times by email the invoices paid and no response from them. Go see elsewhere!")</f>
        <v>This mutual is a scandal! They are unreachable at Tel, and they do not respond to emails! What do the employees do? They doubled my contributions without a letter of accompaniment or explanation. It's a shame. I have terminated my contract and since then they do not reimburse me from hospital costs which are however well covered, since before the termination. I still have for 90 €. I sent 5 or six times by email the invoices paid and no response from them. Go see elsewhere!</v>
      </c>
    </row>
    <row r="121" ht="15.75" customHeight="1">
      <c r="A121" s="2">
        <v>1.0</v>
      </c>
      <c r="B121" s="2" t="s">
        <v>435</v>
      </c>
      <c r="C121" s="2" t="s">
        <v>436</v>
      </c>
      <c r="D121" s="2" t="s">
        <v>437</v>
      </c>
      <c r="E121" s="2" t="s">
        <v>43</v>
      </c>
      <c r="F121" s="2" t="s">
        <v>15</v>
      </c>
      <c r="G121" s="2" t="s">
        <v>438</v>
      </c>
      <c r="H121" s="2" t="s">
        <v>17</v>
      </c>
      <c r="I121" s="2" t="str">
        <f>IFERROR(__xludf.DUMMYFUNCTION("GOOGLETRANSLATE(C121,""fr"",""en"")"),"I thought I had good insurance until I have a sinister customer service leaves something to be desired on a matter of waiting after almost 2 and a half months")</f>
        <v>I thought I had good insurance until I have a sinister customer service leaves something to be desired on a matter of waiting after almost 2 and a half months</v>
      </c>
    </row>
    <row r="122" ht="15.75" customHeight="1">
      <c r="A122" s="2">
        <v>4.0</v>
      </c>
      <c r="B122" s="2" t="s">
        <v>439</v>
      </c>
      <c r="C122" s="2" t="s">
        <v>440</v>
      </c>
      <c r="D122" s="2" t="s">
        <v>26</v>
      </c>
      <c r="E122" s="2" t="s">
        <v>27</v>
      </c>
      <c r="F122" s="2" t="s">
        <v>15</v>
      </c>
      <c r="G122" s="2" t="s">
        <v>441</v>
      </c>
      <c r="H122" s="2" t="s">
        <v>29</v>
      </c>
      <c r="I122" s="2" t="str">
        <f>IFERROR(__xludf.DUMMYFUNCTION("GOOGLETRANSLATE(C122,""fr"",""en"")"),"I’m reserving myself for the moment because it’s too much to shout for victory.
In addition, the salesperson was professional and was able to answer my questions.")</f>
        <v>I’m reserving myself for the moment because it’s too much to shout for victory.
In addition, the salesperson was professional and was able to answer my questions.</v>
      </c>
    </row>
    <row r="123" ht="15.75" customHeight="1">
      <c r="A123" s="2">
        <v>1.0</v>
      </c>
      <c r="B123" s="2" t="s">
        <v>442</v>
      </c>
      <c r="C123" s="2" t="s">
        <v>443</v>
      </c>
      <c r="D123" s="2" t="s">
        <v>26</v>
      </c>
      <c r="E123" s="2" t="s">
        <v>27</v>
      </c>
      <c r="F123" s="2" t="s">
        <v>15</v>
      </c>
      <c r="G123" s="2" t="s">
        <v>444</v>
      </c>
      <c r="H123" s="2" t="s">
        <v>445</v>
      </c>
      <c r="I123" s="2" t="str">
        <f>IFERROR(__xludf.DUMMYFUNCTION("GOOGLETRANSLATE(C123,""fr"",""en"")"),"Bluff insurance. Non -responsible disaster, still not reimbursed for 2 years. Inadmissible on the pretext that yesterday is not assured. So I am, why am I not compensated?")</f>
        <v>Bluff insurance. Non -responsible disaster, still not reimbursed for 2 years. Inadmissible on the pretext that yesterday is not assured. So I am, why am I not compensated?</v>
      </c>
    </row>
    <row r="124" ht="15.75" customHeight="1">
      <c r="A124" s="2">
        <v>2.0</v>
      </c>
      <c r="B124" s="2" t="s">
        <v>446</v>
      </c>
      <c r="C124" s="2" t="s">
        <v>447</v>
      </c>
      <c r="D124" s="2" t="s">
        <v>448</v>
      </c>
      <c r="E124" s="2" t="s">
        <v>27</v>
      </c>
      <c r="F124" s="2" t="s">
        <v>15</v>
      </c>
      <c r="G124" s="2" t="s">
        <v>449</v>
      </c>
      <c r="H124" s="2" t="s">
        <v>39</v>
      </c>
      <c r="I124" s="2" t="str">
        <f>IFERROR(__xludf.DUMMYFUNCTION("GOOGLETRANSLATE(C124,""fr"",""en"")"),"Insured at the MAAF for 8 years, including 3 with my name, having 3 contracts, including a car.
 Having only appealed once the assistance, and had a collision of parking by a truck that struck me, identified and noted as not being wrong.
Today, I am u"&amp;"nder refusal of a new all -risk auto insurance contract, due to assistance and non -responsible hanging.
This is unworthy of insurance that makes as much advertising for new customers.
Noted it is necessary to advertise, since they are unable to keep "&amp;"existing customers.
I'm still waiting for a complaint email response, ... but within 2 days without answers I leave the maaf.")</f>
        <v>Insured at the MAAF for 8 years, including 3 with my name, having 3 contracts, including a car.
 Having only appealed once the assistance, and had a collision of parking by a truck that struck me, identified and noted as not being wrong.
Today, I am under refusal of a new all -risk auto insurance contract, due to assistance and non -responsible hanging.
This is unworthy of insurance that makes as much advertising for new customers.
Noted it is necessary to advertise, since they are unable to keep existing customers.
I'm still waiting for a complaint email response, ... but within 2 days without answers I leave the maaf.</v>
      </c>
    </row>
    <row r="125" ht="15.75" customHeight="1">
      <c r="A125" s="2">
        <v>1.0</v>
      </c>
      <c r="B125" s="2" t="s">
        <v>450</v>
      </c>
      <c r="C125" s="2" t="s">
        <v>451</v>
      </c>
      <c r="D125" s="2" t="s">
        <v>156</v>
      </c>
      <c r="E125" s="2" t="s">
        <v>21</v>
      </c>
      <c r="F125" s="2" t="s">
        <v>15</v>
      </c>
      <c r="G125" s="2" t="s">
        <v>452</v>
      </c>
      <c r="H125" s="2" t="s">
        <v>445</v>
      </c>
      <c r="I125" s="2" t="str">
        <f>IFERROR(__xludf.DUMMYFUNCTION("GOOGLETRANSLATE(C125,""fr"",""en"")"),"My boss has a personal dispute with April since January 20 my rights are interrupted without my being informed
When we are on February 15 and I have no mutual coverage until they settle their conflicts
I learned that by asking for a dental quote since D"&amp;"ecember 27, no answer as soon as I knew the cause I interrupted all my care while waiting for them to take me more comfort for which I have signed by mistake.
So for me it is a mutual insurance company that I no longer use ... Not recommended when there "&amp;"are problems they are not operational")</f>
        <v>My boss has a personal dispute with April since January 20 my rights are interrupted without my being informed
When we are on February 15 and I have no mutual coverage until they settle their conflicts
I learned that by asking for a dental quote since December 27, no answer as soon as I knew the cause I interrupted all my care while waiting for them to take me more comfort for which I have signed by mistake.
So for me it is a mutual insurance company that I no longer use ... Not recommended when there are problems they are not operational</v>
      </c>
    </row>
    <row r="126" ht="15.75" customHeight="1">
      <c r="A126" s="2">
        <v>2.0</v>
      </c>
      <c r="B126" s="2" t="s">
        <v>453</v>
      </c>
      <c r="C126" s="2" t="s">
        <v>454</v>
      </c>
      <c r="D126" s="2" t="s">
        <v>37</v>
      </c>
      <c r="E126" s="2" t="s">
        <v>27</v>
      </c>
      <c r="F126" s="2" t="s">
        <v>15</v>
      </c>
      <c r="G126" s="2" t="s">
        <v>455</v>
      </c>
      <c r="H126" s="2" t="s">
        <v>365</v>
      </c>
      <c r="I126" s="2" t="str">
        <f>IFERROR(__xludf.DUMMYFUNCTION("GOOGLETRANSLATE(C126,""fr"",""en"")"),"Victim of an accident of which I am not responsible direct insurance refuses to contact MMA who ensures the driver who folded the axle of the trailer of my boat. This trailer was deposited with a DA partner convenience store. I find myself trapped between"&amp;" MMA which tells me that DA must have applied and Da who asks me to fend for myself with MMA. DA's first reaction was to refute by phone that the trailer was ensured because more than 750kg while it appears in all letters to the contract and that DA had t"&amp;"he info and registration on the trailer as I could communicate and Justify before signature. The second was to tell me that the commercial service had made a mistake because DA never ensured the trailers beyond the third party. The third is to let myself "&amp;"be managed alone with MMA. I have consulted an automotive expert who assures me that it is DA to have appropriate and request the care of repairs. It's been over a month. I can't use the boat. I think that cautious costs are running. Da does not answer me"&amp;" on their care. However, this situation was created by DA which organized the assistance. The promises visible on the website regardless of the formula are not respected.")</f>
        <v>Victim of an accident of which I am not responsible direct insurance refuses to contact MMA who ensures the driver who folded the axle of the trailer of my boat. This trailer was deposited with a DA partner convenience store. I find myself trapped between MMA which tells me that DA must have applied and Da who asks me to fend for myself with MMA. DA's first reaction was to refute by phone that the trailer was ensured because more than 750kg while it appears in all letters to the contract and that DA had the info and registration on the trailer as I could communicate and Justify before signature. The second was to tell me that the commercial service had made a mistake because DA never ensured the trailers beyond the third party. The third is to let myself be managed alone with MMA. I have consulted an automotive expert who assures me that it is DA to have appropriate and request the care of repairs. It's been over a month. I can't use the boat. I think that cautious costs are running. Da does not answer me on their care. However, this situation was created by DA which organized the assistance. The promises visible on the website regardless of the formula are not respected.</v>
      </c>
    </row>
    <row r="127" ht="15.75" customHeight="1">
      <c r="A127" s="2">
        <v>4.0</v>
      </c>
      <c r="B127" s="2" t="s">
        <v>456</v>
      </c>
      <c r="C127" s="2" t="s">
        <v>457</v>
      </c>
      <c r="D127" s="2" t="s">
        <v>368</v>
      </c>
      <c r="E127" s="2" t="s">
        <v>68</v>
      </c>
      <c r="F127" s="2" t="s">
        <v>15</v>
      </c>
      <c r="G127" s="2" t="s">
        <v>458</v>
      </c>
      <c r="H127" s="2" t="s">
        <v>88</v>
      </c>
      <c r="I127" s="2" t="str">
        <f>IFERROR(__xludf.DUMMYFUNCTION("GOOGLETRANSLATE(C127,""fr"",""en"")"),"Very intuitive perfect
Thank you for your responsiveness and your professionalism as well as your site which is great. I will be able to advise him to friends")</f>
        <v>Very intuitive perfect
Thank you for your responsiveness and your professionalism as well as your site which is great. I will be able to advise him to friends</v>
      </c>
    </row>
    <row r="128" ht="15.75" customHeight="1">
      <c r="A128" s="2">
        <v>1.0</v>
      </c>
      <c r="B128" s="2" t="s">
        <v>459</v>
      </c>
      <c r="C128" s="2" t="s">
        <v>460</v>
      </c>
      <c r="D128" s="2" t="s">
        <v>42</v>
      </c>
      <c r="E128" s="2" t="s">
        <v>43</v>
      </c>
      <c r="F128" s="2" t="s">
        <v>15</v>
      </c>
      <c r="G128" s="2" t="s">
        <v>461</v>
      </c>
      <c r="H128" s="2" t="s">
        <v>80</v>
      </c>
      <c r="I128" s="2" t="str">
        <f>IFERROR(__xludf.DUMMYFUNCTION("GOOGLETRANSLATE(C128,""fr"",""en"")"),"Hello,
MAIF does everything possible to never have to compensate its members correctly.
Once I wanted to use my legal insurance, I was dissuaded (long procedure blah blah blah).
My fridge breaks down, I call the sinister service to find out what Maif c"&amp;"an do (serenity insurance a joke).
I was treated as a suspect. After 45 minutes to get me from one service to another, I am told that the maif can do nothing !!!
It may be an electrical problem or not.
The person knew at a distance apparently that it c"&amp;"ould not be a breakdown of this nature.
She discomfort asking me to contact my energy supplier to find out if there had been a problem with them.
I retort that it does not suit me because I am in contact with my insurer and I want a quick solution for a"&amp;" benign problem.
I am talking about bringing in a MAIF provider to find out if it is an electrical problem or not and have a quote. MAIF accepts by indicating that it would be done but at my expense.
Result No compensation obviously but above all no sup"&amp;"port for my insurance.
I have been in Maif for at least twenty years by stupidly repeating this mantra: ""I pay more expensive but I am well covered in the event of seeds"". A joke.
The sinister service is contemptuous without any compassion and leaves "&amp;"you alone in the event of difficulties.
Lamentable.
I am strongly disappointed and reassembled especially as the issues were ridiculous.
I plan to go see the competition as soon as possible.
For information, no motivating letter just rejection of alle"&amp;"gations by phone and the promise of being recalled by a manager for my dissatisfaction.")</f>
        <v>Hello,
MAIF does everything possible to never have to compensate its members correctly.
Once I wanted to use my legal insurance, I was dissuaded (long procedure blah blah blah).
My fridge breaks down, I call the sinister service to find out what Maif can do (serenity insurance a joke).
I was treated as a suspect. After 45 minutes to get me from one service to another, I am told that the maif can do nothing !!!
It may be an electrical problem or not.
The person knew at a distance apparently that it could not be a breakdown of this nature.
She discomfort asking me to contact my energy supplier to find out if there had been a problem with them.
I retort that it does not suit me because I am in contact with my insurer and I want a quick solution for a benign problem.
I am talking about bringing in a MAIF provider to find out if it is an electrical problem or not and have a quote. MAIF accepts by indicating that it would be done but at my expense.
Result No compensation obviously but above all no support for my insurance.
I have been in Maif for at least twenty years by stupidly repeating this mantra: "I pay more expensive but I am well covered in the event of seeds". A joke.
The sinister service is contemptuous without any compassion and leaves you alone in the event of difficulties.
Lamentable.
I am strongly disappointed and reassembled especially as the issues were ridiculous.
I plan to go see the competition as soon as possible.
For information, no motivating letter just rejection of allegations by phone and the promise of being recalled by a manager for my dissatisfaction.</v>
      </c>
    </row>
    <row r="129" ht="15.75" customHeight="1">
      <c r="A129" s="2">
        <v>4.0</v>
      </c>
      <c r="B129" s="2" t="s">
        <v>462</v>
      </c>
      <c r="C129" s="2" t="s">
        <v>463</v>
      </c>
      <c r="D129" s="2" t="s">
        <v>26</v>
      </c>
      <c r="E129" s="2" t="s">
        <v>27</v>
      </c>
      <c r="F129" s="2" t="s">
        <v>15</v>
      </c>
      <c r="G129" s="2" t="s">
        <v>301</v>
      </c>
      <c r="H129" s="2" t="s">
        <v>141</v>
      </c>
      <c r="I129" s="2" t="str">
        <f>IFERROR(__xludf.DUMMYFUNCTION("GOOGLETRANSLATE(C129,""fr"",""en"")"),"Interesting insurance service. I highly recommend it. No doubt the best on the market today. I did the car and soon I will do the rest")</f>
        <v>Interesting insurance service. I highly recommend it. No doubt the best on the market today. I did the car and soon I will do the rest</v>
      </c>
    </row>
    <row r="130" ht="15.75" customHeight="1">
      <c r="A130" s="2">
        <v>5.0</v>
      </c>
      <c r="B130" s="2" t="s">
        <v>464</v>
      </c>
      <c r="C130" s="2" t="s">
        <v>465</v>
      </c>
      <c r="D130" s="2" t="s">
        <v>37</v>
      </c>
      <c r="E130" s="2" t="s">
        <v>27</v>
      </c>
      <c r="F130" s="2" t="s">
        <v>15</v>
      </c>
      <c r="G130" s="2" t="s">
        <v>466</v>
      </c>
      <c r="H130" s="2" t="s">
        <v>23</v>
      </c>
      <c r="I130" s="2" t="str">
        <f>IFERROR(__xludf.DUMMYFUNCTION("GOOGLETRANSLATE(C130,""fr"",""en"")"),"I am satisfied with the service. never had any worries. I recommend direct insurance, for all people who wish to be insured in France")</f>
        <v>I am satisfied with the service. never had any worries. I recommend direct insurance, for all people who wish to be insured in France</v>
      </c>
    </row>
    <row r="131" ht="15.75" customHeight="1">
      <c r="A131" s="2">
        <v>1.0</v>
      </c>
      <c r="B131" s="2" t="s">
        <v>467</v>
      </c>
      <c r="C131" s="2" t="s">
        <v>468</v>
      </c>
      <c r="D131" s="2" t="s">
        <v>37</v>
      </c>
      <c r="E131" s="2" t="s">
        <v>27</v>
      </c>
      <c r="F131" s="2" t="s">
        <v>15</v>
      </c>
      <c r="G131" s="2" t="s">
        <v>261</v>
      </c>
      <c r="H131" s="2" t="s">
        <v>23</v>
      </c>
      <c r="I131" s="2" t="str">
        <f>IFERROR(__xludf.DUMMYFUNCTION("GOOGLETRANSLATE(C131,""fr"",""en"")"),"I am not satisfied with the service and even less the subscription rate of a breakdown at 0km which served me nothing when I broke down on the highway and I had to pay the troubleshooting fees")</f>
        <v>I am not satisfied with the service and even less the subscription rate of a breakdown at 0km which served me nothing when I broke down on the highway and I had to pay the troubleshooting fees</v>
      </c>
    </row>
    <row r="132" ht="15.75" customHeight="1">
      <c r="A132" s="2">
        <v>1.0</v>
      </c>
      <c r="B132" s="2" t="s">
        <v>469</v>
      </c>
      <c r="C132" s="2" t="s">
        <v>470</v>
      </c>
      <c r="D132" s="2" t="s">
        <v>217</v>
      </c>
      <c r="E132" s="2" t="s">
        <v>68</v>
      </c>
      <c r="F132" s="2" t="s">
        <v>15</v>
      </c>
      <c r="G132" s="2" t="s">
        <v>471</v>
      </c>
      <c r="H132" s="2" t="s">
        <v>310</v>
      </c>
      <c r="I132" s="2" t="str">
        <f>IFERROR(__xludf.DUMMYFUNCTION("GOOGLETRANSLATE(C132,""fr"",""en"")"),"Civil servants, with all this involves derogatory ... No customer listening, they are in their ivory tower, commercial spirit to absent subscribers, yet it is the customers that makes them live .... experience of communication lived at Several occasions f"&amp;"or different themes ... Do not go to the agency 10 minutes before closing ... yes, yes !!!
To flee absolutely !!!!!!")</f>
        <v>Civil servants, with all this involves derogatory ... No customer listening, they are in their ivory tower, commercial spirit to absent subscribers, yet it is the customers that makes them live .... experience of communication lived at Several occasions for different themes ... Do not go to the agency 10 minutes before closing ... yes, yes !!!
To flee absolutely !!!!!!</v>
      </c>
    </row>
    <row r="133" ht="15.75" customHeight="1">
      <c r="A133" s="2">
        <v>1.0</v>
      </c>
      <c r="B133" s="2" t="s">
        <v>472</v>
      </c>
      <c r="C133" s="2" t="s">
        <v>473</v>
      </c>
      <c r="D133" s="2" t="s">
        <v>448</v>
      </c>
      <c r="E133" s="2" t="s">
        <v>43</v>
      </c>
      <c r="F133" s="2" t="s">
        <v>15</v>
      </c>
      <c r="G133" s="2" t="s">
        <v>273</v>
      </c>
      <c r="H133" s="2" t="s">
        <v>274</v>
      </c>
      <c r="I133" s="2" t="str">
        <f>IFERROR(__xludf.DUMMYFUNCTION("GOOGLETRANSLATE(C133,""fr"",""en"")"),"I have been assured at home since 2016 and I made 3 claims declarations. The last following at the Bella storm and
As if by magic, none was taken care of .. weird .. either I had not subscribed to the right option or even to have help on a disaster that "&amp;"has been lying around for a while the answer has been done, and we Let us take care of the work finally perhaps if they have not invented an option by here ... the worst is that the two cars are also insured with them .. but you worry about the increase i"&amp;"n your contributions the yes, not Need to call them this fact automatically ... Do like me I will go, go your way, don't go to the maaf ...")</f>
        <v>I have been assured at home since 2016 and I made 3 claims declarations. The last following at the Bella storm and
As if by magic, none was taken care of .. weird .. either I had not subscribed to the right option or even to have help on a disaster that has been lying around for a while the answer has been done, and we Let us take care of the work finally perhaps if they have not invented an option by here ... the worst is that the two cars are also insured with them .. but you worry about the increase in your contributions the yes, not Need to call them this fact automatically ... Do like me I will go, go your way, don't go to the maaf ...</v>
      </c>
    </row>
    <row r="134" ht="15.75" customHeight="1">
      <c r="A134" s="2">
        <v>4.0</v>
      </c>
      <c r="B134" s="2" t="s">
        <v>474</v>
      </c>
      <c r="C134" s="2" t="s">
        <v>475</v>
      </c>
      <c r="D134" s="2" t="s">
        <v>37</v>
      </c>
      <c r="E134" s="2" t="s">
        <v>27</v>
      </c>
      <c r="F134" s="2" t="s">
        <v>15</v>
      </c>
      <c r="G134" s="2" t="s">
        <v>476</v>
      </c>
      <c r="H134" s="2" t="s">
        <v>62</v>
      </c>
      <c r="I134" s="2" t="str">
        <f>IFERROR(__xludf.DUMMYFUNCTION("GOOGLETRANSLATE(C134,""fr"",""en"")"),"Satisfied a shame that the first sample is of the entire sum rather than per month directly. But the price remains one of its lower and for a young driver is very good.")</f>
        <v>Satisfied a shame that the first sample is of the entire sum rather than per month directly. But the price remains one of its lower and for a young driver is very good.</v>
      </c>
    </row>
    <row r="135" ht="15.75" customHeight="1">
      <c r="A135" s="2">
        <v>2.0</v>
      </c>
      <c r="B135" s="2" t="s">
        <v>477</v>
      </c>
      <c r="C135" s="2" t="s">
        <v>478</v>
      </c>
      <c r="D135" s="2" t="s">
        <v>13</v>
      </c>
      <c r="E135" s="2" t="s">
        <v>289</v>
      </c>
      <c r="F135" s="2" t="s">
        <v>15</v>
      </c>
      <c r="G135" s="2" t="s">
        <v>479</v>
      </c>
      <c r="H135" s="2" t="s">
        <v>17</v>
      </c>
      <c r="I135" s="2" t="str">
        <f>IFERROR(__xludf.DUMMYFUNCTION("GOOGLETRANSLATE(C135,""fr"",""en"")"),"Hello my spouse has subscribed to Cardif by phone it's every month taken out but we don't know who what because we have never received anything paper. We hope to have a little help to know why we give per month")</f>
        <v>Hello my spouse has subscribed to Cardif by phone it's every month taken out but we don't know who what because we have never received anything paper. We hope to have a little help to know why we give per month</v>
      </c>
    </row>
    <row r="136" ht="15.75" customHeight="1">
      <c r="A136" s="2">
        <v>4.0</v>
      </c>
      <c r="B136" s="2" t="s">
        <v>480</v>
      </c>
      <c r="C136" s="2" t="s">
        <v>481</v>
      </c>
      <c r="D136" s="2" t="s">
        <v>67</v>
      </c>
      <c r="E136" s="2" t="s">
        <v>68</v>
      </c>
      <c r="F136" s="2" t="s">
        <v>15</v>
      </c>
      <c r="G136" s="2" t="s">
        <v>239</v>
      </c>
      <c r="H136" s="2" t="s">
        <v>112</v>
      </c>
      <c r="I136" s="2" t="str">
        <f>IFERROR(__xludf.DUMMYFUNCTION("GOOGLETRANSLATE(C136,""fr"",""en"")"),"I was completely compensated during my non -responsible accident, material damage. Interesting prices, too bad it lacks flexibility when you little use your scooter (warranty per km or wintering not offered)")</f>
        <v>I was completely compensated during my non -responsible accident, material damage. Interesting prices, too bad it lacks flexibility when you little use your scooter (warranty per km or wintering not offered)</v>
      </c>
    </row>
    <row r="137" ht="15.75" customHeight="1">
      <c r="A137" s="2">
        <v>1.0</v>
      </c>
      <c r="B137" s="2" t="s">
        <v>482</v>
      </c>
      <c r="C137" s="2" t="s">
        <v>483</v>
      </c>
      <c r="D137" s="2" t="s">
        <v>37</v>
      </c>
      <c r="E137" s="2" t="s">
        <v>27</v>
      </c>
      <c r="F137" s="2" t="s">
        <v>15</v>
      </c>
      <c r="G137" s="2" t="s">
        <v>484</v>
      </c>
      <c r="H137" s="2" t="s">
        <v>188</v>
      </c>
      <c r="I137" s="2" t="str">
        <f>IFERROR(__xludf.DUMMYFUNCTION("GOOGLETRANSLATE(C137,""fr"",""en"")"),"I am already a client of Direct Assurances. I do not see any benefit to continue if my loyalty is not rewarded. Your price is high.
Cordially,
Sheila Cholley")</f>
        <v>I am already a client of Direct Assurances. I do not see any benefit to continue if my loyalty is not rewarded. Your price is high.
Cordially,
Sheila Cholley</v>
      </c>
    </row>
    <row r="138" ht="15.75" customHeight="1">
      <c r="A138" s="2">
        <v>4.0</v>
      </c>
      <c r="B138" s="2" t="s">
        <v>485</v>
      </c>
      <c r="C138" s="2" t="s">
        <v>486</v>
      </c>
      <c r="D138" s="2" t="s">
        <v>26</v>
      </c>
      <c r="E138" s="2" t="s">
        <v>27</v>
      </c>
      <c r="F138" s="2" t="s">
        <v>15</v>
      </c>
      <c r="G138" s="2" t="s">
        <v>487</v>
      </c>
      <c r="H138" s="2" t="s">
        <v>88</v>
      </c>
      <c r="I138" s="2" t="str">
        <f>IFERROR(__xludf.DUMMYFUNCTION("GOOGLETRANSLATE(C138,""fr"",""en"")"),"Simplicity and speed in the procedures. After different research it seems that the prices offered are the most interesting concerning young drivers")</f>
        <v>Simplicity and speed in the procedures. After different research it seems that the prices offered are the most interesting concerning young drivers</v>
      </c>
    </row>
    <row r="139" ht="15.75" customHeight="1">
      <c r="A139" s="2">
        <v>1.0</v>
      </c>
      <c r="B139" s="2" t="s">
        <v>488</v>
      </c>
      <c r="C139" s="2" t="s">
        <v>489</v>
      </c>
      <c r="D139" s="2" t="s">
        <v>490</v>
      </c>
      <c r="E139" s="2" t="s">
        <v>27</v>
      </c>
      <c r="F139" s="2" t="s">
        <v>15</v>
      </c>
      <c r="G139" s="2" t="s">
        <v>491</v>
      </c>
      <c r="H139" s="2" t="s">
        <v>427</v>
      </c>
      <c r="I139" s="2" t="str">
        <f>IFERROR(__xludf.DUMMYFUNCTION("GOOGLETRANSLATE(C139,""fr"",""en"")"),"Mediocre customer service, after 22 years of collaboration and following an unpaid 1 (change of bank) in 22 years, invoicing of 7 euros in unpaid fees despite contact with the headquarters of Matmut for explanation and request for cancellation of these co"&amp;"sts, I decided to leave this insurance.
I had 2 car contracts, 1 motorcycle contact and 2 house contract.
Bravo Mrs. Pasquet.")</f>
        <v>Mediocre customer service, after 22 years of collaboration and following an unpaid 1 (change of bank) in 22 years, invoicing of 7 euros in unpaid fees despite contact with the headquarters of Matmut for explanation and request for cancellation of these costs, I decided to leave this insurance.
I had 2 car contracts, 1 motorcycle contact and 2 house contract.
Bravo Mrs. Pasquet.</v>
      </c>
    </row>
    <row r="140" ht="15.75" customHeight="1">
      <c r="A140" s="2">
        <v>1.0</v>
      </c>
      <c r="B140" s="2" t="s">
        <v>492</v>
      </c>
      <c r="C140" s="2" t="s">
        <v>493</v>
      </c>
      <c r="D140" s="2" t="s">
        <v>300</v>
      </c>
      <c r="E140" s="2" t="s">
        <v>43</v>
      </c>
      <c r="F140" s="2" t="s">
        <v>15</v>
      </c>
      <c r="G140" s="2" t="s">
        <v>466</v>
      </c>
      <c r="H140" s="2" t="s">
        <v>23</v>
      </c>
      <c r="I140" s="2" t="str">
        <f>IFERROR(__xludf.DUMMYFUNCTION("GOOGLETRANSLATE(C140,""fr"",""en"")"),"When you need them there is no one on the other hand when you have to pay it is first.
My father had been insured since 1955 at home, my mother has a shutter concern, do not want to intervene. ABERRANT")</f>
        <v>When you need them there is no one on the other hand when you have to pay it is first.
My father had been insured since 1955 at home, my mother has a shutter concern, do not want to intervene. ABERRANT</v>
      </c>
    </row>
    <row r="141" ht="15.75" customHeight="1">
      <c r="A141" s="2">
        <v>2.0</v>
      </c>
      <c r="B141" s="2" t="s">
        <v>494</v>
      </c>
      <c r="C141" s="2" t="s">
        <v>495</v>
      </c>
      <c r="D141" s="2" t="s">
        <v>300</v>
      </c>
      <c r="E141" s="2" t="s">
        <v>43</v>
      </c>
      <c r="F141" s="2" t="s">
        <v>15</v>
      </c>
      <c r="G141" s="2" t="s">
        <v>496</v>
      </c>
      <c r="H141" s="2" t="s">
        <v>497</v>
      </c>
      <c r="I141" s="2" t="str">
        <f>IFERROR(__xludf.DUMMYFUNCTION("GOOGLETRANSLATE(C141,""fr"",""en"")"),"Galled to join the services that refer the ball. Follow the ""bogus"" expertise because it rejects the file")</f>
        <v>Galled to join the services that refer the ball. Follow the "bogus" expertise because it rejects the file</v>
      </c>
    </row>
    <row r="142" ht="15.75" customHeight="1">
      <c r="A142" s="2">
        <v>5.0</v>
      </c>
      <c r="B142" s="2" t="s">
        <v>498</v>
      </c>
      <c r="C142" s="2" t="s">
        <v>499</v>
      </c>
      <c r="D142" s="2" t="s">
        <v>26</v>
      </c>
      <c r="E142" s="2" t="s">
        <v>27</v>
      </c>
      <c r="F142" s="2" t="s">
        <v>15</v>
      </c>
      <c r="G142" s="2" t="s">
        <v>307</v>
      </c>
      <c r="H142" s="2" t="s">
        <v>112</v>
      </c>
      <c r="I142" s="2" t="str">
        <f>IFERROR(__xludf.DUMMYFUNCTION("GOOGLETRANSLATE(C142,""fr"",""en"")"),"I am satisfied with the service the prices suit me very simple and practical delighted to have discovered your insurance. The explanations are very simple, very fast file to create and site very accessible. The prices suit me perfectly.")</f>
        <v>I am satisfied with the service the prices suit me very simple and practical delighted to have discovered your insurance. The explanations are very simple, very fast file to create and site very accessible. The prices suit me perfectly.</v>
      </c>
    </row>
    <row r="143" ht="15.75" customHeight="1">
      <c r="A143" s="2">
        <v>1.0</v>
      </c>
      <c r="B143" s="2" t="s">
        <v>500</v>
      </c>
      <c r="C143" s="2" t="s">
        <v>501</v>
      </c>
      <c r="D143" s="2" t="s">
        <v>26</v>
      </c>
      <c r="E143" s="2" t="s">
        <v>27</v>
      </c>
      <c r="F143" s="2" t="s">
        <v>15</v>
      </c>
      <c r="G143" s="2" t="s">
        <v>502</v>
      </c>
      <c r="H143" s="2" t="s">
        <v>503</v>
      </c>
      <c r="I143" s="2" t="str">
        <f>IFERROR(__xludf.DUMMYFUNCTION("GOOGLETRANSLATE(C143,""fr"",""en"")"),"Hello,
I share the opinion filed by Djibo because I have just received my new deadline for 2021.
I note an increase of + 120 € ( + 33%) while my situation has not changed and no claim or other to declare.
I have been retired and I have been 50% bonus f"&amp;"or over 15 years. I called and I had a very cordial exchange with this advisor. She asked me if I could send him the estimate of the insurance company which offered me an identical price to them but from 2019, or € 362. A moment later, she reminded me and"&amp;" told me that she could not line up with the amount of the other company and she hinted at me that I had no more interesting profile for them . In conclusion at the olive tree I went from € 320 to € 486 from 2018 to 2020, an increase of +50% when we hear "&amp;"that companies should increase contributions by 2% maximum. CQFD.")</f>
        <v>Hello,
I share the opinion filed by Djibo because I have just received my new deadline for 2021.
I note an increase of + 120 € ( + 33%) while my situation has not changed and no claim or other to declare.
I have been retired and I have been 50% bonus for over 15 years. I called and I had a very cordial exchange with this advisor. She asked me if I could send him the estimate of the insurance company which offered me an identical price to them but from 2019, or € 362. A moment later, she reminded me and told me that she could not line up with the amount of the other company and she hinted at me that I had no more interesting profile for them . In conclusion at the olive tree I went from € 320 to € 486 from 2018 to 2020, an increase of +50% when we hear that companies should increase contributions by 2% maximum. CQFD.</v>
      </c>
    </row>
    <row r="144" ht="15.75" customHeight="1">
      <c r="A144" s="2">
        <v>1.0</v>
      </c>
      <c r="B144" s="2" t="s">
        <v>504</v>
      </c>
      <c r="C144" s="2" t="s">
        <v>505</v>
      </c>
      <c r="D144" s="2" t="s">
        <v>37</v>
      </c>
      <c r="E144" s="2" t="s">
        <v>27</v>
      </c>
      <c r="F144" s="2" t="s">
        <v>15</v>
      </c>
      <c r="G144" s="2" t="s">
        <v>506</v>
      </c>
      <c r="H144" s="2" t="s">
        <v>357</v>
      </c>
      <c r="I144" s="2" t="str">
        <f>IFERROR(__xludf.DUMMYFUNCTION("GOOGLETRANSLATE(C144,""fr"",""en"")"),"Hello
I declared a break of ice on December 5 and to date no answers
I sent several emails and made several calls to see 6 per day with anyone who answers me and finally last Monday I have an online advisor who tells me we will process your request with"&amp;"in 24 hours to 48 hours and Friday still nothing.
I decide to recall because my patience has limits and there I come across an advisor after 8 call attempts and I do not exaggerate who tells me madam we can do nothing at this hour but Monday without faul"&amp;"t Contact between 2 p.m. and 3 p.m.
We are Tuesday and of course still nothing
I have never seen such a deplorable service and above all no consideration
We filter your calls and especially we walk you
My refund is one of the
I understood their metho"&amp;"ds, he turns us in a brutal so that we get tired of
I will call 60 million consumer and do not recommend it to anyone around me and the best advice I can give you
Do not take direct insurance
Without forgetting that I canceled a disaster in October whi"&amp;"ch appears on my information statement because once again the processing time is extremely long and especially no one who manages my file
I am extremely disappointed")</f>
        <v>Hello
I declared a break of ice on December 5 and to date no answers
I sent several emails and made several calls to see 6 per day with anyone who answers me and finally last Monday I have an online advisor who tells me we will process your request within 24 hours to 48 hours and Friday still nothing.
I decide to recall because my patience has limits and there I come across an advisor after 8 call attempts and I do not exaggerate who tells me madam we can do nothing at this hour but Monday without fault Contact between 2 p.m. and 3 p.m.
We are Tuesday and of course still nothing
I have never seen such a deplorable service and above all no consideration
We filter your calls and especially we walk you
My refund is one of the
I understood their methods, he turns us in a brutal so that we get tired of
I will call 60 million consumer and do not recommend it to anyone around me and the best advice I can give you
Do not take direct insurance
Without forgetting that I canceled a disaster in October which appears on my information statement because once again the processing time is extremely long and especially no one who manages my file
I am extremely disappointed</v>
      </c>
    </row>
    <row r="145" ht="15.75" customHeight="1">
      <c r="A145" s="2">
        <v>1.0</v>
      </c>
      <c r="B145" s="2" t="s">
        <v>507</v>
      </c>
      <c r="C145" s="2" t="s">
        <v>508</v>
      </c>
      <c r="D145" s="2" t="s">
        <v>37</v>
      </c>
      <c r="E145" s="2" t="s">
        <v>27</v>
      </c>
      <c r="F145" s="2" t="s">
        <v>15</v>
      </c>
      <c r="G145" s="2" t="s">
        <v>509</v>
      </c>
      <c r="H145" s="2" t="s">
        <v>23</v>
      </c>
      <c r="I145" s="2" t="str">
        <f>IFERROR(__xludf.DUMMYFUNCTION("GOOGLETRANSLATE(C145,""fr"",""en"")"),"slowness to repay a claim
On the other hand to claim the deductible of 250.00 euros while the main schedule indicates 150.00 euros, you are very fast.")</f>
        <v>slowness to repay a claim
On the other hand to claim the deductible of 250.00 euros while the main schedule indicates 150.00 euros, you are very fast.</v>
      </c>
    </row>
    <row r="146" ht="15.75" customHeight="1">
      <c r="A146" s="2">
        <v>2.0</v>
      </c>
      <c r="B146" s="2" t="s">
        <v>510</v>
      </c>
      <c r="C146" s="2" t="s">
        <v>511</v>
      </c>
      <c r="D146" s="2" t="s">
        <v>37</v>
      </c>
      <c r="E146" s="2" t="s">
        <v>27</v>
      </c>
      <c r="F146" s="2" t="s">
        <v>15</v>
      </c>
      <c r="G146" s="2" t="s">
        <v>512</v>
      </c>
      <c r="H146" s="2" t="s">
        <v>188</v>
      </c>
      <c r="I146" s="2" t="str">
        <f>IFERROR(__xludf.DUMMYFUNCTION("GOOGLETRANSLATE(C146,""fr"",""en"")"),"I lack a little explanation on the proposed quote and options. Quote to compare with other insurance companies before final decision. Yours")</f>
        <v>I lack a little explanation on the proposed quote and options. Quote to compare with other insurance companies before final decision. Yours</v>
      </c>
    </row>
    <row r="147" ht="15.75" customHeight="1">
      <c r="A147" s="2">
        <v>1.0</v>
      </c>
      <c r="B147" s="2" t="s">
        <v>513</v>
      </c>
      <c r="C147" s="2" t="s">
        <v>514</v>
      </c>
      <c r="D147" s="2" t="s">
        <v>57</v>
      </c>
      <c r="E147" s="2" t="s">
        <v>27</v>
      </c>
      <c r="F147" s="2" t="s">
        <v>15</v>
      </c>
      <c r="G147" s="2" t="s">
        <v>515</v>
      </c>
      <c r="H147" s="2" t="s">
        <v>188</v>
      </c>
      <c r="I147" s="2" t="str">
        <f>IFERROR(__xludf.DUMMYFUNCTION("GOOGLETRANSLATE(C147,""fr"",""en"")"),"I was not informed that I was not assuring pande this year we were my manti keep the Courier that I was not received")</f>
        <v>I was not informed that I was not assuring pande this year we were my manti keep the Courier that I was not received</v>
      </c>
    </row>
    <row r="148" ht="15.75" customHeight="1">
      <c r="A148" s="2">
        <v>2.0</v>
      </c>
      <c r="B148" s="2" t="s">
        <v>516</v>
      </c>
      <c r="C148" s="2" t="s">
        <v>517</v>
      </c>
      <c r="D148" s="2" t="s">
        <v>518</v>
      </c>
      <c r="E148" s="2" t="s">
        <v>68</v>
      </c>
      <c r="F148" s="2" t="s">
        <v>15</v>
      </c>
      <c r="G148" s="2" t="s">
        <v>519</v>
      </c>
      <c r="H148" s="2" t="s">
        <v>80</v>
      </c>
      <c r="I148" s="2" t="str">
        <f>IFERROR(__xludf.DUMMYFUNCTION("GOOGLETRANSLATE(C148,""fr"",""en"")"),"Following termination by one of their partner who no longer makes 2 -wheel insurance, I have to sign a new online contract. Their password and identifier have never worked and they have never solved the problem. Finally, he asks me noted in information pr"&amp;"etending not to have them while all the statements that I have been able to have in the past are in their minds. Unable to find all the elements provided at the first subscription. We take a broker for the service he provides and not redo all the steps 2 "&amp;"times !!!")</f>
        <v>Following termination by one of their partner who no longer makes 2 -wheel insurance, I have to sign a new online contract. Their password and identifier have never worked and they have never solved the problem. Finally, he asks me noted in information pretending not to have them while all the statements that I have been able to have in the past are in their minds. Unable to find all the elements provided at the first subscription. We take a broker for the service he provides and not redo all the steps 2 times !!!</v>
      </c>
    </row>
    <row r="149" ht="15.75" customHeight="1">
      <c r="A149" s="2">
        <v>3.0</v>
      </c>
      <c r="B149" s="2" t="s">
        <v>520</v>
      </c>
      <c r="C149" s="2" t="s">
        <v>521</v>
      </c>
      <c r="D149" s="2" t="s">
        <v>37</v>
      </c>
      <c r="E149" s="2" t="s">
        <v>27</v>
      </c>
      <c r="F149" s="2" t="s">
        <v>15</v>
      </c>
      <c r="G149" s="2" t="s">
        <v>522</v>
      </c>
      <c r="H149" s="2" t="s">
        <v>523</v>
      </c>
      <c r="I149" s="2" t="str">
        <f>IFERROR(__xludf.DUMMYFUNCTION("GOOGLETRANSLATE(C149,""fr"",""en"")"),"Very satisfied")</f>
        <v>Very satisfied</v>
      </c>
    </row>
    <row r="150" ht="15.75" customHeight="1">
      <c r="A150" s="2">
        <v>3.0</v>
      </c>
      <c r="B150" s="2" t="s">
        <v>524</v>
      </c>
      <c r="C150" s="2" t="s">
        <v>525</v>
      </c>
      <c r="D150" s="2" t="s">
        <v>107</v>
      </c>
      <c r="E150" s="2" t="s">
        <v>21</v>
      </c>
      <c r="F150" s="2" t="s">
        <v>15</v>
      </c>
      <c r="G150" s="2" t="s">
        <v>526</v>
      </c>
      <c r="H150" s="2" t="s">
        <v>236</v>
      </c>
      <c r="I150" s="2" t="str">
        <f>IFERROR(__xludf.DUMMYFUNCTION("GOOGLETRANSLATE(C150,""fr"",""en"")"),"Favorable opinion on prices and management aaaaaaaaaaaaaaaaaaaaaaaaaaaaaaaaaaaaaaaaaaaaaaaaaaaaaaaaaaaaaaaaaaaaaaaaaaaaaaaaaaaaaaaaaaaaaaaaaaaaaaaaaaaaaaaaaaa")</f>
        <v>Favorable opinion on prices and management aaaaaaaaaaaaaaaaaaaaaaaaaaaaaaaaaaaaaaaaaaaaaaaaaaaaaaaaaaaaaaaaaaaaaaaaaaaaaaaaaaaaaaaaaaaaaaaaaaaaaaaaaaaaaaaaaaa</v>
      </c>
    </row>
    <row r="151" ht="15.75" customHeight="1">
      <c r="A151" s="2">
        <v>1.0</v>
      </c>
      <c r="B151" s="2" t="s">
        <v>527</v>
      </c>
      <c r="C151" s="2" t="s">
        <v>528</v>
      </c>
      <c r="D151" s="2" t="s">
        <v>13</v>
      </c>
      <c r="E151" s="2" t="s">
        <v>14</v>
      </c>
      <c r="F151" s="2" t="s">
        <v>15</v>
      </c>
      <c r="G151" s="2" t="s">
        <v>529</v>
      </c>
      <c r="H151" s="2" t="s">
        <v>523</v>
      </c>
      <c r="I151" s="2" t="str">
        <f>IFERROR(__xludf.DUMMYFUNCTION("GOOGLETRANSLATE(C151,""fr"",""en"")"),"Cardif continued to take the contributions after the balance of the loan, the mail has not reached us, Cardif did not care or the BnPparibas agency, impossible to be reimbursed the sums induced without any notice or proof or proof , nor mail everything is"&amp;" our fault, a little light, only 1 annual repayment contribution.")</f>
        <v>Cardif continued to take the contributions after the balance of the loan, the mail has not reached us, Cardif did not care or the BnPparibas agency, impossible to be reimbursed the sums induced without any notice or proof or proof , nor mail everything is our fault, a little light, only 1 annual repayment contribution.</v>
      </c>
    </row>
    <row r="152" ht="15.75" customHeight="1">
      <c r="A152" s="2">
        <v>2.0</v>
      </c>
      <c r="B152" s="2" t="s">
        <v>530</v>
      </c>
      <c r="C152" s="2" t="s">
        <v>531</v>
      </c>
      <c r="D152" s="2" t="s">
        <v>234</v>
      </c>
      <c r="E152" s="2" t="s">
        <v>21</v>
      </c>
      <c r="F152" s="2" t="s">
        <v>15</v>
      </c>
      <c r="G152" s="2" t="s">
        <v>532</v>
      </c>
      <c r="H152" s="2" t="s">
        <v>23</v>
      </c>
      <c r="I152" s="2" t="str">
        <f>IFERROR(__xludf.DUMMYFUNCTION("GOOGLETRANSLATE(C152,""fr"",""en"")"),"I note 5 on 5 manalpour her kindness
I note 5 out of 5 manal for her kindness and availability; she did the necessary research. I was very satisfied thank you to her. Michèle.
")</f>
        <v>I note 5 on 5 manalpour her kindness
I note 5 out of 5 manal for her kindness and availability; she did the necessary research. I was very satisfied thank you to her. Michèle.
</v>
      </c>
    </row>
    <row r="153" ht="15.75" customHeight="1">
      <c r="A153" s="2">
        <v>5.0</v>
      </c>
      <c r="B153" s="2" t="s">
        <v>533</v>
      </c>
      <c r="C153" s="2" t="s">
        <v>534</v>
      </c>
      <c r="D153" s="2" t="s">
        <v>37</v>
      </c>
      <c r="E153" s="2" t="s">
        <v>27</v>
      </c>
      <c r="F153" s="2" t="s">
        <v>15</v>
      </c>
      <c r="G153" s="2" t="s">
        <v>177</v>
      </c>
      <c r="H153" s="2" t="s">
        <v>112</v>
      </c>
      <c r="I153" s="2" t="str">
        <f>IFERROR(__xludf.DUMMYFUNCTION("GOOGLETRANSLATE(C153,""fr"",""en"")"),"I am very satisfied with Direct Insurance, very good insurance, very good price; Good value for money, very attractive price. Thank you again, well done")</f>
        <v>I am very satisfied with Direct Insurance, very good insurance, very good price; Good value for money, very attractive price. Thank you again, well done</v>
      </c>
    </row>
    <row r="154" ht="15.75" customHeight="1">
      <c r="A154" s="2">
        <v>2.0</v>
      </c>
      <c r="B154" s="2" t="s">
        <v>535</v>
      </c>
      <c r="C154" s="2" t="s">
        <v>536</v>
      </c>
      <c r="D154" s="2" t="s">
        <v>368</v>
      </c>
      <c r="E154" s="2" t="s">
        <v>68</v>
      </c>
      <c r="F154" s="2" t="s">
        <v>15</v>
      </c>
      <c r="G154" s="2" t="s">
        <v>537</v>
      </c>
      <c r="H154" s="2" t="s">
        <v>427</v>
      </c>
      <c r="I154" s="2" t="str">
        <f>IFERROR(__xludf.DUMMYFUNCTION("GOOGLETRANSLATE(C154,""fr"",""en"")"),"Hello I subscribed to motorcycle insurance at AMV on 04/10/2017. After several telephone calls and the repetitive sending of the same documents by email, on 25/04 an advisor called me to tell me that they have all the necessary documents and the file is v"&amp;"ery complete and I will soon receive my contract and the green card. Today I receive an email ""To date, we have not received all or part of the parts necessary to
the registration of your ""MDR MDR contract")</f>
        <v>Hello I subscribed to motorcycle insurance at AMV on 04/10/2017. After several telephone calls and the repetitive sending of the same documents by email, on 25/04 an advisor called me to tell me that they have all the necessary documents and the file is very complete and I will soon receive my contract and the green card. Today I receive an email "To date, we have not received all or part of the parts necessary to
the registration of your "MDR MDR contract</v>
      </c>
    </row>
    <row r="155" ht="15.75" customHeight="1">
      <c r="A155" s="2">
        <v>4.0</v>
      </c>
      <c r="B155" s="2" t="s">
        <v>538</v>
      </c>
      <c r="C155" s="2" t="s">
        <v>539</v>
      </c>
      <c r="D155" s="2" t="s">
        <v>37</v>
      </c>
      <c r="E155" s="2" t="s">
        <v>27</v>
      </c>
      <c r="F155" s="2" t="s">
        <v>15</v>
      </c>
      <c r="G155" s="2" t="s">
        <v>191</v>
      </c>
      <c r="H155" s="2" t="s">
        <v>23</v>
      </c>
      <c r="I155" s="2" t="str">
        <f>IFERROR(__xludf.DUMMYFUNCTION("GOOGLETRANSLATE(C155,""fr"",""en"")"),"I am satisfied with the service The answers are clear, the telephonnic expectation is not long the prices are affordable and the advisers are listening")</f>
        <v>I am satisfied with the service The answers are clear, the telephonnic expectation is not long the prices are affordable and the advisers are listening</v>
      </c>
    </row>
    <row r="156" ht="15.75" customHeight="1">
      <c r="A156" s="2">
        <v>3.0</v>
      </c>
      <c r="B156" s="2" t="s">
        <v>540</v>
      </c>
      <c r="C156" s="2" t="s">
        <v>541</v>
      </c>
      <c r="D156" s="2" t="s">
        <v>448</v>
      </c>
      <c r="E156" s="2" t="s">
        <v>27</v>
      </c>
      <c r="F156" s="2" t="s">
        <v>15</v>
      </c>
      <c r="G156" s="2" t="s">
        <v>242</v>
      </c>
      <c r="H156" s="2" t="s">
        <v>228</v>
      </c>
      <c r="I156" s="2" t="str">
        <f>IFERROR(__xludf.DUMMYFUNCTION("GOOGLETRANSLATE(C156,""fr"",""en"")"),"More than 20 years of good and loyal service alongside Maaf and an accident (alone) responsible in 2019 and 1 broken ice in 2020 and well today I am announced that next year they no longer want to ensure my vehicle. ... Yet 2 vehicle, motorcycle, house, a"&amp;"ccident of life ..... in short, several contracts with them ........ they gave themselves for more than 20 years of subscription, 1 accident and aptor. ...... to understand nothing anymore .....")</f>
        <v>More than 20 years of good and loyal service alongside Maaf and an accident (alone) responsible in 2019 and 1 broken ice in 2020 and well today I am announced that next year they no longer want to ensure my vehicle. ... Yet 2 vehicle, motorcycle, house, accident of life ..... in short, several contracts with them ........ they gave themselves for more than 20 years of subscription, 1 accident and aptor. ...... to understand nothing anymore .....</v>
      </c>
    </row>
    <row r="157" ht="15.75" customHeight="1">
      <c r="A157" s="2">
        <v>2.0</v>
      </c>
      <c r="B157" s="2" t="s">
        <v>542</v>
      </c>
      <c r="C157" s="2" t="s">
        <v>543</v>
      </c>
      <c r="D157" s="2" t="s">
        <v>37</v>
      </c>
      <c r="E157" s="2" t="s">
        <v>43</v>
      </c>
      <c r="F157" s="2" t="s">
        <v>15</v>
      </c>
      <c r="G157" s="2" t="s">
        <v>544</v>
      </c>
      <c r="H157" s="2" t="s">
        <v>310</v>
      </c>
      <c r="I157" s="2" t="str">
        <f>IFERROR(__xludf.DUMMYFUNCTION("GOOGLETRANSLATE(C157,""fr"",""en"")"),"Registration is fast, without really problem on the internet.
I did not have an incident, at the same time I did not need to use their service.
On the other hand, as soon as it is necessary to terminate, they invent any legal pretext to shift the da"&amp;"te of termination and by the same scratch a few more days of contract. Being a lawyer, they had a hard time contradicting me and therefore went into force since it is they who have their hands.
In short, I did not fight for a few euros but it is a dirt"&amp;"y spirit which if there had been an incident could have cost me a lot of money.")</f>
        <v>Registration is fast, without really problem on the internet.
I did not have an incident, at the same time I did not need to use their service.
On the other hand, as soon as it is necessary to terminate, they invent any legal pretext to shift the date of termination and by the same scratch a few more days of contract. Being a lawyer, they had a hard time contradicting me and therefore went into force since it is they who have their hands.
In short, I did not fight for a few euros but it is a dirty spirit which if there had been an incident could have cost me a lot of money.</v>
      </c>
    </row>
    <row r="158" ht="15.75" customHeight="1">
      <c r="A158" s="2">
        <v>5.0</v>
      </c>
      <c r="B158" s="2" t="s">
        <v>545</v>
      </c>
      <c r="C158" s="2" t="s">
        <v>546</v>
      </c>
      <c r="D158" s="2" t="s">
        <v>26</v>
      </c>
      <c r="E158" s="2" t="s">
        <v>27</v>
      </c>
      <c r="F158" s="2" t="s">
        <v>15</v>
      </c>
      <c r="G158" s="2" t="s">
        <v>547</v>
      </c>
      <c r="H158" s="2" t="s">
        <v>88</v>
      </c>
      <c r="I158" s="2" t="str">
        <f>IFERROR(__xludf.DUMMYFUNCTION("GOOGLETRANSLATE(C158,""fr"",""en"")"),"Satisfied with the insurance but very disappointed not to have been able to recover my advantages after only 1 SEM between two contracts, I would have liked a little more recognition to redo a contract with you")</f>
        <v>Satisfied with the insurance but very disappointed not to have been able to recover my advantages after only 1 SEM between two contracts, I would have liked a little more recognition to redo a contract with you</v>
      </c>
    </row>
    <row r="159" ht="15.75" customHeight="1">
      <c r="A159" s="2">
        <v>3.0</v>
      </c>
      <c r="B159" s="2" t="s">
        <v>548</v>
      </c>
      <c r="C159" s="2" t="s">
        <v>549</v>
      </c>
      <c r="D159" s="2" t="s">
        <v>37</v>
      </c>
      <c r="E159" s="2" t="s">
        <v>27</v>
      </c>
      <c r="F159" s="2" t="s">
        <v>15</v>
      </c>
      <c r="G159" s="2" t="s">
        <v>550</v>
      </c>
      <c r="H159" s="2" t="s">
        <v>80</v>
      </c>
      <c r="I159" s="2" t="str">
        <f>IFERROR(__xludf.DUMMYFUNCTION("GOOGLETRANSLATE(C159,""fr"",""en"")"),"The Multidays promo code does not work !!!
Please remember to activate the promo code knowing that I am already a client at home for home insurance.")</f>
        <v>The Multidays promo code does not work !!!
Please remember to activate the promo code knowing that I am already a client at home for home insurance.</v>
      </c>
    </row>
    <row r="160" ht="15.75" customHeight="1">
      <c r="A160" s="2">
        <v>1.0</v>
      </c>
      <c r="B160" s="2" t="s">
        <v>551</v>
      </c>
      <c r="C160" s="2" t="s">
        <v>552</v>
      </c>
      <c r="D160" s="2" t="s">
        <v>245</v>
      </c>
      <c r="E160" s="2" t="s">
        <v>21</v>
      </c>
      <c r="F160" s="2" t="s">
        <v>15</v>
      </c>
      <c r="G160" s="2" t="s">
        <v>553</v>
      </c>
      <c r="H160" s="2" t="s">
        <v>554</v>
      </c>
      <c r="I160" s="2" t="str">
        <f>IFERROR(__xludf.DUMMYFUNCTION("GOOGLETRANSLATE(C160,""fr"",""en"")"),"What to say to flee for business leaders today I had to have a
attorney
They make a mistake is left you more than 1 month without new and without mutual is a shame I knew AG2R it was at the top but then never for my employees and me")</f>
        <v>What to say to flee for business leaders today I had to have a
attorney
They make a mistake is left you more than 1 month without new and without mutual is a shame I knew AG2R it was at the top but then never for my employees and me</v>
      </c>
    </row>
    <row r="161" ht="15.75" customHeight="1">
      <c r="A161" s="2">
        <v>1.0</v>
      </c>
      <c r="B161" s="2" t="s">
        <v>555</v>
      </c>
      <c r="C161" s="2" t="s">
        <v>556</v>
      </c>
      <c r="D161" s="2" t="s">
        <v>217</v>
      </c>
      <c r="E161" s="2" t="s">
        <v>27</v>
      </c>
      <c r="F161" s="2" t="s">
        <v>15</v>
      </c>
      <c r="G161" s="2" t="s">
        <v>557</v>
      </c>
      <c r="H161" s="2" t="s">
        <v>554</v>
      </c>
      <c r="I161" s="2" t="str">
        <f>IFERROR(__xludf.DUMMYFUNCTION("GOOGLETRANSLATE(C161,""fr"",""en"")"),"I have been a customer at the Macif for more than 20 years without any disaster incumbent upon me, the Macif Millau is my only insurer, I have just been destroyed my car by a driver, having subscribed a ""increased value"" contract I am serene, But in fac"&amp;"t I am not entitled to anything this contract is wind, they are the champions of exclusion, you should have more 40% but you are entitled to nothing in Millau ... than beautiful words
")</f>
        <v>I have been a customer at the Macif for more than 20 years without any disaster incumbent upon me, the Macif Millau is my only insurer, I have just been destroyed my car by a driver, having subscribed a "increased value" contract I am serene, But in fact I am not entitled to anything this contract is wind, they are the champions of exclusion, you should have more 40% but you are entitled to nothing in Millau ... than beautiful words
</v>
      </c>
    </row>
    <row r="162" ht="15.75" customHeight="1">
      <c r="A162" s="2">
        <v>1.0</v>
      </c>
      <c r="B162" s="2" t="s">
        <v>558</v>
      </c>
      <c r="C162" s="2" t="s">
        <v>559</v>
      </c>
      <c r="D162" s="2" t="s">
        <v>26</v>
      </c>
      <c r="E162" s="2" t="s">
        <v>27</v>
      </c>
      <c r="F162" s="2" t="s">
        <v>15</v>
      </c>
      <c r="G162" s="2" t="s">
        <v>560</v>
      </c>
      <c r="H162" s="2" t="s">
        <v>336</v>
      </c>
      <c r="I162" s="2" t="str">
        <f>IFERROR(__xludf.DUMMYFUNCTION("GOOGLETRANSLATE(C162,""fr"",""en"")"),"It is not insurance but a smoke screen.
Insured all risks, I had a non -responsible accident there are 3 months ago, the file is still in progress. Immobilized vehicle 2 months. And deductible to pay and not reimbursed despite that I am not wrong.
When "&amp;"we call them we have a different interlocutor each time and no one has the same version.")</f>
        <v>It is not insurance but a smoke screen.
Insured all risks, I had a non -responsible accident there are 3 months ago, the file is still in progress. Immobilized vehicle 2 months. And deductible to pay and not reimbursed despite that I am not wrong.
When we call them we have a different interlocutor each time and no one has the same version.</v>
      </c>
    </row>
    <row r="163" ht="15.75" customHeight="1">
      <c r="A163" s="2">
        <v>1.0</v>
      </c>
      <c r="B163" s="2" t="s">
        <v>561</v>
      </c>
      <c r="C163" s="2" t="s">
        <v>562</v>
      </c>
      <c r="D163" s="2" t="s">
        <v>355</v>
      </c>
      <c r="E163" s="2" t="s">
        <v>43</v>
      </c>
      <c r="F163" s="2" t="s">
        <v>15</v>
      </c>
      <c r="G163" s="2" t="s">
        <v>563</v>
      </c>
      <c r="H163" s="2" t="s">
        <v>96</v>
      </c>
      <c r="I163" s="2" t="str">
        <f>IFERROR(__xludf.DUMMYFUNCTION("GOOGLETRANSLATE(C163,""fr"",""en"")"),"Insured for everything at Axa, despite this I was the victim of a natural disaster having ravaged my whole apartment, no customer service, the experts can not be reachable and come to do their job 6 months and necessarily do not reimburse because all the "&amp;"renovations have been made, overpriced deductible, no commercial gesture, the people I had on the phone all contradict each other and make us wait for nothing. To run away absolutely")</f>
        <v>Insured for everything at Axa, despite this I was the victim of a natural disaster having ravaged my whole apartment, no customer service, the experts can not be reachable and come to do their job 6 months and necessarily do not reimburse because all the renovations have been made, overpriced deductible, no commercial gesture, the people I had on the phone all contradict each other and make us wait for nothing. To run away absolutely</v>
      </c>
    </row>
    <row r="164" ht="15.75" customHeight="1">
      <c r="A164" s="2">
        <v>1.0</v>
      </c>
      <c r="B164" s="2" t="s">
        <v>564</v>
      </c>
      <c r="C164" s="2" t="s">
        <v>565</v>
      </c>
      <c r="D164" s="2" t="s">
        <v>20</v>
      </c>
      <c r="E164" s="2" t="s">
        <v>21</v>
      </c>
      <c r="F164" s="2" t="s">
        <v>15</v>
      </c>
      <c r="G164" s="2" t="s">
        <v>566</v>
      </c>
      <c r="H164" s="2" t="s">
        <v>174</v>
      </c>
      <c r="I164" s="2" t="str">
        <f>IFERROR(__xludf.DUMMYFUNCTION("GOOGLETRANSLATE(C164,""fr"",""en"")"),"A very high level of incompetence! Transfer on the wrong account for several months while the right account is recorded on their site, reimbursements not made, unanswered emails ....")</f>
        <v>A very high level of incompetence! Transfer on the wrong account for several months while the right account is recorded on their site, reimbursements not made, unanswered emails ....</v>
      </c>
    </row>
    <row r="165" ht="15.75" customHeight="1">
      <c r="A165" s="2">
        <v>1.0</v>
      </c>
      <c r="B165" s="2" t="s">
        <v>567</v>
      </c>
      <c r="C165" s="2" t="s">
        <v>568</v>
      </c>
      <c r="D165" s="2" t="s">
        <v>234</v>
      </c>
      <c r="E165" s="2" t="s">
        <v>21</v>
      </c>
      <c r="F165" s="2" t="s">
        <v>15</v>
      </c>
      <c r="G165" s="2" t="s">
        <v>569</v>
      </c>
      <c r="H165" s="2" t="s">
        <v>101</v>
      </c>
      <c r="I165" s="2" t="str">
        <f>IFERROR(__xludf.DUMMYFUNCTION("GOOGLETRANSLATE(C165,""fr"",""en"")"),"Hello
Very good mutual for samples, giving them my new address, new
Experience 10 minutes later. On the other hand reimbursements, what can I say, I ask for a dental refund since the end of June 2020, I sent XX emails, mid September still nothing, and b"&amp;"y phone; either no one picks up, or we put you on hold for hours !!!. So I am looking for a new mutual, because I am not only a money pump.")</f>
        <v>Hello
Very good mutual for samples, giving them my new address, new
Experience 10 minutes later. On the other hand reimbursements, what can I say, I ask for a dental refund since the end of June 2020, I sent XX emails, mid September still nothing, and by phone; either no one picks up, or we put you on hold for hours !!!. So I am looking for a new mutual, because I am not only a money pump.</v>
      </c>
    </row>
    <row r="166" ht="15.75" customHeight="1">
      <c r="A166" s="2">
        <v>4.0</v>
      </c>
      <c r="B166" s="2" t="s">
        <v>570</v>
      </c>
      <c r="C166" s="2" t="s">
        <v>571</v>
      </c>
      <c r="D166" s="2" t="s">
        <v>300</v>
      </c>
      <c r="E166" s="2" t="s">
        <v>27</v>
      </c>
      <c r="F166" s="2" t="s">
        <v>15</v>
      </c>
      <c r="G166" s="2" t="s">
        <v>572</v>
      </c>
      <c r="H166" s="2" t="s">
        <v>62</v>
      </c>
      <c r="I166" s="2" t="str">
        <f>IFERROR(__xludf.DUMMYFUNCTION("GOOGLETRANSLATE(C166,""fr"",""en"")"),"
I am disappointed, because in the endorsement 05/07/2021 The new premium from 07/23/2021 had to be 157.72 €, this was what had been announced on the phone.")</f>
        <v>
I am disappointed, because in the endorsement 05/07/2021 The new premium from 07/23/2021 had to be 157.72 €, this was what had been announced on the phone.</v>
      </c>
    </row>
    <row r="167" ht="15.75" customHeight="1">
      <c r="A167" s="2">
        <v>1.0</v>
      </c>
      <c r="B167" s="2" t="s">
        <v>573</v>
      </c>
      <c r="C167" s="2" t="s">
        <v>574</v>
      </c>
      <c r="D167" s="2" t="s">
        <v>437</v>
      </c>
      <c r="E167" s="2" t="s">
        <v>43</v>
      </c>
      <c r="F167" s="2" t="s">
        <v>15</v>
      </c>
      <c r="G167" s="2" t="s">
        <v>575</v>
      </c>
      <c r="H167" s="2" t="s">
        <v>121</v>
      </c>
      <c r="I167" s="2" t="str">
        <f>IFERROR(__xludf.DUMMYFUNCTION("GOOGLETRANSLATE(C167,""fr"",""en"")"),"This insurance is a scandal!
Do not take it. During our credit, tips for a 16th century house. We were made to take an insurance with great additional options in the event of victims. We did not want because have a very good proximity insurer. They convi"&amp;"nced us ... especially since the credit depended on them.
We had to be immediately relocated. Result: we have been in a cellar for almost 3 months, with our son. They refuse to undertake us, first pretending to have a lack of maintenance, (we bought a ye"&amp;"ar ago and did work), and now, at the complaint stadium, they answer us that the work should not be of quality seen The price that does not suit them (!?!?!?), And that we have done too much maintenance !!! In fact he ms change the patterns at their conve"&amp;"nience! And we just discovered that the expert report they sent us ... is not the same as that they have !!!! Ditto for the photos !!!! It is criminally reprehensible !!!! we will warn all the instances and media, let's go to sleep in front of the agency."&amp;" A shame, and inhuman in addition !!!!")</f>
        <v>This insurance is a scandal!
Do not take it. During our credit, tips for a 16th century house. We were made to take an insurance with great additional options in the event of victims. We did not want because have a very good proximity insurer. They convinced us ... especially since the credit depended on them.
We had to be immediately relocated. Result: we have been in a cellar for almost 3 months, with our son. They refuse to undertake us, first pretending to have a lack of maintenance, (we bought a year ago and did work), and now, at the complaint stadium, they answer us that the work should not be of quality seen The price that does not suit them (!?!?!?), And that we have done too much maintenance !!! In fact he ms change the patterns at their convenience! And we just discovered that the expert report they sent us ... is not the same as that they have !!!! Ditto for the photos !!!! It is criminally reprehensible !!!! we will warn all the instances and media, let's go to sleep in front of the agency. A shame, and inhuman in addition !!!!</v>
      </c>
    </row>
    <row r="168" ht="15.75" customHeight="1">
      <c r="A168" s="2">
        <v>5.0</v>
      </c>
      <c r="B168" s="2" t="s">
        <v>576</v>
      </c>
      <c r="C168" s="2" t="s">
        <v>577</v>
      </c>
      <c r="D168" s="2" t="s">
        <v>37</v>
      </c>
      <c r="E168" s="2" t="s">
        <v>27</v>
      </c>
      <c r="F168" s="2" t="s">
        <v>15</v>
      </c>
      <c r="G168" s="2" t="s">
        <v>434</v>
      </c>
      <c r="H168" s="2" t="s">
        <v>112</v>
      </c>
      <c r="I168" s="2" t="str">
        <f>IFERROR(__xludf.DUMMYFUNCTION("GOOGLETRANSLATE(C168,""fr"",""en"")"),"Super attractive price and very easy to subscribe online on the Direct Assurances site.
In addition, they take care of termination with my current insurance, top.")</f>
        <v>Super attractive price and very easy to subscribe online on the Direct Assurances site.
In addition, they take care of termination with my current insurance, top.</v>
      </c>
    </row>
    <row r="169" ht="15.75" customHeight="1">
      <c r="A169" s="2">
        <v>2.0</v>
      </c>
      <c r="B169" s="2" t="s">
        <v>578</v>
      </c>
      <c r="C169" s="2" t="s">
        <v>579</v>
      </c>
      <c r="D169" s="2" t="s">
        <v>37</v>
      </c>
      <c r="E169" s="2" t="s">
        <v>27</v>
      </c>
      <c r="F169" s="2" t="s">
        <v>15</v>
      </c>
      <c r="G169" s="2" t="s">
        <v>265</v>
      </c>
      <c r="H169" s="2" t="s">
        <v>188</v>
      </c>
      <c r="I169" s="2" t="str">
        <f>IFERROR(__xludf.DUMMYFUNCTION("GOOGLETRANSLATE(C169,""fr"",""en"")"),"Hello,
Insure for 1 year I saw my subscription increase by € 5 per month no claim contact by phone I am told that we pay for bad rollers.
")</f>
        <v>Hello,
Insure for 1 year I saw my subscription increase by € 5 per month no claim contact by phone I am told that we pay for bad rollers.
</v>
      </c>
    </row>
    <row r="170" ht="15.75" customHeight="1">
      <c r="A170" s="2">
        <v>4.0</v>
      </c>
      <c r="B170" s="2" t="s">
        <v>580</v>
      </c>
      <c r="C170" s="2" t="s">
        <v>581</v>
      </c>
      <c r="D170" s="2" t="s">
        <v>37</v>
      </c>
      <c r="E170" s="2" t="s">
        <v>27</v>
      </c>
      <c r="F170" s="2" t="s">
        <v>15</v>
      </c>
      <c r="G170" s="2" t="s">
        <v>582</v>
      </c>
      <c r="H170" s="2" t="s">
        <v>88</v>
      </c>
      <c r="I170" s="2" t="str">
        <f>IFERROR(__xludf.DUMMYFUNCTION("GOOGLETRANSLATE(C170,""fr"",""en"")"),"Satisfied with the service, easy to access on the other hand I do not know if this is possible but it arises a service which takes care of recovering from the former insurer the information statement of main driver to further facilitate the procedures")</f>
        <v>Satisfied with the service, easy to access on the other hand I do not know if this is possible but it arises a service which takes care of recovering from the former insurer the information statement of main driver to further facilitate the procedures</v>
      </c>
    </row>
    <row r="171" ht="15.75" customHeight="1">
      <c r="A171" s="2">
        <v>5.0</v>
      </c>
      <c r="B171" s="2" t="s">
        <v>583</v>
      </c>
      <c r="C171" s="2" t="s">
        <v>584</v>
      </c>
      <c r="D171" s="2" t="s">
        <v>37</v>
      </c>
      <c r="E171" s="2" t="s">
        <v>27</v>
      </c>
      <c r="F171" s="2" t="s">
        <v>15</v>
      </c>
      <c r="G171" s="2" t="s">
        <v>585</v>
      </c>
      <c r="H171" s="2" t="s">
        <v>88</v>
      </c>
      <c r="I171" s="2" t="str">
        <f>IFERROR(__xludf.DUMMYFUNCTION("GOOGLETRANSLATE(C171,""fr"",""en"")"),"I am very satisfied, the price suits me. The offering options suit me perfectly. I will insure my vehicles at home as soon as it is. I will talk about your insurance around me. Thank you")</f>
        <v>I am very satisfied, the price suits me. The offering options suit me perfectly. I will insure my vehicles at home as soon as it is. I will talk about your insurance around me. Thank you</v>
      </c>
    </row>
    <row r="172" ht="15.75" customHeight="1">
      <c r="A172" s="2">
        <v>3.0</v>
      </c>
      <c r="B172" s="2" t="s">
        <v>586</v>
      </c>
      <c r="C172" s="2" t="s">
        <v>587</v>
      </c>
      <c r="D172" s="2" t="s">
        <v>245</v>
      </c>
      <c r="E172" s="2" t="s">
        <v>120</v>
      </c>
      <c r="F172" s="2" t="s">
        <v>15</v>
      </c>
      <c r="G172" s="2" t="s">
        <v>588</v>
      </c>
      <c r="H172" s="2" t="s">
        <v>206</v>
      </c>
      <c r="I172" s="2" t="str">
        <f>IFERROR(__xludf.DUMMYFUNCTION("GOOGLETRANSLATE(C172,""fr"",""en"")"),"Hello me I write for my mother we are from Guyana I do not understand why it is the employer who receives mail and email when he documents to be provided outside my mother is retired already that the employer has been late to do the procedures .... I sent"&amp;" you the tax file plus the address to mom plus I phoned with a lady I gave my laptop number and email address and still nothing is this normal")</f>
        <v>Hello me I write for my mother we are from Guyana I do not understand why it is the employer who receives mail and email when he documents to be provided outside my mother is retired already that the employer has been late to do the procedures .... I sent you the tax file plus the address to mom plus I phoned with a lady I gave my laptop number and email address and still nothing is this normal</v>
      </c>
    </row>
    <row r="173" ht="15.75" customHeight="1">
      <c r="A173" s="2">
        <v>1.0</v>
      </c>
      <c r="B173" s="2" t="s">
        <v>589</v>
      </c>
      <c r="C173" s="2" t="s">
        <v>590</v>
      </c>
      <c r="D173" s="2" t="s">
        <v>37</v>
      </c>
      <c r="E173" s="2" t="s">
        <v>27</v>
      </c>
      <c r="F173" s="2" t="s">
        <v>15</v>
      </c>
      <c r="G173" s="2" t="s">
        <v>591</v>
      </c>
      <c r="H173" s="2" t="s">
        <v>592</v>
      </c>
      <c r="I173" s="2" t="str">
        <f>IFERROR(__xludf.DUMMYFUNCTION("GOOGLETRANSLATE(C173,""fr"",""en"")"),"I regret the day I insured myself on the Direct Assurance site. As long as you do not have an accident, you will have news of them once a year, they will use your account, in exchange for a green card. If you have the misfortune to want to take their news"&amp;", you will regret, like me ... AXA should be ashamed to have such a subsidiary ... Flee and quickly !!")</f>
        <v>I regret the day I insured myself on the Direct Assurance site. As long as you do not have an accident, you will have news of them once a year, they will use your account, in exchange for a green card. If you have the misfortune to want to take their news, you will regret, like me ... AXA should be ashamed to have such a subsidiary ... Flee and quickly !!</v>
      </c>
    </row>
    <row r="174" ht="15.75" customHeight="1">
      <c r="A174" s="2">
        <v>2.0</v>
      </c>
      <c r="B174" s="2" t="s">
        <v>593</v>
      </c>
      <c r="C174" s="2" t="s">
        <v>594</v>
      </c>
      <c r="D174" s="2" t="s">
        <v>490</v>
      </c>
      <c r="E174" s="2" t="s">
        <v>43</v>
      </c>
      <c r="F174" s="2" t="s">
        <v>15</v>
      </c>
      <c r="G174" s="2" t="s">
        <v>595</v>
      </c>
      <c r="H174" s="2" t="s">
        <v>596</v>
      </c>
      <c r="I174" s="2" t="str">
        <f>IFERROR(__xludf.DUMMYFUNCTION("GOOGLETRANSLATE(C174,""fr"",""en"")"),"Customer for twenty years for the home and all my vehicles. Everything was going well as long as there was no claim. Unfortunately fires damaged my second home in Corsica on January 04, 2018 in Chiatra Di Verde. For 2 years I have been fighting with mail "&amp;"and message to be compensated and finally be able to start work for the protection of my home. Nothing was done . There is always a document missing. In August 2019, only the mason's estimate was missing for repairs. They received it at the end of August."&amp;" Nothing has moved and my house continues to take the water by the roof and deteriorate. I sent a recommended in December 2019 asking to pay me the corresponding sum of my thousandths. Nothing. Pas of answers. I even doubled my mail by the access portal a"&amp;"nd make a copy to the complaint service which highlight the quality service. Nothing neither . I called again this morning. The person in charge is not there and one of his colleagues took the message. I continue to pay for my credit, my insurance, my tax"&amp;"es for a house that I cannot use from the disaster. I am a customer of the Sorgues agency 84700. No need to tell me to click on a section or another. The file is well known there and they are sorry but can do nothing. I will now use social networks and me"&amp;"dia to show the responsiveness of this insurance.")</f>
        <v>Customer for twenty years for the home and all my vehicles. Everything was going well as long as there was no claim. Unfortunately fires damaged my second home in Corsica on January 04, 2018 in Chiatra Di Verde. For 2 years I have been fighting with mail and message to be compensated and finally be able to start work for the protection of my home. Nothing was done . There is always a document missing. In August 2019, only the mason's estimate was missing for repairs. They received it at the end of August. Nothing has moved and my house continues to take the water by the roof and deteriorate. I sent a recommended in December 2019 asking to pay me the corresponding sum of my thousandths. Nothing. Pas of answers. I even doubled my mail by the access portal and make a copy to the complaint service which highlight the quality service. Nothing neither . I called again this morning. The person in charge is not there and one of his colleagues took the message. I continue to pay for my credit, my insurance, my taxes for a house that I cannot use from the disaster. I am a customer of the Sorgues agency 84700. No need to tell me to click on a section or another. The file is well known there and they are sorry but can do nothing. I will now use social networks and media to show the responsiveness of this insurance.</v>
      </c>
    </row>
    <row r="175" ht="15.75" customHeight="1">
      <c r="A175" s="2">
        <v>1.0</v>
      </c>
      <c r="B175" s="2" t="s">
        <v>597</v>
      </c>
      <c r="C175" s="2" t="s">
        <v>598</v>
      </c>
      <c r="D175" s="2" t="s">
        <v>599</v>
      </c>
      <c r="E175" s="2" t="s">
        <v>168</v>
      </c>
      <c r="F175" s="2" t="s">
        <v>15</v>
      </c>
      <c r="G175" s="2" t="s">
        <v>600</v>
      </c>
      <c r="H175" s="2" t="s">
        <v>34</v>
      </c>
      <c r="I175" s="2" t="str">
        <f>IFERROR(__xludf.DUMMYFUNCTION("GOOGLETRANSLATE(C175,""fr"",""en"")"),"Dear insurance, you have to cry your reimbursements as if by chance they do not receive the care sheets I must constantly photocopy re -specify ""my dog's eyes disease, etc. , good, big bazard")</f>
        <v>Dear insurance, you have to cry your reimbursements as if by chance they do not receive the care sheets I must constantly photocopy re -specify "my dog's eyes disease, etc. , good, big bazard</v>
      </c>
    </row>
    <row r="176" ht="15.75" customHeight="1">
      <c r="A176" s="2">
        <v>5.0</v>
      </c>
      <c r="B176" s="2" t="s">
        <v>601</v>
      </c>
      <c r="C176" s="2" t="s">
        <v>602</v>
      </c>
      <c r="D176" s="2" t="s">
        <v>26</v>
      </c>
      <c r="E176" s="2" t="s">
        <v>27</v>
      </c>
      <c r="F176" s="2" t="s">
        <v>15</v>
      </c>
      <c r="G176" s="2" t="s">
        <v>603</v>
      </c>
      <c r="H176" s="2" t="s">
        <v>497</v>
      </c>
      <c r="I176" s="2" t="str">
        <f>IFERROR(__xludf.DUMMYFUNCTION("GOOGLETRANSLATE(C176,""fr"",""en"")"),"Delighted with my fast internet subscription at a very attractive price")</f>
        <v>Delighted with my fast internet subscription at a very attractive price</v>
      </c>
    </row>
    <row r="177" ht="15.75" customHeight="1">
      <c r="A177" s="2">
        <v>4.0</v>
      </c>
      <c r="B177" s="2" t="s">
        <v>604</v>
      </c>
      <c r="C177" s="2" t="s">
        <v>605</v>
      </c>
      <c r="D177" s="2" t="s">
        <v>26</v>
      </c>
      <c r="E177" s="2" t="s">
        <v>27</v>
      </c>
      <c r="F177" s="2" t="s">
        <v>15</v>
      </c>
      <c r="G177" s="2" t="s">
        <v>606</v>
      </c>
      <c r="H177" s="2" t="s">
        <v>141</v>
      </c>
      <c r="I177" s="2" t="str">
        <f>IFERROR(__xludf.DUMMYFUNCTION("GOOGLETRANSLATE(C177,""fr"",""en"")"),"For auto insurance the price and top for home insurance to review I recommend customer service is fast simple efficient the top.")</f>
        <v>For auto insurance the price and top for home insurance to review I recommend customer service is fast simple efficient the top.</v>
      </c>
    </row>
    <row r="178" ht="15.75" customHeight="1">
      <c r="A178" s="2">
        <v>3.0</v>
      </c>
      <c r="B178" s="2" t="s">
        <v>607</v>
      </c>
      <c r="C178" s="2" t="s">
        <v>608</v>
      </c>
      <c r="D178" s="2" t="s">
        <v>264</v>
      </c>
      <c r="E178" s="2" t="s">
        <v>27</v>
      </c>
      <c r="F178" s="2" t="s">
        <v>15</v>
      </c>
      <c r="G178" s="2" t="s">
        <v>609</v>
      </c>
      <c r="H178" s="2" t="s">
        <v>310</v>
      </c>
      <c r="I178" s="2" t="str">
        <f>IFERROR(__xludf.DUMMYFUNCTION("GOOGLETRANSLATE(C178,""fr"",""en"")"),"170 € / year, difficult to beat.
The problem is + late: when you need the services of an insurer: in the best of cases, it's long, very long; slow, very slow.
As part of a claim in which I had 0/100 of responsibility, it took 3 months to ask for the"&amp;" service of an expert, very good expertise elsewhere, &amp; a little + 2 months for obtain payment of the sum obtained from the insurance of the opposing party (MAIF).
Remains dependent, in my case: € 555 (towing + night hours + hours holidays 8/5/2020).")</f>
        <v>170 € / year, difficult to beat.
The problem is + late: when you need the services of an insurer: in the best of cases, it's long, very long; slow, very slow.
As part of a claim in which I had 0/100 of responsibility, it took 3 months to ask for the service of an expert, very good expertise elsewhere, &amp; a little + 2 months for obtain payment of the sum obtained from the insurance of the opposing party (MAIF).
Remains dependent, in my case: € 555 (towing + night hours + hours holidays 8/5/2020).</v>
      </c>
    </row>
    <row r="179" ht="15.75" customHeight="1">
      <c r="A179" s="2">
        <v>5.0</v>
      </c>
      <c r="B179" s="2" t="s">
        <v>610</v>
      </c>
      <c r="C179" s="2" t="s">
        <v>611</v>
      </c>
      <c r="D179" s="2" t="s">
        <v>490</v>
      </c>
      <c r="E179" s="2" t="s">
        <v>27</v>
      </c>
      <c r="F179" s="2" t="s">
        <v>15</v>
      </c>
      <c r="G179" s="2" t="s">
        <v>274</v>
      </c>
      <c r="H179" s="2" t="s">
        <v>274</v>
      </c>
      <c r="I179" s="2" t="str">
        <f>IFERROR(__xludf.DUMMYFUNCTION("GOOGLETRANSLATE(C179,""fr"",""en"")"),"I admit that I have a little trouble reading the coms concerning the quality of the services of the Matmut. I conclude that the grumpy still does not complain about satisfied people. I am an unconditional of the Matmut because being a member for a long ti"&amp;"me, I measure how precious their level of professionalism has been. I will not go into details. Everyone does what they want, for my part, I have only thanks to formulate them for the quality of their work and in particular to S C of the Dugay agency in M"&amp;"ontpellier. Top claims care, top information. The climate of confidence with my insurer was verified and and never denied. J. Martinez")</f>
        <v>I admit that I have a little trouble reading the coms concerning the quality of the services of the Matmut. I conclude that the grumpy still does not complain about satisfied people. I am an unconditional of the Matmut because being a member for a long time, I measure how precious their level of professionalism has been. I will not go into details. Everyone does what they want, for my part, I have only thanks to formulate them for the quality of their work and in particular to S C of the Dugay agency in Montpellier. Top claims care, top information. The climate of confidence with my insurer was verified and and never denied. J. Martinez</v>
      </c>
    </row>
    <row r="180" ht="15.75" customHeight="1">
      <c r="A180" s="2">
        <v>5.0</v>
      </c>
      <c r="B180" s="2" t="s">
        <v>612</v>
      </c>
      <c r="C180" s="2" t="s">
        <v>613</v>
      </c>
      <c r="D180" s="2" t="s">
        <v>37</v>
      </c>
      <c r="E180" s="2" t="s">
        <v>27</v>
      </c>
      <c r="F180" s="2" t="s">
        <v>15</v>
      </c>
      <c r="G180" s="2" t="s">
        <v>614</v>
      </c>
      <c r="H180" s="2" t="s">
        <v>62</v>
      </c>
      <c r="I180" s="2" t="str">
        <f>IFERROR(__xludf.DUMMYFUNCTION("GOOGLETRANSLATE(C180,""fr"",""en"")"),"I am satisfied with the service prices suit me quite your speed satisfies me I recommend direct insurance to my loved ones well cordially Mr Lelievre Jeremie")</f>
        <v>I am satisfied with the service prices suit me quite your speed satisfies me I recommend direct insurance to my loved ones well cordially Mr Lelievre Jeremie</v>
      </c>
    </row>
    <row r="181" ht="15.75" customHeight="1">
      <c r="A181" s="2">
        <v>5.0</v>
      </c>
      <c r="B181" s="2" t="s">
        <v>615</v>
      </c>
      <c r="C181" s="2" t="s">
        <v>616</v>
      </c>
      <c r="D181" s="2" t="s">
        <v>368</v>
      </c>
      <c r="E181" s="2" t="s">
        <v>68</v>
      </c>
      <c r="F181" s="2" t="s">
        <v>15</v>
      </c>
      <c r="G181" s="2" t="s">
        <v>614</v>
      </c>
      <c r="H181" s="2" t="s">
        <v>62</v>
      </c>
      <c r="I181" s="2" t="str">
        <f>IFERROR(__xludf.DUMMYFUNCTION("GOOGLETRANSLATE(C181,""fr"",""en"")"),"I knew this insurance by friends who advised me to take it. Ease of registration, fast. You are insured in one click. The price is unbeatable!")</f>
        <v>I knew this insurance by friends who advised me to take it. Ease of registration, fast. You are insured in one click. The price is unbeatable!</v>
      </c>
    </row>
    <row r="182" ht="15.75" customHeight="1">
      <c r="A182" s="2">
        <v>4.0</v>
      </c>
      <c r="B182" s="2" t="s">
        <v>617</v>
      </c>
      <c r="C182" s="2" t="s">
        <v>618</v>
      </c>
      <c r="D182" s="2" t="s">
        <v>26</v>
      </c>
      <c r="E182" s="2" t="s">
        <v>27</v>
      </c>
      <c r="F182" s="2" t="s">
        <v>15</v>
      </c>
      <c r="G182" s="2" t="s">
        <v>198</v>
      </c>
      <c r="H182" s="2" t="s">
        <v>134</v>
      </c>
      <c r="I182" s="2" t="str">
        <f>IFERROR(__xludf.DUMMYFUNCTION("GOOGLETRANSLATE(C182,""fr"",""en"")"),"Satisfied with the service. Good surprise on the prices announced.
The customer reception was very good and the staff knew how to take into account
requests made.")</f>
        <v>Satisfied with the service. Good surprise on the prices announced.
The customer reception was very good and the staff knew how to take into account
requests made.</v>
      </c>
    </row>
    <row r="183" ht="15.75" customHeight="1">
      <c r="A183" s="2">
        <v>1.0</v>
      </c>
      <c r="B183" s="2" t="s">
        <v>619</v>
      </c>
      <c r="C183" s="2" t="s">
        <v>620</v>
      </c>
      <c r="D183" s="2" t="s">
        <v>490</v>
      </c>
      <c r="E183" s="2" t="s">
        <v>27</v>
      </c>
      <c r="F183" s="2" t="s">
        <v>15</v>
      </c>
      <c r="G183" s="2" t="s">
        <v>609</v>
      </c>
      <c r="H183" s="2" t="s">
        <v>310</v>
      </c>
      <c r="I183" s="2" t="str">
        <f>IFERROR(__xludf.DUMMYFUNCTION("GOOGLETRANSLATE(C183,""fr"",""en"")"),"Very disappointed by Matmut. Attention non -desirable elderly driver at home. Local agencies are not consulted for decisions despite the insured contributions duration (30 years at home in our case) Attention do not repair your vehicle if you have the bad"&amp;" luck to have 3 sinister 9 only concerning your vehicle on 3 years) There is only the money that counts. Do not go to this insurance")</f>
        <v>Very disappointed by Matmut. Attention non -desirable elderly driver at home. Local agencies are not consulted for decisions despite the insured contributions duration (30 years at home in our case) Attention do not repair your vehicle if you have the bad luck to have 3 sinister 9 only concerning your vehicle on 3 years) There is only the money that counts. Do not go to this insurance</v>
      </c>
    </row>
    <row r="184" ht="15.75" customHeight="1">
      <c r="A184" s="2">
        <v>4.0</v>
      </c>
      <c r="B184" s="2" t="s">
        <v>621</v>
      </c>
      <c r="C184" s="2" t="s">
        <v>622</v>
      </c>
      <c r="D184" s="2" t="s">
        <v>107</v>
      </c>
      <c r="E184" s="2" t="s">
        <v>21</v>
      </c>
      <c r="F184" s="2" t="s">
        <v>15</v>
      </c>
      <c r="G184" s="2" t="s">
        <v>623</v>
      </c>
      <c r="H184" s="2" t="s">
        <v>88</v>
      </c>
      <c r="I184" s="2" t="str">
        <f>IFERROR(__xludf.DUMMYFUNCTION("GOOGLETRANSLATE(C184,""fr"",""en"")"),"I recommend the Santiane mutual.
Very good communication to listen to the customer whatever the circumstances.
A gold interlocutor, thank you George.")</f>
        <v>I recommend the Santiane mutual.
Very good communication to listen to the customer whatever the circumstances.
A gold interlocutor, thank you George.</v>
      </c>
    </row>
    <row r="185" ht="15.75" customHeight="1">
      <c r="A185" s="2">
        <v>1.0</v>
      </c>
      <c r="B185" s="2" t="s">
        <v>624</v>
      </c>
      <c r="C185" s="2" t="s">
        <v>625</v>
      </c>
      <c r="D185" s="2" t="s">
        <v>355</v>
      </c>
      <c r="E185" s="2" t="s">
        <v>120</v>
      </c>
      <c r="F185" s="2" t="s">
        <v>15</v>
      </c>
      <c r="G185" s="2" t="s">
        <v>626</v>
      </c>
      <c r="H185" s="2" t="s">
        <v>182</v>
      </c>
      <c r="I185" s="2" t="str">
        <f>IFERROR(__xludf.DUMMYFUNCTION("GOOGLETRANSLATE(C185,""fr"",""en"")"),"It is well known that insurers' obsession is the provident contracts and in particular in the event of a parent's death, children's educational annuities up to their 25 years. AXA wins the Cup for the incompetence of its annuity management service and for"&amp;" the client's contempt. Each year it is the same delays in the regulation of annuities when we have transmitted by mail in due time the supporting documents for schooling: paper documents
Systematically lost on their side, incoherent responses on the pro"&amp;"cessing of the file - One week the file is supposedly processed, the following week the part was not received, it must be transmitted in emergency by email and each time we add you 10 days of delay for the payment .... If ""Know you can"" is the new sloga"&amp;"n of Axa, side customer is ""Know they can't"" ... Do their job properly. For the boss of Axa this slogan ""perfectly symbolizes the ambition we have to make of Axa a partner able to help his customers reach their dreams."" For my part, my single parent d"&amp;"ream is limited to properly manage my constrained family budget ... and AXA does not help me.")</f>
        <v>It is well known that insurers' obsession is the provident contracts and in particular in the event of a parent's death, children's educational annuities up to their 25 years. AXA wins the Cup for the incompetence of its annuity management service and for the client's contempt. Each year it is the same delays in the regulation of annuities when we have transmitted by mail in due time the supporting documents for schooling: paper documents
Systematically lost on their side, incoherent responses on the processing of the file - One week the file is supposedly processed, the following week the part was not received, it must be transmitted in emergency by email and each time we add you 10 days of delay for the payment .... If "Know you can" is the new slogan of Axa, side customer is "Know they can't" ... Do their job properly. For the boss of Axa this slogan "perfectly symbolizes the ambition we have to make of Axa a partner able to help his customers reach their dreams." For my part, my single parent dream is limited to properly manage my constrained family budget ... and AXA does not help me.</v>
      </c>
    </row>
    <row r="186" ht="15.75" customHeight="1">
      <c r="A186" s="2">
        <v>2.0</v>
      </c>
      <c r="B186" s="2" t="s">
        <v>627</v>
      </c>
      <c r="C186" s="2" t="s">
        <v>628</v>
      </c>
      <c r="D186" s="2" t="s">
        <v>37</v>
      </c>
      <c r="E186" s="2" t="s">
        <v>27</v>
      </c>
      <c r="F186" s="2" t="s">
        <v>15</v>
      </c>
      <c r="G186" s="2" t="s">
        <v>629</v>
      </c>
      <c r="H186" s="2" t="s">
        <v>630</v>
      </c>
      <c r="I186" s="2" t="str">
        <f>IFERROR(__xludf.DUMMYFUNCTION("GOOGLETRANSLATE(C186,""fr"",""en"")"),"To flee! To flee! To flee! To flee!
No refund in the event of a claim.
On the phone
Very bad level of service
Requires a trial to have your rights")</f>
        <v>To flee! To flee! To flee! To flee!
No refund in the event of a claim.
On the phone
Very bad level of service
Requires a trial to have your rights</v>
      </c>
    </row>
    <row r="187" ht="15.75" customHeight="1">
      <c r="A187" s="2">
        <v>1.0</v>
      </c>
      <c r="B187" s="2" t="s">
        <v>631</v>
      </c>
      <c r="C187" s="2" t="s">
        <v>632</v>
      </c>
      <c r="D187" s="2" t="s">
        <v>37</v>
      </c>
      <c r="E187" s="2" t="s">
        <v>27</v>
      </c>
      <c r="F187" s="2" t="s">
        <v>15</v>
      </c>
      <c r="G187" s="2" t="s">
        <v>633</v>
      </c>
      <c r="H187" s="2" t="s">
        <v>634</v>
      </c>
      <c r="I187" s="2" t="str">
        <f>IFERROR(__xludf.DUMMYFUNCTION("GOOGLETRANSLATE(C187,""fr"",""en"")"),"Flee this insurer. 2 claims in 1 year and the two not responsible. Ground resolution time between the time of the accident and the time of reimbursement: 1 and a half months for the 1st and 2 months and a half for the second knowing that I am still waitin"&amp;"g for reimbursement today.
The people I had to do have been incompetent. They sent the reimbursement checks to the poor address twice. No cohesion with the expert, I had to move myself and put an afternoon to go to the expertise. I spent hours on the pho"&amp;"ne for no consistent response. The price is attractive but it constantly increases. I have paid for the fees for a change of address that I made myself on their website.
Deadlines never respected. In addition, we promise to be by your side in the event o"&amp;"f a disaster and to facilitate all operations, and you find yourself with one or a advisor who asks you to move to the right to the left so that the folder advances faster. Faster ? I am two and a half months old fortunately that I moved to the prefecture"&amp;" and the expertise cabinet because I do not know where the file would be today.
Do not take the risk of engaging with this insurer, it will not be up to the expected minimum. Low price for mediocre customer service.
I am waiting to be reimbursed to be a"&amp;"ble to switch to an insurer worthy of the name
")</f>
        <v>Flee this insurer. 2 claims in 1 year and the two not responsible. Ground resolution time between the time of the accident and the time of reimbursement: 1 and a half months for the 1st and 2 months and a half for the second knowing that I am still waiting for reimbursement today.
The people I had to do have been incompetent. They sent the reimbursement checks to the poor address twice. No cohesion with the expert, I had to move myself and put an afternoon to go to the expertise. I spent hours on the phone for no consistent response. The price is attractive but it constantly increases. I have paid for the fees for a change of address that I made myself on their website.
Deadlines never respected. In addition, we promise to be by your side in the event of a disaster and to facilitate all operations, and you find yourself with one or a advisor who asks you to move to the right to the left so that the folder advances faster. Faster ? I am two and a half months old fortunately that I moved to the prefecture and the expertise cabinet because I do not know where the file would be today.
Do not take the risk of engaging with this insurer, it will not be up to the expected minimum. Low price for mediocre customer service.
I am waiting to be reimbursed to be able to switch to an insurer worthy of the name
</v>
      </c>
    </row>
    <row r="188" ht="15.75" customHeight="1">
      <c r="A188" s="2">
        <v>3.0</v>
      </c>
      <c r="B188" s="2" t="s">
        <v>635</v>
      </c>
      <c r="C188" s="2" t="s">
        <v>636</v>
      </c>
      <c r="D188" s="2" t="s">
        <v>300</v>
      </c>
      <c r="E188" s="2" t="s">
        <v>27</v>
      </c>
      <c r="F188" s="2" t="s">
        <v>15</v>
      </c>
      <c r="G188" s="2" t="s">
        <v>637</v>
      </c>
      <c r="H188" s="2" t="s">
        <v>222</v>
      </c>
      <c r="I188" s="2" t="str">
        <f>IFERROR(__xludf.DUMMYFUNCTION("GOOGLETRANSLATE(C188,""fr"",""en"")"),"Happy to have chosen the GMF to ensure 3 vehicles, even if at the start the prices were higher than in Matmut and Euralpha")</f>
        <v>Happy to have chosen the GMF to ensure 3 vehicles, even if at the start the prices were higher than in Matmut and Euralpha</v>
      </c>
    </row>
    <row r="189" ht="15.75" customHeight="1">
      <c r="A189" s="2">
        <v>4.0</v>
      </c>
      <c r="B189" s="2" t="s">
        <v>638</v>
      </c>
      <c r="C189" s="2" t="s">
        <v>639</v>
      </c>
      <c r="D189" s="2" t="s">
        <v>37</v>
      </c>
      <c r="E189" s="2" t="s">
        <v>27</v>
      </c>
      <c r="F189" s="2" t="s">
        <v>15</v>
      </c>
      <c r="G189" s="2" t="s">
        <v>112</v>
      </c>
      <c r="H189" s="2" t="s">
        <v>112</v>
      </c>
      <c r="I189" s="2" t="str">
        <f>IFERROR(__xludf.DUMMYFUNCTION("GOOGLETRANSLATE(C189,""fr"",""en"")"),"Hello, for the moment the prices are correct, after in terms of service I have not used it to see the light of day or I would need. If there is no satisfaction, I would change insurance.")</f>
        <v>Hello, for the moment the prices are correct, after in terms of service I have not used it to see the light of day or I would need. If there is no satisfaction, I would change insurance.</v>
      </c>
    </row>
    <row r="190" ht="15.75" customHeight="1">
      <c r="A190" s="2">
        <v>2.0</v>
      </c>
      <c r="B190" s="2" t="s">
        <v>640</v>
      </c>
      <c r="C190" s="2" t="s">
        <v>641</v>
      </c>
      <c r="D190" s="2" t="s">
        <v>37</v>
      </c>
      <c r="E190" s="2" t="s">
        <v>27</v>
      </c>
      <c r="F190" s="2" t="s">
        <v>15</v>
      </c>
      <c r="G190" s="2" t="s">
        <v>58</v>
      </c>
      <c r="H190" s="2" t="s">
        <v>23</v>
      </c>
      <c r="I190" s="2" t="str">
        <f>IFERROR(__xludf.DUMMYFUNCTION("GOOGLETRANSLATE(C190,""fr"",""en"")"),"For a puncture, the towing was not compensated ... disappointed with the service")</f>
        <v>For a puncture, the towing was not compensated ... disappointed with the service</v>
      </c>
    </row>
    <row r="191" ht="15.75" customHeight="1">
      <c r="A191" s="2">
        <v>1.0</v>
      </c>
      <c r="B191" s="2" t="s">
        <v>642</v>
      </c>
      <c r="C191" s="2" t="s">
        <v>643</v>
      </c>
      <c r="D191" s="2" t="s">
        <v>234</v>
      </c>
      <c r="E191" s="2" t="s">
        <v>21</v>
      </c>
      <c r="F191" s="2" t="s">
        <v>15</v>
      </c>
      <c r="G191" s="2" t="s">
        <v>83</v>
      </c>
      <c r="H191" s="2" t="s">
        <v>84</v>
      </c>
      <c r="I191" s="2" t="str">
        <f>IFERROR(__xludf.DUMMYFUNCTION("GOOGLETRANSLATE(C191,""fr"",""en"")"),"Forcing to door subscription to door I would like to point out that they came twice and use the same sentences each time
1: He comes to two
2: He tells you that they have tried to reach you by phone
3: Let them send you a letter but that you did no"&amp;"t respond to the one if
4: you ask for your certificate of vital card and that they are there to update your social security file and confuses you with a blah
5: They make you believe that believing it's free
6: When you ask that he leaves a file"&amp;" to read the conditions and think about it they tell you that they cannot leave a copy
Brefffff forcing for the subscription of mutual under the cord of links with social security and that this is free I would like to remind you that two groups of two "&amp;"people have made me exactly the same approach almost word for word in less than 2 months
")</f>
        <v>Forcing to door subscription to door I would like to point out that they came twice and use the same sentences each time
1: He comes to two
2: He tells you that they have tried to reach you by phone
3: Let them send you a letter but that you did not respond to the one if
4: you ask for your certificate of vital card and that they are there to update your social security file and confuses you with a blah
5: They make you believe that believing it's free
6: When you ask that he leaves a file to read the conditions and think about it they tell you that they cannot leave a copy
Brefffff forcing for the subscription of mutual under the cord of links with social security and that this is free I would like to remind you that two groups of two people have made me exactly the same approach almost word for word in less than 2 months
</v>
      </c>
    </row>
    <row r="192" ht="15.75" customHeight="1">
      <c r="A192" s="2">
        <v>3.0</v>
      </c>
      <c r="B192" s="2" t="s">
        <v>644</v>
      </c>
      <c r="C192" s="2" t="s">
        <v>645</v>
      </c>
      <c r="D192" s="2" t="s">
        <v>26</v>
      </c>
      <c r="E192" s="2" t="s">
        <v>27</v>
      </c>
      <c r="F192" s="2" t="s">
        <v>15</v>
      </c>
      <c r="G192" s="2" t="s">
        <v>646</v>
      </c>
      <c r="H192" s="2" t="s">
        <v>62</v>
      </c>
      <c r="I192" s="2" t="str">
        <f>IFERROR(__xludf.DUMMYFUNCTION("GOOGLETRANSLATE(C192,""fr"",""en"")"),"I am surprised because basic the amount was lower I hope to have a reduction so good driver especially since the car at the same age as me")</f>
        <v>I am surprised because basic the amount was lower I hope to have a reduction so good driver especially since the car at the same age as me</v>
      </c>
    </row>
    <row r="193" ht="15.75" customHeight="1">
      <c r="A193" s="2">
        <v>3.0</v>
      </c>
      <c r="B193" s="2" t="s">
        <v>647</v>
      </c>
      <c r="C193" s="2" t="s">
        <v>648</v>
      </c>
      <c r="D193" s="2" t="s">
        <v>264</v>
      </c>
      <c r="E193" s="2" t="s">
        <v>27</v>
      </c>
      <c r="F193" s="2" t="s">
        <v>15</v>
      </c>
      <c r="G193" s="2" t="s">
        <v>336</v>
      </c>
      <c r="H193" s="2" t="s">
        <v>336</v>
      </c>
      <c r="I193" s="2" t="str">
        <f>IFERROR(__xludf.DUMMYFUNCTION("GOOGLETRANSLATE(C193,""fr"",""en"")"),"I note that most comments describe the same process. A quote based on declarations. Payment for months of contributions and suddenly a regularization request which does not correspond to the quote ...
For our part we have filed a complaint. And request"&amp;"ed the termination of the contract")</f>
        <v>I note that most comments describe the same process. A quote based on declarations. Payment for months of contributions and suddenly a regularization request which does not correspond to the quote ...
For our part we have filed a complaint. And requested the termination of the contract</v>
      </c>
    </row>
    <row r="194" ht="15.75" customHeight="1">
      <c r="A194" s="2">
        <v>1.0</v>
      </c>
      <c r="B194" s="2" t="s">
        <v>649</v>
      </c>
      <c r="C194" s="2" t="s">
        <v>650</v>
      </c>
      <c r="D194" s="2" t="s">
        <v>119</v>
      </c>
      <c r="E194" s="2" t="s">
        <v>120</v>
      </c>
      <c r="F194" s="2" t="s">
        <v>15</v>
      </c>
      <c r="G194" s="2" t="s">
        <v>651</v>
      </c>
      <c r="H194" s="2" t="s">
        <v>112</v>
      </c>
      <c r="I194" s="2" t="str">
        <f>IFERROR(__xludf.DUMMYFUNCTION("GOOGLETRANSLATE(C194,""fr"",""en"")"),"Independent foreseement to flee +++
You think you have a good contract to think down !! They will not compensate you !!!
3 months after my sick leave for difficult pregnancy and after many telephone reminders 1h30 every day pdt 1 week my medical file is"&amp;" finally processed and I am given a negative response 3 months later.
They really make fun of their customers.
After almost 10 years in liberal I will have to borrow from my parents to pay my expenses ???
An aberration ... it's shameful ...
I was at t"&amp;"he MACSF before I never had any problems on time, nor to reach them by phone, paid 1 month after my stop for my previous pregnancy at home.")</f>
        <v>Independent foreseement to flee +++
You think you have a good contract to think down !! They will not compensate you !!!
3 months after my sick leave for difficult pregnancy and after many telephone reminders 1h30 every day pdt 1 week my medical file is finally processed and I am given a negative response 3 months later.
They really make fun of their customers.
After almost 10 years in liberal I will have to borrow from my parents to pay my expenses ???
An aberration ... it's shameful ...
I was at the MACSF before I never had any problems on time, nor to reach them by phone, paid 1 month after my stop for my previous pregnancy at home.</v>
      </c>
    </row>
    <row r="195" ht="15.75" customHeight="1">
      <c r="A195" s="2">
        <v>4.0</v>
      </c>
      <c r="B195" s="2" t="s">
        <v>652</v>
      </c>
      <c r="C195" s="2" t="s">
        <v>653</v>
      </c>
      <c r="D195" s="2" t="s">
        <v>300</v>
      </c>
      <c r="E195" s="2" t="s">
        <v>27</v>
      </c>
      <c r="F195" s="2" t="s">
        <v>15</v>
      </c>
      <c r="G195" s="2" t="s">
        <v>654</v>
      </c>
      <c r="H195" s="2" t="s">
        <v>228</v>
      </c>
      <c r="I195" s="2" t="str">
        <f>IFERROR(__xludf.DUMMYFUNCTION("GOOGLETRANSLATE(C195,""fr"",""en"")"),"I have been assured at GMF for a few years. This year I had two claims and he talks to me about terminating me? For the years when I did not have sinister. Nobody phone me to tell me that I was a good student? I think I'm going to change my insurance. I d"&amp;"o not recommend GMF")</f>
        <v>I have been assured at GMF for a few years. This year I had two claims and he talks to me about terminating me? For the years when I did not have sinister. Nobody phone me to tell me that I was a good student? I think I'm going to change my insurance. I do not recommend GMF</v>
      </c>
    </row>
    <row r="196" ht="15.75" customHeight="1">
      <c r="A196" s="2">
        <v>1.0</v>
      </c>
      <c r="B196" s="2" t="s">
        <v>655</v>
      </c>
      <c r="C196" s="2" t="s">
        <v>656</v>
      </c>
      <c r="D196" s="2" t="s">
        <v>245</v>
      </c>
      <c r="E196" s="2" t="s">
        <v>21</v>
      </c>
      <c r="F196" s="2" t="s">
        <v>15</v>
      </c>
      <c r="G196" s="2" t="s">
        <v>657</v>
      </c>
      <c r="H196" s="2" t="s">
        <v>228</v>
      </c>
      <c r="I196" s="2" t="str">
        <f>IFERROR(__xludf.DUMMYFUNCTION("GOOGLETRANSLATE(C196,""fr"",""en"")")," Incompetent and bad liver in addition. The shame of the profession. Do not even answer the members. Just good to pocket the contributions. And does that suit insurer ??? If you are looking for insurance, go your way ....")</f>
        <v> Incompetent and bad liver in addition. The shame of the profession. Do not even answer the members. Just good to pocket the contributions. And does that suit insurer ??? If you are looking for insurance, go your way ....</v>
      </c>
    </row>
    <row r="197" ht="15.75" customHeight="1">
      <c r="A197" s="2">
        <v>3.0</v>
      </c>
      <c r="B197" s="2" t="s">
        <v>658</v>
      </c>
      <c r="C197" s="2" t="s">
        <v>659</v>
      </c>
      <c r="D197" s="2" t="s">
        <v>156</v>
      </c>
      <c r="E197" s="2" t="s">
        <v>21</v>
      </c>
      <c r="F197" s="2" t="s">
        <v>15</v>
      </c>
      <c r="G197" s="2" t="s">
        <v>660</v>
      </c>
      <c r="H197" s="2" t="s">
        <v>661</v>
      </c>
      <c r="I197" s="2" t="str">
        <f>IFERROR(__xludf.DUMMYFUNCTION("GOOGLETRANSLATE(C197,""fr"",""en"")"),"I can have no opinion at the moment because my membership is barely finished, to see in time. But the prices are very attractive and the registration is fast and easy.")</f>
        <v>I can have no opinion at the moment because my membership is barely finished, to see in time. But the prices are very attractive and the registration is fast and easy.</v>
      </c>
    </row>
    <row r="198" ht="15.75" customHeight="1">
      <c r="A198" s="2">
        <v>3.0</v>
      </c>
      <c r="B198" s="2" t="s">
        <v>662</v>
      </c>
      <c r="C198" s="2" t="s">
        <v>663</v>
      </c>
      <c r="D198" s="2" t="s">
        <v>217</v>
      </c>
      <c r="E198" s="2" t="s">
        <v>27</v>
      </c>
      <c r="F198" s="2" t="s">
        <v>15</v>
      </c>
      <c r="G198" s="2" t="s">
        <v>664</v>
      </c>
      <c r="H198" s="2" t="s">
        <v>310</v>
      </c>
      <c r="I198" s="2" t="str">
        <f>IFERROR(__xludf.DUMMYFUNCTION("GOOGLETRANSLATE(C198,""fr"",""en"")"),"I am terribly unhappy with the Macif, I called on them following a break of ice on my optics before. I receive the insurance agreement for the work and the day of the repairs they announce that the broken ice was not taken into account and that the repair"&amp;"s were at my expense. In addition, I received a letter for the non -renew of my contract following this incident. Bravo the Macif.")</f>
        <v>I am terribly unhappy with the Macif, I called on them following a break of ice on my optics before. I receive the insurance agreement for the work and the day of the repairs they announce that the broken ice was not taken into account and that the repairs were at my expense. In addition, I received a letter for the non -renew of my contract following this incident. Bravo the Macif.</v>
      </c>
    </row>
    <row r="199" ht="15.75" customHeight="1">
      <c r="A199" s="2">
        <v>5.0</v>
      </c>
      <c r="B199" s="2" t="s">
        <v>665</v>
      </c>
      <c r="C199" s="2" t="s">
        <v>666</v>
      </c>
      <c r="D199" s="2" t="s">
        <v>26</v>
      </c>
      <c r="E199" s="2" t="s">
        <v>27</v>
      </c>
      <c r="F199" s="2" t="s">
        <v>15</v>
      </c>
      <c r="G199" s="2" t="s">
        <v>667</v>
      </c>
      <c r="H199" s="2" t="s">
        <v>112</v>
      </c>
      <c r="I199" s="2" t="str">
        <f>IFERROR(__xludf.DUMMYFUNCTION("GOOGLETRANSLATE(C199,""fr"",""en"")"),"I am the story of my maintenance with my interlocutor thank you. Everything is in good standing and everything corresponds to what I wanted. thank you for your kindness")</f>
        <v>I am the story of my maintenance with my interlocutor thank you. Everything is in good standing and everything corresponds to what I wanted. thank you for your kindness</v>
      </c>
    </row>
    <row r="200" ht="15.75" customHeight="1">
      <c r="A200" s="2">
        <v>4.0</v>
      </c>
      <c r="B200" s="2" t="s">
        <v>668</v>
      </c>
      <c r="C200" s="2" t="s">
        <v>669</v>
      </c>
      <c r="D200" s="2" t="s">
        <v>107</v>
      </c>
      <c r="E200" s="2" t="s">
        <v>21</v>
      </c>
      <c r="F200" s="2" t="s">
        <v>15</v>
      </c>
      <c r="G200" s="2" t="s">
        <v>670</v>
      </c>
      <c r="H200" s="2" t="s">
        <v>45</v>
      </c>
      <c r="I200" s="2" t="str">
        <f>IFERROR(__xludf.DUMMYFUNCTION("GOOGLETRANSLATE(C200,""fr"",""en"")"),"Alicia to customer service is very efficient and fast, very wise and clear advice")</f>
        <v>Alicia to customer service is very efficient and fast, very wise and clear advice</v>
      </c>
    </row>
    <row r="201" ht="15.75" customHeight="1">
      <c r="A201" s="2">
        <v>2.0</v>
      </c>
      <c r="B201" s="2" t="s">
        <v>671</v>
      </c>
      <c r="C201" s="2" t="s">
        <v>672</v>
      </c>
      <c r="D201" s="2" t="s">
        <v>300</v>
      </c>
      <c r="E201" s="2" t="s">
        <v>27</v>
      </c>
      <c r="F201" s="2" t="s">
        <v>15</v>
      </c>
      <c r="G201" s="2" t="s">
        <v>673</v>
      </c>
      <c r="H201" s="2" t="s">
        <v>310</v>
      </c>
      <c r="I201" s="2" t="str">
        <f>IFERROR(__xludf.DUMMYFUNCTION("GOOGLETRANSLATE(C201,""fr"",""en"")"),"The slogans ""certainly human"" and ""accompany and protect"" do not reflect GMF at all. In a situation of Covid we are far from the account !!. When you want to resolve a situation, there is no one competent and attentive!.")</f>
        <v>The slogans "certainly human" and "accompany and protect" do not reflect GMF at all. In a situation of Covid we are far from the account !!. When you want to resolve a situation, there is no one competent and attentive!.</v>
      </c>
    </row>
    <row r="202" ht="15.75" customHeight="1">
      <c r="A202" s="2">
        <v>2.0</v>
      </c>
      <c r="B202" s="2" t="s">
        <v>674</v>
      </c>
      <c r="C202" s="2" t="s">
        <v>675</v>
      </c>
      <c r="D202" s="2" t="s">
        <v>245</v>
      </c>
      <c r="E202" s="2" t="s">
        <v>21</v>
      </c>
      <c r="F202" s="2" t="s">
        <v>15</v>
      </c>
      <c r="G202" s="2" t="s">
        <v>676</v>
      </c>
      <c r="H202" s="2" t="s">
        <v>141</v>
      </c>
      <c r="I202" s="2" t="str">
        <f>IFERROR(__xludf.DUMMYFUNCTION("GOOGLETRANSLATE(C202,""fr"",""en"")"),"Catastrophic !! They can be paveled !!! For 6 months they have had nothing to do anything !!! Refund concerns following the lack of seriousness of this organization !!!!")</f>
        <v>Catastrophic !! They can be paveled !!! For 6 months they have had nothing to do anything !!! Refund concerns following the lack of seriousness of this organization !!!!</v>
      </c>
    </row>
    <row r="203" ht="15.75" customHeight="1">
      <c r="A203" s="2">
        <v>2.0</v>
      </c>
      <c r="B203" s="2" t="s">
        <v>677</v>
      </c>
      <c r="C203" s="2" t="s">
        <v>678</v>
      </c>
      <c r="D203" s="2" t="s">
        <v>48</v>
      </c>
      <c r="E203" s="2" t="s">
        <v>21</v>
      </c>
      <c r="F203" s="2" t="s">
        <v>15</v>
      </c>
      <c r="G203" s="2" t="s">
        <v>319</v>
      </c>
      <c r="H203" s="2" t="s">
        <v>236</v>
      </c>
      <c r="I203" s="2" t="str">
        <f>IFERROR(__xludf.DUMMYFUNCTION("GOOGLETRANSLATE(C203,""fr"",""en"")"),"Certainly the worst mutual insurance company to which I joined, he hates me to be able to terminate at the end of the year.
Options are added to increase the subscription, the waiting time to have an advisor and at least 20 min and we add to what the sta"&amp;"ff responds well next to the requests (and a haughty manner) ... Mutual Avoid at all costs if you wish a quality service")</f>
        <v>Certainly the worst mutual insurance company to which I joined, he hates me to be able to terminate at the end of the year.
Options are added to increase the subscription, the waiting time to have an advisor and at least 20 min and we add to what the staff responds well next to the requests (and a haughty manner) ... Mutual Avoid at all costs if you wish a quality service</v>
      </c>
    </row>
    <row r="204" ht="15.75" customHeight="1">
      <c r="A204" s="2">
        <v>5.0</v>
      </c>
      <c r="B204" s="2" t="s">
        <v>679</v>
      </c>
      <c r="C204" s="2" t="s">
        <v>680</v>
      </c>
      <c r="D204" s="2" t="s">
        <v>67</v>
      </c>
      <c r="E204" s="2" t="s">
        <v>68</v>
      </c>
      <c r="F204" s="2" t="s">
        <v>15</v>
      </c>
      <c r="G204" s="2" t="s">
        <v>681</v>
      </c>
      <c r="H204" s="2" t="s">
        <v>62</v>
      </c>
      <c r="I204" s="2" t="str">
        <f>IFERROR(__xludf.DUMMYFUNCTION("GOOGLETRANSLATE(C204,""fr"",""en"")"),"Speed, efficiency and advantageous price. Second contract signed with April Moto and always very satisfied with the service and fluidity of the site that I highly recommend.")</f>
        <v>Speed, efficiency and advantageous price. Second contract signed with April Moto and always very satisfied with the service and fluidity of the site that I highly recommend.</v>
      </c>
    </row>
    <row r="205" ht="15.75" customHeight="1">
      <c r="A205" s="2">
        <v>3.0</v>
      </c>
      <c r="B205" s="2" t="s">
        <v>682</v>
      </c>
      <c r="C205" s="2" t="s">
        <v>683</v>
      </c>
      <c r="D205" s="2" t="s">
        <v>67</v>
      </c>
      <c r="E205" s="2" t="s">
        <v>68</v>
      </c>
      <c r="F205" s="2" t="s">
        <v>15</v>
      </c>
      <c r="G205" s="2" t="s">
        <v>684</v>
      </c>
      <c r="H205" s="2" t="s">
        <v>141</v>
      </c>
      <c r="I205" s="2" t="str">
        <f>IFERROR(__xludf.DUMMYFUNCTION("GOOGLETRANSLATE(C205,""fr"",""en"")"),"Good insurance. Interesting price. The options are welcome but increase the note. The insured vehicle is 28 years old. The price is more interesting than in other insurers but remains high.")</f>
        <v>Good insurance. Interesting price. The options are welcome but increase the note. The insured vehicle is 28 years old. The price is more interesting than in other insurers but remains high.</v>
      </c>
    </row>
    <row r="206" ht="15.75" customHeight="1">
      <c r="A206" s="2">
        <v>3.0</v>
      </c>
      <c r="B206" s="2" t="s">
        <v>685</v>
      </c>
      <c r="C206" s="2" t="s">
        <v>686</v>
      </c>
      <c r="D206" s="2" t="s">
        <v>437</v>
      </c>
      <c r="E206" s="2" t="s">
        <v>43</v>
      </c>
      <c r="F206" s="2" t="s">
        <v>15</v>
      </c>
      <c r="G206" s="2" t="s">
        <v>687</v>
      </c>
      <c r="H206" s="2" t="s">
        <v>285</v>
      </c>
      <c r="I206" s="2" t="str">
        <f>IFERROR(__xludf.DUMMYFUNCTION("GOOGLETRANSLATE(C206,""fr"",""en"")"),"to flee, not serious. are there just to take your money and no service. I do not recommend. The advisers are not kind on the phone and sometimes do not know how to answer you! more than 30 minutes of waiting and then it automatically hangs up")</f>
        <v>to flee, not serious. are there just to take your money and no service. I do not recommend. The advisers are not kind on the phone and sometimes do not know how to answer you! more than 30 minutes of waiting and then it automatically hangs up</v>
      </c>
    </row>
    <row r="207" ht="15.75" customHeight="1">
      <c r="A207" s="2">
        <v>1.0</v>
      </c>
      <c r="B207" s="2" t="s">
        <v>688</v>
      </c>
      <c r="C207" s="2" t="s">
        <v>689</v>
      </c>
      <c r="D207" s="2" t="s">
        <v>234</v>
      </c>
      <c r="E207" s="2" t="s">
        <v>21</v>
      </c>
      <c r="F207" s="2" t="s">
        <v>15</v>
      </c>
      <c r="G207" s="2" t="s">
        <v>690</v>
      </c>
      <c r="H207" s="2" t="s">
        <v>523</v>
      </c>
      <c r="I207" s="2" t="str">
        <f>IFERROR(__xludf.DUMMYFUNCTION("GOOGLETRANSLATE(C207,""fr"",""en"")"),"Revail before subscribing to Neoliane Sante
Despite a registered letter with A.R. they refuse to terminate my contract claiming that there is no electronic signature and forcing me to stay at home a year more despite exorbitant prices")</f>
        <v>Revail before subscribing to Neoliane Sante
Despite a registered letter with A.R. they refuse to terminate my contract claiming that there is no electronic signature and forcing me to stay at home a year more despite exorbitant prices</v>
      </c>
    </row>
    <row r="208" ht="15.75" customHeight="1">
      <c r="A208" s="2">
        <v>3.0</v>
      </c>
      <c r="B208" s="2" t="s">
        <v>691</v>
      </c>
      <c r="C208" s="2" t="s">
        <v>692</v>
      </c>
      <c r="D208" s="2" t="s">
        <v>300</v>
      </c>
      <c r="E208" s="2" t="s">
        <v>27</v>
      </c>
      <c r="F208" s="2" t="s">
        <v>15</v>
      </c>
      <c r="G208" s="2" t="s">
        <v>693</v>
      </c>
      <c r="H208" s="2" t="s">
        <v>694</v>
      </c>
      <c r="I208" s="2" t="str">
        <f>IFERROR(__xludf.DUMMYFUNCTION("GOOGLETRANSLATE(C208,""fr"",""en"")"),"After 48 years of contributions the GMF fell off my father because he had three incidents in 3 years, one of which is not responsible and the other two only of the body and a retro ....
It is shameful. GMF certainly human ... a joke.")</f>
        <v>After 48 years of contributions the GMF fell off my father because he had three incidents in 3 years, one of which is not responsible and the other two only of the body and a retro ....
It is shameful. GMF certainly human ... a joke.</v>
      </c>
    </row>
    <row r="209" ht="15.75" customHeight="1">
      <c r="A209" s="2">
        <v>1.0</v>
      </c>
      <c r="B209" s="2" t="s">
        <v>695</v>
      </c>
      <c r="C209" s="2" t="s">
        <v>696</v>
      </c>
      <c r="D209" s="2" t="s">
        <v>355</v>
      </c>
      <c r="E209" s="2" t="s">
        <v>27</v>
      </c>
      <c r="F209" s="2" t="s">
        <v>15</v>
      </c>
      <c r="G209" s="2" t="s">
        <v>697</v>
      </c>
      <c r="H209" s="2" t="s">
        <v>698</v>
      </c>
      <c r="I209" s="2" t="str">
        <f>IFERROR(__xludf.DUMMYFUNCTION("GOOGLETRANSLATE(C209,""fr"",""en"")"),"A few years ago I decided to leave Axa for another really cheaper insurance of around 50 % and to my surprise 6 months later I learned by mail that my termination was refused and that I must Present pay me 6 months of subscription in addition to the 6 mon"&amp;"ths of subscription of my new insurance, I therefore decide to ask my adviser for explanations on why I am only warned 6 months later, what she answers me that 'In reality I am not insured with them but with a subcontractor by the name of Solly Azar based"&amp;" in Israel .... in Israeli law to attack a company in court you must be physically in the territory therefore to recover 900 euros it was not worth the plane then they almost instantly sent me a French bailiff for once! And so I paid immediately. Bravo fo"&amp;"r your ability to take people's money in exchange for nothing.")</f>
        <v>A few years ago I decided to leave Axa for another really cheaper insurance of around 50 % and to my surprise 6 months later I learned by mail that my termination was refused and that I must Present pay me 6 months of subscription in addition to the 6 months of subscription of my new insurance, I therefore decide to ask my adviser for explanations on why I am only warned 6 months later, what she answers me that 'In reality I am not insured with them but with a subcontractor by the name of Solly Azar based in Israel .... in Israeli law to attack a company in court you must be physically in the territory therefore to recover 900 euros it was not worth the plane then they almost instantly sent me a French bailiff for once! And so I paid immediately. Bravo for your ability to take people's money in exchange for nothing.</v>
      </c>
    </row>
    <row r="210" ht="15.75" customHeight="1">
      <c r="A210" s="2">
        <v>4.0</v>
      </c>
      <c r="B210" s="2" t="s">
        <v>699</v>
      </c>
      <c r="C210" s="2" t="s">
        <v>700</v>
      </c>
      <c r="D210" s="2" t="s">
        <v>368</v>
      </c>
      <c r="E210" s="2" t="s">
        <v>68</v>
      </c>
      <c r="F210" s="2" t="s">
        <v>15</v>
      </c>
      <c r="G210" s="2" t="s">
        <v>701</v>
      </c>
      <c r="H210" s="2" t="s">
        <v>88</v>
      </c>
      <c r="I210" s="2" t="str">
        <f>IFERROR(__xludf.DUMMYFUNCTION("GOOGLETRANSLATE(C210,""fr"",""en"")"),"I am satisfied with the service, especially on prices.
After, being a particularly vigilant driver, perhaps experienced lucky, I only had to ask your services once (for damage attributable to my partner) when I have been, I think, about 10 years that I a"&amp;"m insured at home ....
My opinion will be more precise on the day I will request your services for more important and restrictive issues than a simple subscription. Hoping all the same that this day never arrives.
Best regards.
")</f>
        <v>I am satisfied with the service, especially on prices.
After, being a particularly vigilant driver, perhaps experienced lucky, I only had to ask your services once (for damage attributable to my partner) when I have been, I think, about 10 years that I am insured at home ....
My opinion will be more precise on the day I will request your services for more important and restrictive issues than a simple subscription. Hoping all the same that this day never arrives.
Best regards.
</v>
      </c>
    </row>
    <row r="211" ht="15.75" customHeight="1">
      <c r="A211" s="2">
        <v>4.0</v>
      </c>
      <c r="B211" s="2" t="s">
        <v>702</v>
      </c>
      <c r="C211" s="2" t="s">
        <v>703</v>
      </c>
      <c r="D211" s="2" t="s">
        <v>26</v>
      </c>
      <c r="E211" s="2" t="s">
        <v>27</v>
      </c>
      <c r="F211" s="2" t="s">
        <v>15</v>
      </c>
      <c r="G211" s="2" t="s">
        <v>704</v>
      </c>
      <c r="H211" s="2" t="s">
        <v>29</v>
      </c>
      <c r="I211" s="2" t="str">
        <f>IFERROR(__xludf.DUMMYFUNCTION("GOOGLETRANSLATE(C211,""fr"",""en"")"),"Good fast and practical service advises pleasant fluid in the esplication I will surely recommend to love in time I hope that its holding as it is")</f>
        <v>Good fast and practical service advises pleasant fluid in the esplication I will surely recommend to love in time I hope that its holding as it is</v>
      </c>
    </row>
    <row r="212" ht="15.75" customHeight="1">
      <c r="A212" s="2">
        <v>2.0</v>
      </c>
      <c r="B212" s="2" t="s">
        <v>705</v>
      </c>
      <c r="C212" s="2" t="s">
        <v>706</v>
      </c>
      <c r="D212" s="2" t="s">
        <v>37</v>
      </c>
      <c r="E212" s="2" t="s">
        <v>27</v>
      </c>
      <c r="F212" s="2" t="s">
        <v>15</v>
      </c>
      <c r="G212" s="2" t="s">
        <v>707</v>
      </c>
      <c r="H212" s="2" t="s">
        <v>228</v>
      </c>
      <c r="I212" s="2" t="str">
        <f>IFERROR(__xludf.DUMMYFUNCTION("GOOGLETRANSLATE(C212,""fr"",""en"")"),"nothing can be done on your site !! Neither ask for a quote nor change vehicles! Today is a shame to have to go through a phone number")</f>
        <v>nothing can be done on your site !! Neither ask for a quote nor change vehicles! Today is a shame to have to go through a phone number</v>
      </c>
    </row>
    <row r="213" ht="15.75" customHeight="1">
      <c r="A213" s="2">
        <v>1.0</v>
      </c>
      <c r="B213" s="2" t="s">
        <v>708</v>
      </c>
      <c r="C213" s="2" t="s">
        <v>709</v>
      </c>
      <c r="D213" s="2" t="s">
        <v>490</v>
      </c>
      <c r="E213" s="2" t="s">
        <v>43</v>
      </c>
      <c r="F213" s="2" t="s">
        <v>15</v>
      </c>
      <c r="G213" s="2" t="s">
        <v>710</v>
      </c>
      <c r="H213" s="2" t="s">
        <v>503</v>
      </c>
      <c r="I213" s="2" t="str">
        <f>IFERROR(__xludf.DUMMYFUNCTION("GOOGLETRANSLATE(C213,""fr"",""en"")"),"The Matmut has embarked on a large operation to radiate its customers. The mere fact of contacting the assistance is taken into account to harm you.")</f>
        <v>The Matmut has embarked on a large operation to radiate its customers. The mere fact of contacting the assistance is taken into account to harm you.</v>
      </c>
    </row>
    <row r="214" ht="15.75" customHeight="1">
      <c r="A214" s="2">
        <v>1.0</v>
      </c>
      <c r="B214" s="2" t="s">
        <v>711</v>
      </c>
      <c r="C214" s="2" t="s">
        <v>712</v>
      </c>
      <c r="D214" s="2" t="s">
        <v>448</v>
      </c>
      <c r="E214" s="2" t="s">
        <v>27</v>
      </c>
      <c r="F214" s="2" t="s">
        <v>15</v>
      </c>
      <c r="G214" s="2" t="s">
        <v>713</v>
      </c>
      <c r="H214" s="2" t="s">
        <v>54</v>
      </c>
      <c r="I214" s="2" t="str">
        <f>IFERROR(__xludf.DUMMYFUNCTION("GOOGLETRANSLATE(C214,""fr"",""en"")"),"I have been insured at the MAAF for 10 years. 2 months ago in a parking lot, I got home from a vehicle. My pregnant wife for my children (8 years and 10 years old) were in the car. Observation made and witness in support, I go 1 jous after to my agency. I"&amp;" send me an EXPFRT that looks at and offers to do work including the manufacturer of the vehicle refuses to guarantee the work. The expert is focused on the whole vehicle except the disaster in question. He offers us to prevail a vehicle that is 2 years o"&amp;"ld and 1/2. Several contact with the maaf which hides behind the expert as if it is me who returned to the other vehicle (I go from victim to accused). I do a reclamation (1 month ago and a half and still no response). I request an appointment with the ag"&amp;"ency director but after 2 months still not availability (for a customer who has always paid his bills in 10 years of seniority. The owner of the opposing vehicle called me last week for Know if my wife did not have a sequelae in terms of her pregnancy fol"&amp;"lowing this incident (but that the maaf did not care 1 second) and it tells me that liui paid for his franchise and that His vehicle is repaired. It is the world to the Nevers but unfortunately it is possible with the Maaf. Results: my vehicle is with a r"&amp;"afistolé bumper, the scratches caused by the claims are always there, a situation engraved in the head of my children .... and opposite a driver who has a more reactive before than mine. For 10 nas I have always advised the maaf but fortunately my family "&amp;"and my loved ones are able to make the opposite meaning when they hear the satition in which I am")</f>
        <v>I have been insured at the MAAF for 10 years. 2 months ago in a parking lot, I got home from a vehicle. My pregnant wife for my children (8 years and 10 years old) were in the car. Observation made and witness in support, I go 1 jous after to my agency. I send me an EXPFRT that looks at and offers to do work including the manufacturer of the vehicle refuses to guarantee the work. The expert is focused on the whole vehicle except the disaster in question. He offers us to prevail a vehicle that is 2 years old and 1/2. Several contact with the maaf which hides behind the expert as if it is me who returned to the other vehicle (I go from victim to accused). I do a reclamation (1 month ago and a half and still no response). I request an appointment with the agency director but after 2 months still not availability (for a customer who has always paid his bills in 10 years of seniority. The owner of the opposing vehicle called me last week for Know if my wife did not have a sequelae in terms of her pregnancy following this incident (but that the maaf did not care 1 second) and it tells me that liui paid for his franchise and that His vehicle is repaired. It is the world to the Nevers but unfortunately it is possible with the Maaf. Results: my vehicle is with a rafistolé bumper, the scratches caused by the claims are always there, a situation engraved in the head of my children .... and opposite a driver who has a more reactive before than mine. For 10 nas I have always advised the maaf but fortunately my family and my loved ones are able to make the opposite meaning when they hear the satition in which I am</v>
      </c>
    </row>
    <row r="215" ht="15.75" customHeight="1">
      <c r="A215" s="2">
        <v>1.0</v>
      </c>
      <c r="B215" s="2" t="s">
        <v>714</v>
      </c>
      <c r="C215" s="2" t="s">
        <v>715</v>
      </c>
      <c r="D215" s="2" t="s">
        <v>26</v>
      </c>
      <c r="E215" s="2" t="s">
        <v>27</v>
      </c>
      <c r="F215" s="2" t="s">
        <v>15</v>
      </c>
      <c r="G215" s="2" t="s">
        <v>716</v>
      </c>
      <c r="H215" s="2" t="s">
        <v>121</v>
      </c>
      <c r="I215" s="2" t="str">
        <f>IFERROR(__xludf.DUMMYFUNCTION("GOOGLETRANSLATE(C215,""fr"",""en"")"),"CATASTROPHIC. I thought I was winning by joining this insurer (under the Malinx advice the lynx.) But it was a serious mistake. Above all, don't go !!!")</f>
        <v>CATASTROPHIC. I thought I was winning by joining this insurer (under the Malinx advice the lynx.) But it was a serious mistake. Above all, don't go !!!</v>
      </c>
    </row>
    <row r="216" ht="15.75" customHeight="1">
      <c r="A216" s="2">
        <v>4.0</v>
      </c>
      <c r="B216" s="2" t="s">
        <v>717</v>
      </c>
      <c r="C216" s="2" t="s">
        <v>718</v>
      </c>
      <c r="D216" s="2" t="s">
        <v>234</v>
      </c>
      <c r="E216" s="2" t="s">
        <v>21</v>
      </c>
      <c r="F216" s="2" t="s">
        <v>15</v>
      </c>
      <c r="G216" s="2" t="s">
        <v>104</v>
      </c>
      <c r="H216" s="2" t="s">
        <v>88</v>
      </c>
      <c r="I216" s="2" t="str">
        <f>IFERROR(__xludf.DUMMYFUNCTION("GOOGLETRANSLATE(C216,""fr"",""en"")"),"A request concerning the poor intention of a competing mutual was superbly treated by Mr Larbi
A big thank you for his kindness and his good knowledge of the mutuals")</f>
        <v>A request concerning the poor intention of a competing mutual was superbly treated by Mr Larbi
A big thank you for his kindness and his good knowledge of the mutuals</v>
      </c>
    </row>
    <row r="217" ht="15.75" customHeight="1">
      <c r="A217" s="2">
        <v>1.0</v>
      </c>
      <c r="B217" s="2" t="s">
        <v>719</v>
      </c>
      <c r="C217" s="2" t="s">
        <v>720</v>
      </c>
      <c r="D217" s="2" t="s">
        <v>37</v>
      </c>
      <c r="E217" s="2" t="s">
        <v>27</v>
      </c>
      <c r="F217" s="2" t="s">
        <v>15</v>
      </c>
      <c r="G217" s="2" t="s">
        <v>657</v>
      </c>
      <c r="H217" s="2" t="s">
        <v>228</v>
      </c>
      <c r="I217" s="2" t="str">
        <f>IFERROR(__xludf.DUMMYFUNCTION("GOOGLETRANSLATE(C217,""fr"",""en"")"),"
 I would like you to make me 2 quotes
1 third maximum
Essential 2 thirds
98/100 of my trips are less than 50km from my home
I vs 0 km
")</f>
        <v>
 I would like you to make me 2 quotes
1 third maximum
Essential 2 thirds
98/100 of my trips are less than 50km from my home
I vs 0 km
</v>
      </c>
    </row>
    <row r="218" ht="15.75" customHeight="1">
      <c r="A218" s="2">
        <v>3.0</v>
      </c>
      <c r="B218" s="2" t="s">
        <v>721</v>
      </c>
      <c r="C218" s="2" t="s">
        <v>722</v>
      </c>
      <c r="D218" s="2" t="s">
        <v>234</v>
      </c>
      <c r="E218" s="2" t="s">
        <v>21</v>
      </c>
      <c r="F218" s="2" t="s">
        <v>15</v>
      </c>
      <c r="G218" s="2" t="s">
        <v>723</v>
      </c>
      <c r="H218" s="2" t="s">
        <v>630</v>
      </c>
      <c r="I218" s="2" t="str">
        <f>IFERROR(__xludf.DUMMYFUNCTION("GOOGLETRANSLATE(C218,""fr"",""en"")"),"The person who answered me today is to the TOPE which is not always the case several times I have been put in waiting and the communication was cut")</f>
        <v>The person who answered me today is to the TOPE which is not always the case several times I have been put in waiting and the communication was cut</v>
      </c>
    </row>
    <row r="219" ht="15.75" customHeight="1">
      <c r="A219" s="2">
        <v>5.0</v>
      </c>
      <c r="B219" s="2" t="s">
        <v>724</v>
      </c>
      <c r="C219" s="2" t="s">
        <v>725</v>
      </c>
      <c r="D219" s="2" t="s">
        <v>37</v>
      </c>
      <c r="E219" s="2" t="s">
        <v>27</v>
      </c>
      <c r="F219" s="2" t="s">
        <v>15</v>
      </c>
      <c r="G219" s="2" t="s">
        <v>61</v>
      </c>
      <c r="H219" s="2" t="s">
        <v>62</v>
      </c>
      <c r="I219" s="2" t="str">
        <f>IFERROR(__xludf.DUMMYFUNCTION("GOOGLETRANSLATE(C219,""fr"",""en"")"),"Hello
I am very satisfied with my order on your site. She arrived at my place quickly.
I will not hesitate to make other purchases.
Cordially,")</f>
        <v>Hello
I am very satisfied with my order on your site. She arrived at my place quickly.
I will not hesitate to make other purchases.
Cordially,</v>
      </c>
    </row>
    <row r="220" ht="15.75" customHeight="1">
      <c r="A220" s="2">
        <v>5.0</v>
      </c>
      <c r="B220" s="2" t="s">
        <v>726</v>
      </c>
      <c r="C220" s="2" t="s">
        <v>727</v>
      </c>
      <c r="D220" s="2" t="s">
        <v>26</v>
      </c>
      <c r="E220" s="2" t="s">
        <v>27</v>
      </c>
      <c r="F220" s="2" t="s">
        <v>15</v>
      </c>
      <c r="G220" s="2" t="s">
        <v>728</v>
      </c>
      <c r="H220" s="2" t="s">
        <v>134</v>
      </c>
      <c r="I220" s="2" t="str">
        <f>IFERROR(__xludf.DUMMYFUNCTION("GOOGLETRANSLATE(C220,""fr"",""en"")"),"Reasonable price compared to very professional competition and sales service.
For other services I hope I never have to test them.
")</f>
        <v>Reasonable price compared to very professional competition and sales service.
For other services I hope I never have to test them.
</v>
      </c>
    </row>
    <row r="221" ht="15.75" customHeight="1">
      <c r="A221" s="2">
        <v>4.0</v>
      </c>
      <c r="B221" s="2" t="s">
        <v>729</v>
      </c>
      <c r="C221" s="2" t="s">
        <v>730</v>
      </c>
      <c r="D221" s="2" t="s">
        <v>37</v>
      </c>
      <c r="E221" s="2" t="s">
        <v>27</v>
      </c>
      <c r="F221" s="2" t="s">
        <v>15</v>
      </c>
      <c r="G221" s="2" t="s">
        <v>731</v>
      </c>
      <c r="H221" s="2" t="s">
        <v>29</v>
      </c>
      <c r="I221" s="2" t="str">
        <f>IFERROR(__xludf.DUMMYFUNCTION("GOOGLETRANSLATE(C221,""fr"",""en"")"),"The 2 months offered are not applied. Why
Except that I receive a promotion on my mailbox.
Thank you for coming back to me on this subject.
I am waiting for your return")</f>
        <v>The 2 months offered are not applied. Why
Except that I receive a promotion on my mailbox.
Thank you for coming back to me on this subject.
I am waiting for your return</v>
      </c>
    </row>
    <row r="222" ht="15.75" customHeight="1">
      <c r="A222" s="2">
        <v>1.0</v>
      </c>
      <c r="B222" s="2" t="s">
        <v>732</v>
      </c>
      <c r="C222" s="2" t="s">
        <v>733</v>
      </c>
      <c r="D222" s="2" t="s">
        <v>368</v>
      </c>
      <c r="E222" s="2" t="s">
        <v>68</v>
      </c>
      <c r="F222" s="2" t="s">
        <v>15</v>
      </c>
      <c r="G222" s="2" t="s">
        <v>560</v>
      </c>
      <c r="H222" s="2" t="s">
        <v>336</v>
      </c>
      <c r="I222" s="2" t="str">
        <f>IFERROR(__xludf.DUMMYFUNCTION("GOOGLETRANSLATE(C222,""fr"",""en"")"),"I had declared a stolen cyclo to put an end to the contract and as I was not insured any risk it is logical not to be reimbursed ... but as if it were not enough, Amv reluctantly to me with Insurers like having had this claim when normally it does not loo"&amp;"k at it since never ensured in these qualities.")</f>
        <v>I had declared a stolen cyclo to put an end to the contract and as I was not insured any risk it is logical not to be reimbursed ... but as if it were not enough, Amv reluctantly to me with Insurers like having had this claim when normally it does not look at it since never ensured in these qualities.</v>
      </c>
    </row>
    <row r="223" ht="15.75" customHeight="1">
      <c r="A223" s="2">
        <v>2.0</v>
      </c>
      <c r="B223" s="2" t="s">
        <v>734</v>
      </c>
      <c r="C223" s="2" t="s">
        <v>735</v>
      </c>
      <c r="D223" s="2" t="s">
        <v>736</v>
      </c>
      <c r="E223" s="2" t="s">
        <v>27</v>
      </c>
      <c r="F223" s="2" t="s">
        <v>15</v>
      </c>
      <c r="G223" s="2" t="s">
        <v>737</v>
      </c>
      <c r="H223" s="2" t="s">
        <v>54</v>
      </c>
      <c r="I223" s="2" t="str">
        <f>IFERROR(__xludf.DUMMYFUNCTION("GOOGLETRANSLATE(C223,""fr"",""en"")"),"Quality of heinous calls, tonight 07/26 for contract modification at 7:40 p.m. or 20 minutes before closure: answer: Ah no it's summer, I don't have my hand on your file (customer since 2008). I can not do anything:")</f>
        <v>Quality of heinous calls, tonight 07/26 for contract modification at 7:40 p.m. or 20 minutes before closure: answer: Ah no it's summer, I don't have my hand on your file (customer since 2008). I can not do anything:</v>
      </c>
    </row>
    <row r="224" ht="15.75" customHeight="1">
      <c r="A224" s="2">
        <v>1.0</v>
      </c>
      <c r="B224" s="2" t="s">
        <v>738</v>
      </c>
      <c r="C224" s="2" t="s">
        <v>739</v>
      </c>
      <c r="D224" s="2" t="s">
        <v>152</v>
      </c>
      <c r="E224" s="2" t="s">
        <v>68</v>
      </c>
      <c r="F224" s="2" t="s">
        <v>15</v>
      </c>
      <c r="G224" s="2" t="s">
        <v>740</v>
      </c>
      <c r="H224" s="2" t="s">
        <v>23</v>
      </c>
      <c r="I224" s="2" t="str">
        <f>IFERROR(__xludf.DUMMYFUNCTION("GOOGLETRANSLATE(C224,""fr"",""en"")"),"I have been a member for years, no claim declared since I was insured with my 3 machines! 50% bonus! The insurance premium increases by 23 % for no reason, it is unacceptable, I take my 3 motorcycles and I will make sure.
")</f>
        <v>I have been a member for years, no claim declared since I was insured with my 3 machines! 50% bonus! The insurance premium increases by 23 % for no reason, it is unacceptable, I take my 3 motorcycles and I will make sure.
</v>
      </c>
    </row>
    <row r="225" ht="15.75" customHeight="1">
      <c r="A225" s="2">
        <v>4.0</v>
      </c>
      <c r="B225" s="2" t="s">
        <v>741</v>
      </c>
      <c r="C225" s="2" t="s">
        <v>742</v>
      </c>
      <c r="D225" s="2" t="s">
        <v>26</v>
      </c>
      <c r="E225" s="2" t="s">
        <v>27</v>
      </c>
      <c r="F225" s="2" t="s">
        <v>15</v>
      </c>
      <c r="G225" s="2" t="s">
        <v>743</v>
      </c>
      <c r="H225" s="2" t="s">
        <v>228</v>
      </c>
      <c r="I225" s="2" t="str">
        <f>IFERROR(__xludf.DUMMYFUNCTION("GOOGLETRANSLATE(C225,""fr"",""en"")"),"I am satisfied with the services.
Pleasant communication with your operators. I am satisfied with prices as well as your welcome on the website.")</f>
        <v>I am satisfied with the services.
Pleasant communication with your operators. I am satisfied with prices as well as your welcome on the website.</v>
      </c>
    </row>
    <row r="226" ht="15.75" customHeight="1">
      <c r="A226" s="2">
        <v>1.0</v>
      </c>
      <c r="B226" s="2" t="s">
        <v>744</v>
      </c>
      <c r="C226" s="2" t="s">
        <v>745</v>
      </c>
      <c r="D226" s="2" t="s">
        <v>217</v>
      </c>
      <c r="E226" s="2" t="s">
        <v>43</v>
      </c>
      <c r="F226" s="2" t="s">
        <v>15</v>
      </c>
      <c r="G226" s="2" t="s">
        <v>746</v>
      </c>
      <c r="H226" s="2" t="s">
        <v>285</v>
      </c>
      <c r="I226" s="2" t="str">
        <f>IFERROR(__xludf.DUMMYFUNCTION("GOOGLETRANSLATE(C226,""fr"",""en"")"),"Inadmissible, I made a request for home insurance and I receive a certificate for a period where I was not in the apartment. And I am made to pay for another insurance that I have never asked and even less accepted. IT'S A SHAME.
To flee !")</f>
        <v>Inadmissible, I made a request for home insurance and I receive a certificate for a period where I was not in the apartment. And I am made to pay for another insurance that I have never asked and even less accepted. IT'S A SHAME.
To flee !</v>
      </c>
    </row>
    <row r="227" ht="15.75" customHeight="1">
      <c r="A227" s="2">
        <v>3.0</v>
      </c>
      <c r="B227" s="2" t="s">
        <v>747</v>
      </c>
      <c r="C227" s="2" t="s">
        <v>748</v>
      </c>
      <c r="D227" s="2" t="s">
        <v>37</v>
      </c>
      <c r="E227" s="2" t="s">
        <v>27</v>
      </c>
      <c r="F227" s="2" t="s">
        <v>15</v>
      </c>
      <c r="G227" s="2" t="s">
        <v>572</v>
      </c>
      <c r="H227" s="2" t="s">
        <v>62</v>
      </c>
      <c r="I227" s="2" t="str">
        <f>IFERROR(__xludf.DUMMYFUNCTION("GOOGLETRANSLATE(C227,""fr"",""en"")"),"Very well I am satisfied and contact you on Monday to resume the contract with you because I do not wish to terminate my insurance in progress cordially Mr. Martin")</f>
        <v>Very well I am satisfied and contact you on Monday to resume the contract with you because I do not wish to terminate my insurance in progress cordially Mr. Martin</v>
      </c>
    </row>
    <row r="228" ht="15.75" customHeight="1">
      <c r="A228" s="2">
        <v>2.0</v>
      </c>
      <c r="B228" s="2" t="s">
        <v>749</v>
      </c>
      <c r="C228" s="2" t="s">
        <v>750</v>
      </c>
      <c r="D228" s="2" t="s">
        <v>42</v>
      </c>
      <c r="E228" s="2" t="s">
        <v>27</v>
      </c>
      <c r="F228" s="2" t="s">
        <v>15</v>
      </c>
      <c r="G228" s="2" t="s">
        <v>751</v>
      </c>
      <c r="H228" s="2" t="s">
        <v>188</v>
      </c>
      <c r="I228" s="2" t="str">
        <f>IFERROR(__xludf.DUMMYFUNCTION("GOOGLETRANSLATE(C228,""fr"",""en"")"),"Society for 50 years, I do not understand why my new vehicle (UX 250) smaller than the previous one (NX 350) is for the same much higher services")</f>
        <v>Society for 50 years, I do not understand why my new vehicle (UX 250) smaller than the previous one (NX 350) is for the same much higher services</v>
      </c>
    </row>
    <row r="229" ht="15.75" customHeight="1">
      <c r="A229" s="2">
        <v>1.0</v>
      </c>
      <c r="B229" s="2" t="s">
        <v>752</v>
      </c>
      <c r="C229" s="2" t="s">
        <v>753</v>
      </c>
      <c r="D229" s="2" t="s">
        <v>78</v>
      </c>
      <c r="E229" s="2" t="s">
        <v>43</v>
      </c>
      <c r="F229" s="2" t="s">
        <v>15</v>
      </c>
      <c r="G229" s="2" t="s">
        <v>754</v>
      </c>
      <c r="H229" s="2" t="s">
        <v>274</v>
      </c>
      <c r="I229" s="2" t="str">
        <f>IFERROR(__xludf.DUMMYFUNCTION("GOOGLETRANSLATE(C229,""fr"",""en"")"),"40% increase in 3 years, for the same house, without any claim.
4 telephone calls, no explanation ... I had to be recalled, I always wait !!!
The subscription price was competitive but be careful.
I will be forced to go to competition.")</f>
        <v>40% increase in 3 years, for the same house, without any claim.
4 telephone calls, no explanation ... I had to be recalled, I always wait !!!
The subscription price was competitive but be careful.
I will be forced to go to competition.</v>
      </c>
    </row>
    <row r="230" ht="15.75" customHeight="1">
      <c r="A230" s="2">
        <v>1.0</v>
      </c>
      <c r="B230" s="2" t="s">
        <v>755</v>
      </c>
      <c r="C230" s="2" t="s">
        <v>756</v>
      </c>
      <c r="D230" s="2" t="s">
        <v>254</v>
      </c>
      <c r="E230" s="2" t="s">
        <v>168</v>
      </c>
      <c r="F230" s="2" t="s">
        <v>15</v>
      </c>
      <c r="G230" s="2" t="s">
        <v>757</v>
      </c>
      <c r="H230" s="2" t="s">
        <v>310</v>
      </c>
      <c r="I230" s="2" t="str">
        <f>IFERROR(__xludf.DUMMYFUNCTION("GOOGLETRANSLATE(C230,""fr"",""en"")"),"During our first contact I told the advisor that I had to think, and that I will contact him, he then insisted to send me a contract, I finally opted for another insurance, the next day I said said To the advisor who asked me where I had subscribed and th"&amp;"en tried to denigrate his competitor, I explained to him that the other was more advantageous and cheaper, he got angry by telling me that it was not true, I Give some examples from where it was more advantageous, he became very aggressive and citing me t"&amp;"he only point where they repay better, I asked him to stop and my choice was made, but that did not Sufficient and he continued and becoming more and more aggressive until I also get the way by telling him to stop, he finally told me good evening and sudd"&amp;"enly hang up
I really do not recommend getting into contact with them because if you are not going in their direction you are attacked by phone")</f>
        <v>During our first contact I told the advisor that I had to think, and that I will contact him, he then insisted to send me a contract, I finally opted for another insurance, the next day I said said To the advisor who asked me where I had subscribed and then tried to denigrate his competitor, I explained to him that the other was more advantageous and cheaper, he got angry by telling me that it was not true, I Give some examples from where it was more advantageous, he became very aggressive and citing me the only point where they repay better, I asked him to stop and my choice was made, but that did not Sufficient and he continued and becoming more and more aggressive until I also get the way by telling him to stop, he finally told me good evening and suddenly hang up
I really do not recommend getting into contact with them because if you are not going in their direction you are attacked by phone</v>
      </c>
    </row>
    <row r="231" ht="15.75" customHeight="1">
      <c r="A231" s="2">
        <v>3.0</v>
      </c>
      <c r="B231" s="2" t="s">
        <v>758</v>
      </c>
      <c r="C231" s="2" t="s">
        <v>759</v>
      </c>
      <c r="D231" s="2" t="s">
        <v>37</v>
      </c>
      <c r="E231" s="2" t="s">
        <v>27</v>
      </c>
      <c r="F231" s="2" t="s">
        <v>15</v>
      </c>
      <c r="G231" s="2" t="s">
        <v>572</v>
      </c>
      <c r="H231" s="2" t="s">
        <v>62</v>
      </c>
      <c r="I231" s="2" t="str">
        <f>IFERROR(__xludf.DUMMYFUNCTION("GOOGLETRANSLATE(C231,""fr"",""en"")"),"It's not bad for a first insurance, I am on the whole satisfied, to see in the coming months.
The site is well done, it is rather intuitive")</f>
        <v>It's not bad for a first insurance, I am on the whole satisfied, to see in the coming months.
The site is well done, it is rather intuitive</v>
      </c>
    </row>
    <row r="232" ht="15.75" customHeight="1">
      <c r="A232" s="2">
        <v>5.0</v>
      </c>
      <c r="B232" s="2" t="s">
        <v>760</v>
      </c>
      <c r="C232" s="2" t="s">
        <v>761</v>
      </c>
      <c r="D232" s="2" t="s">
        <v>26</v>
      </c>
      <c r="E232" s="2" t="s">
        <v>27</v>
      </c>
      <c r="F232" s="2" t="s">
        <v>15</v>
      </c>
      <c r="G232" s="2" t="s">
        <v>762</v>
      </c>
      <c r="H232" s="2" t="s">
        <v>141</v>
      </c>
      <c r="I232" s="2" t="str">
        <f>IFERROR(__xludf.DUMMYFUNCTION("GOOGLETRANSLATE(C232,""fr"",""en"")"),"I am satisfied,
Nothing to say, thank you very much
I recommend
I am waiting to see in the case of a problem, how you will react, otherwise at first appeal, that's good")</f>
        <v>I am satisfied,
Nothing to say, thank you very much
I recommend
I am waiting to see in the case of a problem, how you will react, otherwise at first appeal, that's good</v>
      </c>
    </row>
    <row r="233" ht="15.75" customHeight="1">
      <c r="A233" s="2">
        <v>3.0</v>
      </c>
      <c r="B233" s="2" t="s">
        <v>763</v>
      </c>
      <c r="C233" s="2" t="s">
        <v>764</v>
      </c>
      <c r="D233" s="2" t="s">
        <v>37</v>
      </c>
      <c r="E233" s="2" t="s">
        <v>27</v>
      </c>
      <c r="F233" s="2" t="s">
        <v>15</v>
      </c>
      <c r="G233" s="2" t="s">
        <v>261</v>
      </c>
      <c r="H233" s="2" t="s">
        <v>23</v>
      </c>
      <c r="I233" s="2" t="str">
        <f>IFERROR(__xludf.DUMMYFUNCTION("GOOGLETRANSLATE(C233,""fr"",""en"")"),"Customer service is satisfactory for the moment, I cannot judge too much being a new customer, as regards the subscription, the staff are attentive and fast, I would see later if I have a sinister but I cannot assess at the moment.")</f>
        <v>Customer service is satisfactory for the moment, I cannot judge too much being a new customer, as regards the subscription, the staff are attentive and fast, I would see later if I have a sinister but I cannot assess at the moment.</v>
      </c>
    </row>
    <row r="234" ht="15.75" customHeight="1">
      <c r="A234" s="2">
        <v>1.0</v>
      </c>
      <c r="B234" s="2" t="s">
        <v>765</v>
      </c>
      <c r="C234" s="2" t="s">
        <v>766</v>
      </c>
      <c r="D234" s="2" t="s">
        <v>300</v>
      </c>
      <c r="E234" s="2" t="s">
        <v>27</v>
      </c>
      <c r="F234" s="2" t="s">
        <v>15</v>
      </c>
      <c r="G234" s="2" t="s">
        <v>767</v>
      </c>
      <c r="H234" s="2" t="s">
        <v>170</v>
      </c>
      <c r="I234" s="2" t="str">
        <f>IFERROR(__xludf.DUMMYFUNCTION("GOOGLETRANSLATE(C234,""fr"",""en"")"),"GMF: Insurance that I do not recommend! 18 years of car insurance at home and struck off for a responsible disaster and two non -responsible. A recommended is sent to you overnight announcing your radiation! This insurance abuse its customers abusive. Mor"&amp;"ality: pay insurance and not have even non -responsible claims. Shame on this insurance!")</f>
        <v>GMF: Insurance that I do not recommend! 18 years of car insurance at home and struck off for a responsible disaster and two non -responsible. A recommended is sent to you overnight announcing your radiation! This insurance abuse its customers abusive. Morality: pay insurance and not have even non -responsible claims. Shame on this insurance!</v>
      </c>
    </row>
    <row r="235" ht="15.75" customHeight="1">
      <c r="A235" s="2">
        <v>4.0</v>
      </c>
      <c r="B235" s="2" t="s">
        <v>768</v>
      </c>
      <c r="C235" s="2" t="s">
        <v>769</v>
      </c>
      <c r="D235" s="2" t="s">
        <v>37</v>
      </c>
      <c r="E235" s="2" t="s">
        <v>27</v>
      </c>
      <c r="F235" s="2" t="s">
        <v>15</v>
      </c>
      <c r="G235" s="2" t="s">
        <v>770</v>
      </c>
      <c r="H235" s="2" t="s">
        <v>29</v>
      </c>
      <c r="I235" s="2" t="str">
        <f>IFERROR(__xludf.DUMMYFUNCTION("GOOGLETRANSLATE(C235,""fr"",""en"")"),"Satisfied price and quality telephone reception sponsorship good reception good day I would recommend you to other people.
family and friends")</f>
        <v>Satisfied price and quality telephone reception sponsorship good reception good day I would recommend you to other people.
family and friends</v>
      </c>
    </row>
    <row r="236" ht="15.75" customHeight="1">
      <c r="A236" s="2">
        <v>4.0</v>
      </c>
      <c r="B236" s="2" t="s">
        <v>771</v>
      </c>
      <c r="C236" s="2" t="s">
        <v>772</v>
      </c>
      <c r="D236" s="2" t="s">
        <v>26</v>
      </c>
      <c r="E236" s="2" t="s">
        <v>27</v>
      </c>
      <c r="F236" s="2" t="s">
        <v>15</v>
      </c>
      <c r="G236" s="2" t="s">
        <v>773</v>
      </c>
      <c r="H236" s="2" t="s">
        <v>228</v>
      </c>
      <c r="I236" s="2" t="str">
        <f>IFERROR(__xludf.DUMMYFUNCTION("GOOGLETRANSLATE(C236,""fr"",""en"")"),"The welcome is really very pleasant and fast, the service is effective. I never had any problem.
The prices are average.
Have a good day,
")</f>
        <v>The welcome is really very pleasant and fast, the service is effective. I never had any problem.
The prices are average.
Have a good day,
</v>
      </c>
    </row>
    <row r="237" ht="15.75" customHeight="1">
      <c r="A237" s="2">
        <v>1.0</v>
      </c>
      <c r="B237" s="2" t="s">
        <v>774</v>
      </c>
      <c r="C237" s="2" t="s">
        <v>775</v>
      </c>
      <c r="D237" s="2" t="s">
        <v>37</v>
      </c>
      <c r="E237" s="2" t="s">
        <v>27</v>
      </c>
      <c r="F237" s="2" t="s">
        <v>15</v>
      </c>
      <c r="G237" s="2" t="s">
        <v>776</v>
      </c>
      <c r="H237" s="2" t="s">
        <v>29</v>
      </c>
      <c r="I237" s="2" t="str">
        <f>IFERROR(__xludf.DUMMYFUNCTION("GOOGLETRANSLATE(C237,""fr"",""en"")"),"Very unsatisfied, disaster not taken care of despite insurance any risk.
No direct contact possible from Direct Insurance
Dependent expert to prevent the insurer from paying")</f>
        <v>Very unsatisfied, disaster not taken care of despite insurance any risk.
No direct contact possible from Direct Insurance
Dependent expert to prevent the insurer from paying</v>
      </c>
    </row>
    <row r="238" ht="15.75" customHeight="1">
      <c r="A238" s="2">
        <v>1.0</v>
      </c>
      <c r="B238" s="2" t="s">
        <v>777</v>
      </c>
      <c r="C238" s="2" t="s">
        <v>778</v>
      </c>
      <c r="D238" s="2" t="s">
        <v>167</v>
      </c>
      <c r="E238" s="2" t="s">
        <v>168</v>
      </c>
      <c r="F238" s="2" t="s">
        <v>15</v>
      </c>
      <c r="G238" s="2" t="s">
        <v>592</v>
      </c>
      <c r="H238" s="2" t="s">
        <v>592</v>
      </c>
      <c r="I238" s="2" t="str">
        <f>IFERROR(__xludf.DUMMYFUNCTION("GOOGLETRANSLATE(C238,""fr"",""en"")"),"Deplurable insurance which does not reimburse anything and which engages you for one year with tacit renewal even if in the meantime you no longer have your animal. After -sales service with which it is impossible to exchange. Harlled for months to pay in"&amp;"surance for animals that I no longer have. Recommended sent and received but not recognized by insurance. When does stupidity stop?")</f>
        <v>Deplurable insurance which does not reimburse anything and which engages you for one year with tacit renewal even if in the meantime you no longer have your animal. After -sales service with which it is impossible to exchange. Harlled for months to pay insurance for animals that I no longer have. Recommended sent and received but not recognized by insurance. When does stupidity stop?</v>
      </c>
    </row>
    <row r="239" ht="15.75" customHeight="1">
      <c r="A239" s="2">
        <v>2.0</v>
      </c>
      <c r="B239" s="2" t="s">
        <v>779</v>
      </c>
      <c r="C239" s="2" t="s">
        <v>780</v>
      </c>
      <c r="D239" s="2" t="s">
        <v>368</v>
      </c>
      <c r="E239" s="2" t="s">
        <v>68</v>
      </c>
      <c r="F239" s="2" t="s">
        <v>15</v>
      </c>
      <c r="G239" s="2" t="s">
        <v>781</v>
      </c>
      <c r="H239" s="2" t="s">
        <v>174</v>
      </c>
      <c r="I239" s="2" t="str">
        <f>IFERROR(__xludf.DUMMYFUNCTION("GOOGLETRANSLATE(C239,""fr"",""en"")"),"Practicing the green motorcycle in hiking following a fall in a path and 4 broken ratings I found myself in the impossibility of continuing my journey the motorcycle with a makeshift repair of the clutch casserole Parvins to drag it. Requesting the repatr"&amp;"iation of the bike at my home, what was my surprise to wipe a refusal under the pretext that it was rolling: it had had to deteriorate it voluntarily to obtain the Césame, not very responsible as an attitude I had to try to try to Return to my point of ar"&amp;"rival at 150 km with 4 broken dimensions (try to see) without offering me a solution in the middle of the Auvergne pampa (long live the Auvergne) I did not feel very surrounded !!! I know what I have to do during the next contract renewal.")</f>
        <v>Practicing the green motorcycle in hiking following a fall in a path and 4 broken ratings I found myself in the impossibility of continuing my journey the motorcycle with a makeshift repair of the clutch casserole Parvins to drag it. Requesting the repatriation of the bike at my home, what was my surprise to wipe a refusal under the pretext that it was rolling: it had had to deteriorate it voluntarily to obtain the Césame, not very responsible as an attitude I had to try to try to Return to my point of arrival at 150 km with 4 broken dimensions (try to see) without offering me a solution in the middle of the Auvergne pampa (long live the Auvergne) I did not feel very surrounded !!! I know what I have to do during the next contract renewal.</v>
      </c>
    </row>
    <row r="240" ht="15.75" customHeight="1">
      <c r="A240" s="2">
        <v>2.0</v>
      </c>
      <c r="B240" s="2" t="s">
        <v>782</v>
      </c>
      <c r="C240" s="2" t="s">
        <v>783</v>
      </c>
      <c r="D240" s="2" t="s">
        <v>57</v>
      </c>
      <c r="E240" s="2" t="s">
        <v>43</v>
      </c>
      <c r="F240" s="2" t="s">
        <v>15</v>
      </c>
      <c r="G240" s="2" t="s">
        <v>784</v>
      </c>
      <c r="H240" s="2" t="s">
        <v>112</v>
      </c>
      <c r="I240" s="2" t="str">
        <f>IFERROR(__xludf.DUMMYFUNCTION("GOOGLETRANSLATE(C240,""fr"",""en"")"),"Putting a star is already too much! flee
Know that during a disaster, except for declared the claim you will have a lot of trouble getting answers to your questions because unreachable on the phone outside work hours 9 a.m. - 12 p.m. and 2 p.m. Obviously"&amp;" no agency!
I had a watershed in October 2020 and today the work has still not started!")</f>
        <v>Putting a star is already too much! flee
Know that during a disaster, except for declared the claim you will have a lot of trouble getting answers to your questions because unreachable on the phone outside work hours 9 a.m. - 12 p.m. and 2 p.m. Obviously no agency!
I had a watershed in October 2020 and today the work has still not started!</v>
      </c>
    </row>
    <row r="241" ht="15.75" customHeight="1">
      <c r="A241" s="2">
        <v>1.0</v>
      </c>
      <c r="B241" s="2" t="s">
        <v>785</v>
      </c>
      <c r="C241" s="2" t="s">
        <v>786</v>
      </c>
      <c r="D241" s="2" t="s">
        <v>736</v>
      </c>
      <c r="E241" s="2" t="s">
        <v>27</v>
      </c>
      <c r="F241" s="2" t="s">
        <v>15</v>
      </c>
      <c r="G241" s="2" t="s">
        <v>770</v>
      </c>
      <c r="H241" s="2" t="s">
        <v>29</v>
      </c>
      <c r="I241" s="2" t="str">
        <f>IFERROR(__xludf.DUMMYFUNCTION("GOOGLETRANSLATE(C241,""fr"",""en"")"),"Following a hanging without any damage following parking, I was the victim of fraud abroad.
I challenged the signing of the accident observation by mail following a forced signature by the Turkish complainant living in France and not speaking our languag"&amp;"e, witnessed by two federal agents of the Swiss police which he brought.
In one year, I have never had the slightest response from Eurofil, and no one is able to tell me more between the contributions and claims service, not to mention hours of waiting o"&amp;"n the phone.
Fischer Stéphane")</f>
        <v>Following a hanging without any damage following parking, I was the victim of fraud abroad.
I challenged the signing of the accident observation by mail following a forced signature by the Turkish complainant living in France and not speaking our language, witnessed by two federal agents of the Swiss police which he brought.
In one year, I have never had the slightest response from Eurofil, and no one is able to tell me more between the contributions and claims service, not to mention hours of waiting on the phone.
Fischer Stéphane</v>
      </c>
    </row>
    <row r="242" ht="15.75" customHeight="1">
      <c r="A242" s="2">
        <v>5.0</v>
      </c>
      <c r="B242" s="2" t="s">
        <v>787</v>
      </c>
      <c r="C242" s="2" t="s">
        <v>788</v>
      </c>
      <c r="D242" s="2" t="s">
        <v>37</v>
      </c>
      <c r="E242" s="2" t="s">
        <v>27</v>
      </c>
      <c r="F242" s="2" t="s">
        <v>15</v>
      </c>
      <c r="G242" s="2" t="s">
        <v>789</v>
      </c>
      <c r="H242" s="2" t="s">
        <v>62</v>
      </c>
      <c r="I242" s="2" t="str">
        <f>IFERROR(__xludf.DUMMYFUNCTION("GOOGLETRANSLATE(C242,""fr"",""en"")"),"I am satisfied with your insurance I recommend it to all my friends and menbus of my family. Level value price I find that it challenges any competitor")</f>
        <v>I am satisfied with your insurance I recommend it to all my friends and menbus of my family. Level value price I find that it challenges any competitor</v>
      </c>
    </row>
    <row r="243" ht="15.75" customHeight="1">
      <c r="A243" s="2">
        <v>4.0</v>
      </c>
      <c r="B243" s="2" t="s">
        <v>790</v>
      </c>
      <c r="C243" s="2" t="s">
        <v>791</v>
      </c>
      <c r="D243" s="2" t="s">
        <v>37</v>
      </c>
      <c r="E243" s="2" t="s">
        <v>27</v>
      </c>
      <c r="F243" s="2" t="s">
        <v>15</v>
      </c>
      <c r="G243" s="2" t="s">
        <v>792</v>
      </c>
      <c r="H243" s="2" t="s">
        <v>88</v>
      </c>
      <c r="I243" s="2" t="str">
        <f>IFERROR(__xludf.DUMMYFUNCTION("GOOGLETRANSLATE(C243,""fr"",""en"")"),"I am satisfied with direct insurance I was able to obtain a good quote in all risks and I am satisfied with the process. I wish you good luck thank you")</f>
        <v>I am satisfied with direct insurance I was able to obtain a good quote in all risks and I am satisfied with the process. I wish you good luck thank you</v>
      </c>
    </row>
    <row r="244" ht="15.75" customHeight="1">
      <c r="A244" s="2">
        <v>4.0</v>
      </c>
      <c r="B244" s="2" t="s">
        <v>793</v>
      </c>
      <c r="C244" s="2" t="s">
        <v>794</v>
      </c>
      <c r="D244" s="2" t="s">
        <v>67</v>
      </c>
      <c r="E244" s="2" t="s">
        <v>68</v>
      </c>
      <c r="F244" s="2" t="s">
        <v>15</v>
      </c>
      <c r="G244" s="2" t="s">
        <v>795</v>
      </c>
      <c r="H244" s="2" t="s">
        <v>141</v>
      </c>
      <c r="I244" s="2" t="str">
        <f>IFERROR(__xludf.DUMMYFUNCTION("GOOGLETRANSLATE(C244,""fr"",""en"")"),"Good first impression on the price and the guarantees offered by April Moto with regard to membership of my motorcycle insurance in October 2021")</f>
        <v>Good first impression on the price and the guarantees offered by April Moto with regard to membership of my motorcycle insurance in October 2021</v>
      </c>
    </row>
    <row r="245" ht="15.75" customHeight="1">
      <c r="A245" s="2">
        <v>4.0</v>
      </c>
      <c r="B245" s="2" t="s">
        <v>796</v>
      </c>
      <c r="C245" s="2" t="s">
        <v>797</v>
      </c>
      <c r="D245" s="2" t="s">
        <v>37</v>
      </c>
      <c r="E245" s="2" t="s">
        <v>27</v>
      </c>
      <c r="F245" s="2" t="s">
        <v>15</v>
      </c>
      <c r="G245" s="2" t="s">
        <v>798</v>
      </c>
      <c r="H245" s="2" t="s">
        <v>274</v>
      </c>
      <c r="I245" s="2" t="str">
        <f>IFERROR(__xludf.DUMMYFUNCTION("GOOGLETRANSLATE(C245,""fr"",""en"")"),"It is a very serious and effective insurance company, the only thing that bothers me and I leave it for this reason is the annual increase in the contract of two hundred euros over a year without modification of the contract, in doubt I prefer to leave be"&amp;"fore the next deadline.")</f>
        <v>It is a very serious and effective insurance company, the only thing that bothers me and I leave it for this reason is the annual increase in the contract of two hundred euros over a year without modification of the contract, in doubt I prefer to leave before the next deadline.</v>
      </c>
    </row>
    <row r="246" ht="15.75" customHeight="1">
      <c r="A246" s="2">
        <v>1.0</v>
      </c>
      <c r="B246" s="2" t="s">
        <v>799</v>
      </c>
      <c r="C246" s="2" t="s">
        <v>800</v>
      </c>
      <c r="D246" s="2" t="s">
        <v>355</v>
      </c>
      <c r="E246" s="2" t="s">
        <v>43</v>
      </c>
      <c r="F246" s="2" t="s">
        <v>15</v>
      </c>
      <c r="G246" s="2" t="s">
        <v>801</v>
      </c>
      <c r="H246" s="2" t="s">
        <v>29</v>
      </c>
      <c r="I246" s="2" t="str">
        <f>IFERROR(__xludf.DUMMYFUNCTION("GOOGLETRANSLATE(C246,""fr"",""en"")"),"An unjustified increase of 55.27 this year when I have no claim for years and everything happens by Internet no direct contact with the agency")</f>
        <v>An unjustified increase of 55.27 this year when I have no claim for years and everything happens by Internet no direct contact with the agency</v>
      </c>
    </row>
    <row r="247" ht="15.75" customHeight="1">
      <c r="A247" s="2">
        <v>5.0</v>
      </c>
      <c r="B247" s="2" t="s">
        <v>802</v>
      </c>
      <c r="C247" s="2" t="s">
        <v>803</v>
      </c>
      <c r="D247" s="2" t="s">
        <v>26</v>
      </c>
      <c r="E247" s="2" t="s">
        <v>27</v>
      </c>
      <c r="F247" s="2" t="s">
        <v>15</v>
      </c>
      <c r="G247" s="2" t="s">
        <v>361</v>
      </c>
      <c r="H247" s="2" t="s">
        <v>62</v>
      </c>
      <c r="I247" s="2" t="str">
        <f>IFERROR(__xludf.DUMMYFUNCTION("GOOGLETRANSLATE(C247,""fr"",""en"")"),"Very good service, reasonable price. I am very satisfied with this insurance company and their guarantees.
Fast and easy access service to validate and sign")</f>
        <v>Very good service, reasonable price. I am very satisfied with this insurance company and their guarantees.
Fast and easy access service to validate and sign</v>
      </c>
    </row>
    <row r="248" ht="15.75" customHeight="1">
      <c r="A248" s="2">
        <v>1.0</v>
      </c>
      <c r="B248" s="2" t="s">
        <v>804</v>
      </c>
      <c r="C248" s="2" t="s">
        <v>805</v>
      </c>
      <c r="D248" s="2" t="s">
        <v>20</v>
      </c>
      <c r="E248" s="2" t="s">
        <v>21</v>
      </c>
      <c r="F248" s="2" t="s">
        <v>15</v>
      </c>
      <c r="G248" s="2" t="s">
        <v>806</v>
      </c>
      <c r="H248" s="2" t="s">
        <v>88</v>
      </c>
      <c r="I248" s="2" t="str">
        <f>IFERROR(__xludf.DUMMYFUNCTION("GOOGLETRANSLATE(C248,""fr"",""en"")"),"Following the contractual termination of my employment contract August 2021
Impossible to enforce by Mercer France the portability of my contract (mutual) after 16 years of seniority, I benefit from the portability for a period of 1 year
I transmitted t"&amp;"o Mercer 3 times the document Opening of the ARE rights (Pôle Emploi) which includes all the information, in particular the deficiency period + 'compensation which will start on March 05, 2022
Mercer Persites to claim payment certificates that it is impo"&amp;"ssible for me to provide because my compensation will start only on March 5, 2022. They do not take into account my explanations
Finally, since yesterday I no longer have access to my Mercer space- my identifier no longer works, as if by chance ... so im"&amp;"possible to exchange with Mercer
No other solution than to seize the mediator and court if necessary?
")</f>
        <v>Following the contractual termination of my employment contract August 2021
Impossible to enforce by Mercer France the portability of my contract (mutual) after 16 years of seniority, I benefit from the portability for a period of 1 year
I transmitted to Mercer 3 times the document Opening of the ARE rights (Pôle Emploi) which includes all the information, in particular the deficiency period + 'compensation which will start on March 05, 2022
Mercer Persites to claim payment certificates that it is impossible for me to provide because my compensation will start only on March 5, 2022. They do not take into account my explanations
Finally, since yesterday I no longer have access to my Mercer space- my identifier no longer works, as if by chance ... so impossible to exchange with Mercer
No other solution than to seize the mediator and court if necessary?
</v>
      </c>
    </row>
    <row r="249" ht="15.75" customHeight="1">
      <c r="A249" s="2">
        <v>3.0</v>
      </c>
      <c r="B249" s="2" t="s">
        <v>807</v>
      </c>
      <c r="C249" s="2" t="s">
        <v>808</v>
      </c>
      <c r="D249" s="2" t="s">
        <v>194</v>
      </c>
      <c r="E249" s="2" t="s">
        <v>14</v>
      </c>
      <c r="F249" s="2" t="s">
        <v>15</v>
      </c>
      <c r="G249" s="2" t="s">
        <v>809</v>
      </c>
      <c r="H249" s="2" t="s">
        <v>134</v>
      </c>
      <c r="I249" s="2" t="str">
        <f>IFERROR(__xludf.DUMMYFUNCTION("GOOGLETRANSLATE(C249,""fr"",""en"")"),"We will see in use if I remain satisfied, in any case you respond quickly.
By cons my bank did not appear in the choices with the postal address")</f>
        <v>We will see in use if I remain satisfied, in any case you respond quickly.
By cons my bank did not appear in the choices with the postal address</v>
      </c>
    </row>
    <row r="250" ht="15.75" customHeight="1">
      <c r="A250" s="2">
        <v>1.0</v>
      </c>
      <c r="B250" s="2" t="s">
        <v>810</v>
      </c>
      <c r="C250" s="2" t="s">
        <v>811</v>
      </c>
      <c r="D250" s="2" t="s">
        <v>288</v>
      </c>
      <c r="E250" s="2" t="s">
        <v>289</v>
      </c>
      <c r="F250" s="2" t="s">
        <v>15</v>
      </c>
      <c r="G250" s="2" t="s">
        <v>812</v>
      </c>
      <c r="H250" s="2" t="s">
        <v>698</v>
      </c>
      <c r="I250" s="2" t="str">
        <f>IFERROR(__xludf.DUMMYFUNCTION("GOOGLETRANSLATE(C250,""fr"",""en"")"),"I made a total acquisition, because I am annoyed by the total absence of management, for which I paid the costs well")</f>
        <v>I made a total acquisition, because I am annoyed by the total absence of management, for which I paid the costs well</v>
      </c>
    </row>
    <row r="251" ht="15.75" customHeight="1">
      <c r="A251" s="2">
        <v>1.0</v>
      </c>
      <c r="B251" s="2" t="s">
        <v>813</v>
      </c>
      <c r="C251" s="2" t="s">
        <v>814</v>
      </c>
      <c r="D251" s="2" t="s">
        <v>217</v>
      </c>
      <c r="E251" s="2" t="s">
        <v>43</v>
      </c>
      <c r="F251" s="2" t="s">
        <v>15</v>
      </c>
      <c r="G251" s="2" t="s">
        <v>815</v>
      </c>
      <c r="H251" s="2" t="s">
        <v>39</v>
      </c>
      <c r="I251" s="2" t="str">
        <f>IFERROR(__xludf.DUMMYFUNCTION("GOOGLETRANSLATE(C251,""fr"",""en"")"),"Soon with a competitor without delirious infrastructure. No staff, no incompetence.")</f>
        <v>Soon with a competitor without delirious infrastructure. No staff, no incompetence.</v>
      </c>
    </row>
    <row r="252" ht="15.75" customHeight="1">
      <c r="A252" s="2">
        <v>5.0</v>
      </c>
      <c r="B252" s="2" t="s">
        <v>816</v>
      </c>
      <c r="C252" s="2" t="s">
        <v>817</v>
      </c>
      <c r="D252" s="2" t="s">
        <v>37</v>
      </c>
      <c r="E252" s="2" t="s">
        <v>27</v>
      </c>
      <c r="F252" s="2" t="s">
        <v>15</v>
      </c>
      <c r="G252" s="2" t="s">
        <v>784</v>
      </c>
      <c r="H252" s="2" t="s">
        <v>112</v>
      </c>
      <c r="I252" s="2" t="str">
        <f>IFERROR(__xludf.DUMMYFUNCTION("GOOGLETRANSLATE(C252,""fr"",""en"")"),"Very good insurance good customer tracking service, just a shame not to see access to the online bonus documents online quote simple and quick")</f>
        <v>Very good insurance good customer tracking service, just a shame not to see access to the online bonus documents online quote simple and quick</v>
      </c>
    </row>
    <row r="253" ht="15.75" customHeight="1">
      <c r="A253" s="2">
        <v>4.0</v>
      </c>
      <c r="B253" s="2" t="s">
        <v>818</v>
      </c>
      <c r="C253" s="2" t="s">
        <v>819</v>
      </c>
      <c r="D253" s="2" t="s">
        <v>37</v>
      </c>
      <c r="E253" s="2" t="s">
        <v>27</v>
      </c>
      <c r="F253" s="2" t="s">
        <v>15</v>
      </c>
      <c r="G253" s="2" t="s">
        <v>820</v>
      </c>
      <c r="H253" s="2" t="s">
        <v>80</v>
      </c>
      <c r="I253" s="2" t="str">
        <f>IFERROR(__xludf.DUMMYFUNCTION("GOOGLETRANSLATE(C253,""fr"",""en"")"),"Satisfied with the service reminded me of that can thank you for reminding that you could thank you very much good evening to you
I have a contract with you with the same email")</f>
        <v>Satisfied with the service reminded me of that can thank you for reminding that you could thank you very much good evening to you
I have a contract with you with the same email</v>
      </c>
    </row>
    <row r="254" ht="15.75" customHeight="1">
      <c r="A254" s="2">
        <v>5.0</v>
      </c>
      <c r="B254" s="2" t="s">
        <v>821</v>
      </c>
      <c r="C254" s="2" t="s">
        <v>822</v>
      </c>
      <c r="D254" s="2" t="s">
        <v>26</v>
      </c>
      <c r="E254" s="2" t="s">
        <v>27</v>
      </c>
      <c r="F254" s="2" t="s">
        <v>15</v>
      </c>
      <c r="G254" s="2" t="s">
        <v>823</v>
      </c>
      <c r="H254" s="2" t="s">
        <v>23</v>
      </c>
      <c r="I254" s="2" t="str">
        <f>IFERROR(__xludf.DUMMYFUNCTION("GOOGLETRANSLATE(C254,""fr"",""en"")"),"An advisor can easily be reached (with a non -surcharged number!).
The welcome is pleasant and the explanations very clear, as well as the advice.
The price is extremely competitive, with identical guarantees.")</f>
        <v>An advisor can easily be reached (with a non -surcharged number!).
The welcome is pleasant and the explanations very clear, as well as the advice.
The price is extremely competitive, with identical guarantees.</v>
      </c>
    </row>
    <row r="255" ht="15.75" customHeight="1">
      <c r="A255" s="2">
        <v>1.0</v>
      </c>
      <c r="B255" s="2" t="s">
        <v>824</v>
      </c>
      <c r="C255" s="2" t="s">
        <v>825</v>
      </c>
      <c r="D255" s="2" t="s">
        <v>599</v>
      </c>
      <c r="E255" s="2" t="s">
        <v>168</v>
      </c>
      <c r="F255" s="2" t="s">
        <v>15</v>
      </c>
      <c r="G255" s="2" t="s">
        <v>826</v>
      </c>
      <c r="H255" s="2" t="s">
        <v>45</v>
      </c>
      <c r="I255" s="2" t="str">
        <f>IFERROR(__xludf.DUMMYFUNCTION("GOOGLETRANSLATE(C255,""fr"",""en"")"),"By email we have just been informed that the amount of the contribution provided for in 1/1/2020 will suffer an increase of 78.8% for a dog which is 7 years old,
Reason for the increase: they observed an increase in the prices of vetos and care of around"&amp;" 8%, everything is approximate, no reference to an index ??? It remains to explain the gap of 70.8 % ??
We sent an email to have explanations, radio silence ...
Do not let yourself be done, we take the side of terminating in the face of silence and this"&amp;" type of abuse")</f>
        <v>By email we have just been informed that the amount of the contribution provided for in 1/1/2020 will suffer an increase of 78.8% for a dog which is 7 years old,
Reason for the increase: they observed an increase in the prices of vetos and care of around 8%, everything is approximate, no reference to an index ??? It remains to explain the gap of 70.8 % ??
We sent an email to have explanations, radio silence ...
Do not let yourself be done, we take the side of terminating in the face of silence and this type of abuse</v>
      </c>
    </row>
    <row r="256" ht="15.75" customHeight="1">
      <c r="A256" s="2">
        <v>3.0</v>
      </c>
      <c r="B256" s="2" t="s">
        <v>827</v>
      </c>
      <c r="C256" s="2" t="s">
        <v>828</v>
      </c>
      <c r="D256" s="2" t="s">
        <v>368</v>
      </c>
      <c r="E256" s="2" t="s">
        <v>68</v>
      </c>
      <c r="F256" s="2" t="s">
        <v>15</v>
      </c>
      <c r="G256" s="2" t="s">
        <v>829</v>
      </c>
      <c r="H256" s="2" t="s">
        <v>62</v>
      </c>
      <c r="I256" s="2" t="str">
        <f>IFERROR(__xludf.DUMMYFUNCTION("GOOGLETRANSLATE(C256,""fr"",""en"")"),"The price is correct
The non -assistance even during an accident without taking the assistance option is a negative point ...
It is too early to note satisfaction because it is during a disaster that the quality of service and care of the insurer can be"&amp;" valued.")</f>
        <v>The price is correct
The non -assistance even during an accident without taking the assistance option is a negative point ...
It is too early to note satisfaction because it is during a disaster that the quality of service and care of the insurer can be valued.</v>
      </c>
    </row>
    <row r="257" ht="15.75" customHeight="1">
      <c r="A257" s="2">
        <v>1.0</v>
      </c>
      <c r="B257" s="2" t="s">
        <v>830</v>
      </c>
      <c r="C257" s="2" t="s">
        <v>831</v>
      </c>
      <c r="D257" s="2" t="s">
        <v>37</v>
      </c>
      <c r="E257" s="2" t="s">
        <v>27</v>
      </c>
      <c r="F257" s="2" t="s">
        <v>15</v>
      </c>
      <c r="G257" s="2" t="s">
        <v>72</v>
      </c>
      <c r="H257" s="2" t="s">
        <v>23</v>
      </c>
      <c r="I257" s="2" t="str">
        <f>IFERROR(__xludf.DUMMYFUNCTION("GOOGLETRANSLATE(C257,""fr"",""en"")"),"Formula any risk far too expensive for a 2001 car!
Impossible to lower !!
I will terminate soon because I had a quote of 466 euros with competition instead of 677 euros with you ... for identical service!
Thank you to ask for my opinion!")</f>
        <v>Formula any risk far too expensive for a 2001 car!
Impossible to lower !!
I will terminate soon because I had a quote of 466 euros with competition instead of 677 euros with you ... for identical service!
Thank you to ask for my opinion!</v>
      </c>
    </row>
    <row r="258" ht="15.75" customHeight="1">
      <c r="A258" s="2">
        <v>4.0</v>
      </c>
      <c r="B258" s="2" t="s">
        <v>832</v>
      </c>
      <c r="C258" s="2" t="s">
        <v>833</v>
      </c>
      <c r="D258" s="2" t="s">
        <v>26</v>
      </c>
      <c r="E258" s="2" t="s">
        <v>27</v>
      </c>
      <c r="F258" s="2" t="s">
        <v>15</v>
      </c>
      <c r="G258" s="2" t="s">
        <v>834</v>
      </c>
      <c r="H258" s="2" t="s">
        <v>112</v>
      </c>
      <c r="I258" s="2" t="str">
        <f>IFERROR(__xludf.DUMMYFUNCTION("GOOGLETRANSLATE(C258,""fr"",""en"")"),"I am satisfied with the service, simple and quick in terms of formality and advisor to listening.
I am delighted and will advise this insurance to my loved ones.")</f>
        <v>I am satisfied with the service, simple and quick in terms of formality and advisor to listening.
I am delighted and will advise this insurance to my loved ones.</v>
      </c>
    </row>
    <row r="259" ht="15.75" customHeight="1">
      <c r="A259" s="2">
        <v>2.0</v>
      </c>
      <c r="B259" s="2" t="s">
        <v>835</v>
      </c>
      <c r="C259" s="2" t="s">
        <v>836</v>
      </c>
      <c r="D259" s="2" t="s">
        <v>26</v>
      </c>
      <c r="E259" s="2" t="s">
        <v>27</v>
      </c>
      <c r="F259" s="2" t="s">
        <v>15</v>
      </c>
      <c r="G259" s="2" t="s">
        <v>441</v>
      </c>
      <c r="H259" s="2" t="s">
        <v>29</v>
      </c>
      <c r="I259" s="2" t="str">
        <f>IFERROR(__xludf.DUMMYFUNCTION("GOOGLETRANSLATE(C259,""fr"",""en"")"),"Big big mistake to those who, unfortunately will take the olive assurance !!! More than 6 months after the disaster I still expect compensation. And unfortunately I am not the only one in the same case after several research.")</f>
        <v>Big big mistake to those who, unfortunately will take the olive assurance !!! More than 6 months after the disaster I still expect compensation. And unfortunately I am not the only one in the same case after several research.</v>
      </c>
    </row>
    <row r="260" ht="15.75" customHeight="1">
      <c r="A260" s="2">
        <v>2.0</v>
      </c>
      <c r="B260" s="2" t="s">
        <v>837</v>
      </c>
      <c r="C260" s="2" t="s">
        <v>838</v>
      </c>
      <c r="D260" s="2" t="s">
        <v>57</v>
      </c>
      <c r="E260" s="2" t="s">
        <v>43</v>
      </c>
      <c r="F260" s="2" t="s">
        <v>15</v>
      </c>
      <c r="G260" s="2" t="s">
        <v>839</v>
      </c>
      <c r="H260" s="2" t="s">
        <v>840</v>
      </c>
      <c r="I260" s="2" t="str">
        <f>IFERROR(__xludf.DUMMYFUNCTION("GOOGLETRANSLATE(C260,""fr"",""en"")"),"The worst insurance in the world. Water damage in October 2019 due to a carpenter, Pacifica has never relaunched or put pressure to resume work. 2nd water damage in April 2020. Result: a 600 -year -old house with soaked beams.
PS: Pacifica did not take c"&amp;"are of the first water damage !!!")</f>
        <v>The worst insurance in the world. Water damage in October 2019 due to a carpenter, Pacifica has never relaunched or put pressure to resume work. 2nd water damage in April 2020. Result: a 600 -year -old house with soaked beams.
PS: Pacifica did not take care of the first water damage !!!</v>
      </c>
    </row>
    <row r="261" ht="15.75" customHeight="1">
      <c r="A261" s="2">
        <v>1.0</v>
      </c>
      <c r="B261" s="2" t="s">
        <v>841</v>
      </c>
      <c r="C261" s="2" t="s">
        <v>842</v>
      </c>
      <c r="D261" s="2" t="s">
        <v>254</v>
      </c>
      <c r="E261" s="2" t="s">
        <v>168</v>
      </c>
      <c r="F261" s="2" t="s">
        <v>15</v>
      </c>
      <c r="G261" s="2" t="s">
        <v>843</v>
      </c>
      <c r="H261" s="2" t="s">
        <v>219</v>
      </c>
      <c r="I261" s="2" t="str">
        <f>IFERROR(__xludf.DUMMYFUNCTION("GOOGLETRANSLATE(C261,""fr"",""en"")"),"O pointed all over the line. I have been insured since 2004 for my Toy Pinscher who is 8 years old and I am very unhappy with ECA. Indeed my little pinscher has a disease that is a shunt (his liver does not work) and from 3 months old he is under treatmen"&amp;"t for life with 2 drugs morning and evening. However in 2017 and 2018 ECA did not reimburse me on the pretext that they are medocs for fleas and for constipation. It is a shame because one is an antibiotic. And despite a certificate from my veterinarian I"&amp;" am not always refunded despite reminders such emails and letters! In addition to 24th in 2014 I went to 51st !! I will contact my insurer's legal service because they make fun of the world cdt")</f>
        <v>O pointed all over the line. I have been insured since 2004 for my Toy Pinscher who is 8 years old and I am very unhappy with ECA. Indeed my little pinscher has a disease that is a shunt (his liver does not work) and from 3 months old he is under treatment for life with 2 drugs morning and evening. However in 2017 and 2018 ECA did not reimburse me on the pretext that they are medocs for fleas and for constipation. It is a shame because one is an antibiotic. And despite a certificate from my veterinarian I am not always refunded despite reminders such emails and letters! In addition to 24th in 2014 I went to 51st !! I will contact my insurer's legal service because they make fun of the world cdt</v>
      </c>
    </row>
    <row r="262" ht="15.75" customHeight="1">
      <c r="A262" s="2">
        <v>4.0</v>
      </c>
      <c r="B262" s="2" t="s">
        <v>844</v>
      </c>
      <c r="C262" s="2" t="s">
        <v>845</v>
      </c>
      <c r="D262" s="2" t="s">
        <v>67</v>
      </c>
      <c r="E262" s="2" t="s">
        <v>68</v>
      </c>
      <c r="F262" s="2" t="s">
        <v>15</v>
      </c>
      <c r="G262" s="2" t="s">
        <v>87</v>
      </c>
      <c r="H262" s="2" t="s">
        <v>88</v>
      </c>
      <c r="I262" s="2" t="str">
        <f>IFERROR(__xludf.DUMMYFUNCTION("GOOGLETRANSLATE(C262,""fr"",""en"")"),"Excellent price and unbeatable warranty !!! For a scooter compared to other insurance on the market thank you again !! I will think of you when I pass my motorcycle license")</f>
        <v>Excellent price and unbeatable warranty !!! For a scooter compared to other insurance on the market thank you again !! I will think of you when I pass my motorcycle license</v>
      </c>
    </row>
    <row r="263" ht="15.75" customHeight="1">
      <c r="A263" s="2">
        <v>1.0</v>
      </c>
      <c r="B263" s="2" t="s">
        <v>846</v>
      </c>
      <c r="C263" s="2" t="s">
        <v>847</v>
      </c>
      <c r="D263" s="2" t="s">
        <v>209</v>
      </c>
      <c r="E263" s="2" t="s">
        <v>21</v>
      </c>
      <c r="F263" s="2" t="s">
        <v>15</v>
      </c>
      <c r="G263" s="2" t="s">
        <v>848</v>
      </c>
      <c r="H263" s="2" t="s">
        <v>134</v>
      </c>
      <c r="I263" s="2" t="str">
        <f>IFERROR(__xludf.DUMMYFUNCTION("GOOGLETRANSLATE(C263,""fr"",""en"")"),"Since April I have been trying to register for MGEN:
- First time: my file is sent by the CPAM to the MGEN, after 2 months I have no news and when I call, I am told that the deadlines are long that this is normal.
Problem: the high school which sends "&amp;"wages to the AED do not want to pay me time that I have no certificate ensuring that I am at the MGEN.
- So 2nd time: I go directly to the site to explain my problem and there, I am told that they have no trace of my file! So I register directly on sit"&amp;"e.
- 10 days later, I am still not paid and I have no news from the MGEN, so I decide to call 3676, 2 times and the agents all tell me that they have no document to my Name what I quote ""is not normal"". Impossible to contact a Var advisor, the agents"&amp;" I on the phone all sent an email to the Var agency so that they remind me as soon as possible!
And there always no news. I managed to contact the advisor who took care of my file (by email, always impossible to have no phone) and she tells me that she"&amp;" has transmitted my file to the management center but that ""if the File is lost, send us the form completed with the supporting documents "". So that means that it is likely that my file is lost ??? And that I have to fend for myself! It is impossible fo"&amp;"r them to reach the management center to see the follow -up of my registration ???
However, I said it was very important since it's already two months since I work for free, I do not perceive any salary .....
I find it scandalous that my request is "&amp;"minimized at this point ...")</f>
        <v>Since April I have been trying to register for MGEN:
- First time: my file is sent by the CPAM to the MGEN, after 2 months I have no news and when I call, I am told that the deadlines are long that this is normal.
Problem: the high school which sends wages to the AED do not want to pay me time that I have no certificate ensuring that I am at the MGEN.
- So 2nd time: I go directly to the site to explain my problem and there, I am told that they have no trace of my file! So I register directly on site.
- 10 days later, I am still not paid and I have no news from the MGEN, so I decide to call 3676, 2 times and the agents all tell me that they have no document to my Name what I quote "is not normal". Impossible to contact a Var advisor, the agents I on the phone all sent an email to the Var agency so that they remind me as soon as possible!
And there always no news. I managed to contact the advisor who took care of my file (by email, always impossible to have no phone) and she tells me that she has transmitted my file to the management center but that "if the File is lost, send us the form completed with the supporting documents ". So that means that it is likely that my file is lost ??? And that I have to fend for myself! It is impossible for them to reach the management center to see the follow -up of my registration ???
However, I said it was very important since it's already two months since I work for free, I do not perceive any salary .....
I find it scandalous that my request is minimized at this point ...</v>
      </c>
    </row>
    <row r="264" ht="15.75" customHeight="1">
      <c r="A264" s="2">
        <v>2.0</v>
      </c>
      <c r="B264" s="2" t="s">
        <v>849</v>
      </c>
      <c r="C264" s="2" t="s">
        <v>850</v>
      </c>
      <c r="D264" s="2" t="s">
        <v>448</v>
      </c>
      <c r="E264" s="2" t="s">
        <v>27</v>
      </c>
      <c r="F264" s="2" t="s">
        <v>15</v>
      </c>
      <c r="G264" s="2" t="s">
        <v>851</v>
      </c>
      <c r="H264" s="2" t="s">
        <v>634</v>
      </c>
      <c r="I264" s="2" t="str">
        <f>IFERROR(__xludf.DUMMYFUNCTION("GOOGLETRANSLATE(C264,""fr"",""en"")"),"Benefit of the ""50 % bonus for life in September 2008, today's dispute offers me the opportunity to see that this promise has not been respected. 5 claims between February 2013 and May 2015 deserved me 'First of all a proposal to increase the franchise t"&amp;"hat I accepted. Without other cause the maaf did not take into account my agreement and excluded me! Today I am waiting for a response to a mediation request that Dead to come !!!")</f>
        <v>Benefit of the "50 % bonus for life in September 2008, today's dispute offers me the opportunity to see that this promise has not been respected. 5 claims between February 2013 and May 2015 deserved me 'First of all a proposal to increase the franchise that I accepted. Without other cause the maaf did not take into account my agreement and excluded me! Today I am waiting for a response to a mediation request that Dead to come !!!</v>
      </c>
    </row>
    <row r="265" ht="15.75" customHeight="1">
      <c r="A265" s="2">
        <v>3.0</v>
      </c>
      <c r="B265" s="2" t="s">
        <v>852</v>
      </c>
      <c r="C265" s="2" t="s">
        <v>853</v>
      </c>
      <c r="D265" s="2" t="s">
        <v>37</v>
      </c>
      <c r="E265" s="2" t="s">
        <v>27</v>
      </c>
      <c r="F265" s="2" t="s">
        <v>15</v>
      </c>
      <c r="G265" s="2" t="s">
        <v>854</v>
      </c>
      <c r="H265" s="2" t="s">
        <v>88</v>
      </c>
      <c r="I265" s="2" t="str">
        <f>IFERROR(__xludf.DUMMYFUNCTION("GOOGLETRANSLATE(C265,""fr"",""en"")"),"Strong point The speed of the process, aica loss of time, we manage, it is not necessary to spend hours on the phone to have someone")</f>
        <v>Strong point The speed of the process, aica loss of time, we manage, it is not necessary to spend hours on the phone to have someone</v>
      </c>
    </row>
    <row r="266" ht="15.75" customHeight="1">
      <c r="A266" s="2">
        <v>1.0</v>
      </c>
      <c r="B266" s="2" t="s">
        <v>855</v>
      </c>
      <c r="C266" s="2" t="s">
        <v>856</v>
      </c>
      <c r="D266" s="2" t="s">
        <v>13</v>
      </c>
      <c r="E266" s="2" t="s">
        <v>289</v>
      </c>
      <c r="F266" s="2" t="s">
        <v>15</v>
      </c>
      <c r="G266" s="2" t="s">
        <v>445</v>
      </c>
      <c r="H266" s="2" t="s">
        <v>445</v>
      </c>
      <c r="I266" s="2" t="str">
        <f>IFERROR(__xludf.DUMMYFUNCTION("GOOGLETRANSLATE(C266,""fr"",""en"")"),"A PERP Horizon subscribed in 2007 that I have the right to buy early because being in one of the cases of buyouts provided by law. Imagine that they managed to lose my mail when I have the acknowledgment of receipt, and they don't want to know anything. I"&amp;"ncompetent advisers who make fun of your situation, in short, to flee this nullissime society!")</f>
        <v>A PERP Horizon subscribed in 2007 that I have the right to buy early because being in one of the cases of buyouts provided by law. Imagine that they managed to lose my mail when I have the acknowledgment of receipt, and they don't want to know anything. Incompetent advisers who make fun of your situation, in short, to flee this nullissime society!</v>
      </c>
    </row>
    <row r="267" ht="15.75" customHeight="1">
      <c r="A267" s="2">
        <v>3.0</v>
      </c>
      <c r="B267" s="2" t="s">
        <v>857</v>
      </c>
      <c r="C267" s="2" t="s">
        <v>858</v>
      </c>
      <c r="D267" s="2" t="s">
        <v>430</v>
      </c>
      <c r="E267" s="2" t="s">
        <v>120</v>
      </c>
      <c r="F267" s="2" t="s">
        <v>15</v>
      </c>
      <c r="G267" s="2" t="s">
        <v>859</v>
      </c>
      <c r="H267" s="2" t="s">
        <v>860</v>
      </c>
      <c r="I267" s="2" t="str">
        <f>IFERROR(__xludf.DUMMYFUNCTION("GOOGLETRANSLATE(C267,""fr"",""en"")"),"Insurance company to avoid")</f>
        <v>Insurance company to avoid</v>
      </c>
    </row>
    <row r="268" ht="15.75" customHeight="1">
      <c r="A268" s="2">
        <v>5.0</v>
      </c>
      <c r="B268" s="2" t="s">
        <v>861</v>
      </c>
      <c r="C268" s="2" t="s">
        <v>862</v>
      </c>
      <c r="D268" s="2" t="s">
        <v>26</v>
      </c>
      <c r="E268" s="2" t="s">
        <v>27</v>
      </c>
      <c r="F268" s="2" t="s">
        <v>15</v>
      </c>
      <c r="G268" s="2" t="s">
        <v>280</v>
      </c>
      <c r="H268" s="2" t="s">
        <v>134</v>
      </c>
      <c r="I268" s="2" t="str">
        <f>IFERROR(__xludf.DUMMYFUNCTION("GOOGLETRANSLATE(C268,""fr"",""en"")"),"I am very satisfied with my insurance. It is very effective and very simple to use during a problem ..! Olivier insurance is reliable insurance")</f>
        <v>I am very satisfied with my insurance. It is very effective and very simple to use during a problem ..! Olivier insurance is reliable insurance</v>
      </c>
    </row>
    <row r="269" ht="15.75" customHeight="1">
      <c r="A269" s="2">
        <v>3.0</v>
      </c>
      <c r="B269" s="2" t="s">
        <v>863</v>
      </c>
      <c r="C269" s="2" t="s">
        <v>864</v>
      </c>
      <c r="D269" s="2" t="s">
        <v>37</v>
      </c>
      <c r="E269" s="2" t="s">
        <v>27</v>
      </c>
      <c r="F269" s="2" t="s">
        <v>15</v>
      </c>
      <c r="G269" s="2" t="s">
        <v>231</v>
      </c>
      <c r="H269" s="2" t="s">
        <v>112</v>
      </c>
      <c r="I269" s="2" t="str">
        <f>IFERROR(__xludf.DUMMYFUNCTION("GOOGLETRANSLATE(C269,""fr"",""en"")"),"Offers a good report for the price level for home insurance, very competitive compared to my old insurance to ensure the same movable property.")</f>
        <v>Offers a good report for the price level for home insurance, very competitive compared to my old insurance to ensure the same movable property.</v>
      </c>
    </row>
    <row r="270" ht="15.75" customHeight="1">
      <c r="A270" s="2">
        <v>2.0</v>
      </c>
      <c r="B270" s="2" t="s">
        <v>865</v>
      </c>
      <c r="C270" s="2" t="s">
        <v>866</v>
      </c>
      <c r="D270" s="2" t="s">
        <v>26</v>
      </c>
      <c r="E270" s="2" t="s">
        <v>27</v>
      </c>
      <c r="F270" s="2" t="s">
        <v>15</v>
      </c>
      <c r="G270" s="2" t="s">
        <v>867</v>
      </c>
      <c r="H270" s="2" t="s">
        <v>62</v>
      </c>
      <c r="I270" s="2" t="str">
        <f>IFERROR(__xludf.DUMMYFUNCTION("GOOGLETRANSLATE(C270,""fr"",""en"")"),"Incoherent price, already a customer for a first vehicle, the quote via the olive tree is more expensive of 45% for the second compared to a comparison site, moreover impossible to have 10% for the second vehicle.")</f>
        <v>Incoherent price, already a customer for a first vehicle, the quote via the olive tree is more expensive of 45% for the second compared to a comparison site, moreover impossible to have 10% for the second vehicle.</v>
      </c>
    </row>
    <row r="271" ht="15.75" customHeight="1">
      <c r="A271" s="2">
        <v>4.0</v>
      </c>
      <c r="B271" s="2" t="s">
        <v>868</v>
      </c>
      <c r="C271" s="2" t="s">
        <v>869</v>
      </c>
      <c r="D271" s="2" t="s">
        <v>37</v>
      </c>
      <c r="E271" s="2" t="s">
        <v>27</v>
      </c>
      <c r="F271" s="2" t="s">
        <v>15</v>
      </c>
      <c r="G271" s="2" t="s">
        <v>870</v>
      </c>
      <c r="H271" s="2" t="s">
        <v>23</v>
      </c>
      <c r="I271" s="2" t="str">
        <f>IFERROR(__xludf.DUMMYFUNCTION("GOOGLETRANSLATE(C271,""fr"",""en"")"),"I would have liked to join an advisor via online chat but site quite understandable overall.
The most is the price
The least are the franchises")</f>
        <v>I would have liked to join an advisor via online chat but site quite understandable overall.
The most is the price
The least are the franchises</v>
      </c>
    </row>
    <row r="272" ht="15.75" customHeight="1">
      <c r="A272" s="2">
        <v>3.0</v>
      </c>
      <c r="B272" s="2" t="s">
        <v>871</v>
      </c>
      <c r="C272" s="2" t="s">
        <v>872</v>
      </c>
      <c r="D272" s="2" t="s">
        <v>217</v>
      </c>
      <c r="E272" s="2" t="s">
        <v>27</v>
      </c>
      <c r="F272" s="2" t="s">
        <v>15</v>
      </c>
      <c r="G272" s="2" t="s">
        <v>873</v>
      </c>
      <c r="H272" s="2" t="s">
        <v>874</v>
      </c>
      <c r="I272" s="2" t="str">
        <f>IFERROR(__xludf.DUMMYFUNCTION("GOOGLETRANSLATE(C272,""fr"",""en"")"),"Insured for more than 20 years, the Macif has assured us on housing, civil liability as well as our three vehicles.
In 2014, we gradually terminated our contracts and had confirmation because we have moved, sold our vehicles, as well as our accommodati"&amp;"on and we went to the sea.
In 2015 we were relaunched for a sum of € 89 which corresponds to our responsibility privacy which was terminated with our main residence and accepted by mail's mail.
So I explained to my interlocutor our various actions a"&amp;"nd the terminations carried out. He agreed that we had terminated too early! But that indeed there was no reason to relaunch us.
As a result, the reminders stopped there.
Back on Earth, we contacted the Macif to ensure our future vehicle.
To our surp"&amp;"rise, it was told that our account displays a debtor balance of € 89 and that given this anteriority they do not want to assure us and the account was blocked.
We therefore asked for an internal use of the MACIF so that a manager supports our request a"&amp;"nd corrects this unpaid balance error and agrees to ensure our vehicle.
The answer is still negative (following 3 trips to the office)
Situation :
I found another insurer for my vehicle.
My partner who was on my contract but still in his name is so "&amp;"undergoing this situation and is also in search of an insurer for his future vehicle.
It is regrettable that a company who is saying is saying the best do not take any consideration for their members !! And block an account for such a ridiculous sum !!"&amp;"
")</f>
        <v>Insured for more than 20 years, the Macif has assured us on housing, civil liability as well as our three vehicles.
In 2014, we gradually terminated our contracts and had confirmation because we have moved, sold our vehicles, as well as our accommodation and we went to the sea.
In 2015 we were relaunched for a sum of € 89 which corresponds to our responsibility privacy which was terminated with our main residence and accepted by mail's mail.
So I explained to my interlocutor our various actions and the terminations carried out. He agreed that we had terminated too early! But that indeed there was no reason to relaunch us.
As a result, the reminders stopped there.
Back on Earth, we contacted the Macif to ensure our future vehicle.
To our surprise, it was told that our account displays a debtor balance of € 89 and that given this anteriority they do not want to assure us and the account was blocked.
We therefore asked for an internal use of the MACIF so that a manager supports our request and corrects this unpaid balance error and agrees to ensure our vehicle.
The answer is still negative (following 3 trips to the office)
Situation :
I found another insurer for my vehicle.
My partner who was on my contract but still in his name is so undergoing this situation and is also in search of an insurer for his future vehicle.
It is regrettable that a company who is saying is saying the best do not take any consideration for their members !! And block an account for such a ridiculous sum !!
</v>
      </c>
    </row>
    <row r="273" ht="15.75" customHeight="1">
      <c r="A273" s="2">
        <v>5.0</v>
      </c>
      <c r="B273" s="2" t="s">
        <v>875</v>
      </c>
      <c r="C273" s="2" t="s">
        <v>876</v>
      </c>
      <c r="D273" s="2" t="s">
        <v>32</v>
      </c>
      <c r="E273" s="2" t="s">
        <v>21</v>
      </c>
      <c r="F273" s="2" t="s">
        <v>15</v>
      </c>
      <c r="G273" s="2" t="s">
        <v>877</v>
      </c>
      <c r="H273" s="2" t="s">
        <v>23</v>
      </c>
      <c r="I273" s="2" t="str">
        <f>IFERROR(__xludf.DUMMYFUNCTION("GOOGLETRANSLATE(C273,""fr"",""en"")"),"My interlocutor met my expectations perfectly, she turned me well in my efforts by clearly explaining what I had to do in order to be reimbursed. I recommend")</f>
        <v>My interlocutor met my expectations perfectly, she turned me well in my efforts by clearly explaining what I had to do in order to be reimbursed. I recommend</v>
      </c>
    </row>
    <row r="274" ht="15.75" customHeight="1">
      <c r="A274" s="2">
        <v>1.0</v>
      </c>
      <c r="B274" s="2" t="s">
        <v>878</v>
      </c>
      <c r="C274" s="2" t="s">
        <v>879</v>
      </c>
      <c r="D274" s="2" t="s">
        <v>880</v>
      </c>
      <c r="E274" s="2" t="s">
        <v>881</v>
      </c>
      <c r="F274" s="2" t="s">
        <v>15</v>
      </c>
      <c r="G274" s="2" t="s">
        <v>654</v>
      </c>
      <c r="H274" s="2" t="s">
        <v>228</v>
      </c>
      <c r="I274" s="2" t="str">
        <f>IFERROR(__xludf.DUMMYFUNCTION("GOOGLETRANSLATE(C274,""fr"",""en"")"),"I was robbed 16 months ago and I am still not compensated.
After having threatened them to file a complaint, they offer me € 1,500 for more than € 15,000 in prejudice and claiming me € 1,500 in unpaid contributions following my denunciation of contracts."&amp;"
Insurers, bad payers, Generali confirms it once again and I will not stop there!
To avoid.
Their advertising: we are there for you (cash and never pay you) would be more fair.")</f>
        <v>I was robbed 16 months ago and I am still not compensated.
After having threatened them to file a complaint, they offer me € 1,500 for more than € 15,000 in prejudice and claiming me € 1,500 in unpaid contributions following my denunciation of contracts.
Insurers, bad payers, Generali confirms it once again and I will not stop there!
To avoid.
Their advertising: we are there for you (cash and never pay you) would be more fair.</v>
      </c>
    </row>
    <row r="275" ht="15.75" customHeight="1">
      <c r="A275" s="2">
        <v>1.0</v>
      </c>
      <c r="B275" s="2" t="s">
        <v>882</v>
      </c>
      <c r="C275" s="2" t="s">
        <v>883</v>
      </c>
      <c r="D275" s="2" t="s">
        <v>37</v>
      </c>
      <c r="E275" s="2" t="s">
        <v>27</v>
      </c>
      <c r="F275" s="2" t="s">
        <v>15</v>
      </c>
      <c r="G275" s="2" t="s">
        <v>95</v>
      </c>
      <c r="H275" s="2" t="s">
        <v>96</v>
      </c>
      <c r="I275" s="2" t="str">
        <f>IFERROR(__xludf.DUMMYFUNCTION("GOOGLETRANSLATE(C275,""fr"",""en"")"),"Following a break in ice, I have not had an answer for 7 weeks following my complaint. They had no return from their expert. Is this dolosive? (sinister 537618067).
Anyway, the customer (and even more the old customer) does not listen to the insurer.")</f>
        <v>Following a break in ice, I have not had an answer for 7 weeks following my complaint. They had no return from their expert. Is this dolosive? (sinister 537618067).
Anyway, the customer (and even more the old customer) does not listen to the insurer.</v>
      </c>
    </row>
    <row r="276" ht="15.75" customHeight="1">
      <c r="A276" s="2">
        <v>5.0</v>
      </c>
      <c r="B276" s="2" t="s">
        <v>884</v>
      </c>
      <c r="C276" s="2" t="s">
        <v>885</v>
      </c>
      <c r="D276" s="2" t="s">
        <v>234</v>
      </c>
      <c r="E276" s="2" t="s">
        <v>21</v>
      </c>
      <c r="F276" s="2" t="s">
        <v>15</v>
      </c>
      <c r="G276" s="2" t="s">
        <v>886</v>
      </c>
      <c r="H276" s="2" t="s">
        <v>62</v>
      </c>
      <c r="I276" s="2" t="str">
        <f>IFERROR(__xludf.DUMMYFUNCTION("GOOGLETRANSLATE(C276,""fr"",""en"")"),"Excellent service. Thank you very much Lissa for answering all my questions, thank you for your kindness ... I am very satisfied with our telephone conversation.")</f>
        <v>Excellent service. Thank you very much Lissa for answering all my questions, thank you for your kindness ... I am very satisfied with our telephone conversation.</v>
      </c>
    </row>
    <row r="277" ht="15.75" customHeight="1">
      <c r="A277" s="2">
        <v>5.0</v>
      </c>
      <c r="B277" s="2" t="s">
        <v>887</v>
      </c>
      <c r="C277" s="2" t="s">
        <v>888</v>
      </c>
      <c r="D277" s="2" t="s">
        <v>234</v>
      </c>
      <c r="E277" s="2" t="s">
        <v>21</v>
      </c>
      <c r="F277" s="2" t="s">
        <v>15</v>
      </c>
      <c r="G277" s="2" t="s">
        <v>889</v>
      </c>
      <c r="H277" s="2" t="s">
        <v>661</v>
      </c>
      <c r="I277" s="2" t="str">
        <f>IFERROR(__xludf.DUMMYFUNCTION("GOOGLETRANSLATE(C277,""fr"",""en"")"),"Hello, M Daouda was very kind with professionalism and a lot of kindness and kindness .ii M, informed well about the questions I asked him.
Best regards.")</f>
        <v>Hello, M Daouda was very kind with professionalism and a lot of kindness and kindness .ii M, informed well about the questions I asked him.
Best regards.</v>
      </c>
    </row>
    <row r="278" ht="15.75" customHeight="1">
      <c r="A278" s="2">
        <v>5.0</v>
      </c>
      <c r="B278" s="2" t="s">
        <v>890</v>
      </c>
      <c r="C278" s="2" t="s">
        <v>891</v>
      </c>
      <c r="D278" s="2" t="s">
        <v>37</v>
      </c>
      <c r="E278" s="2" t="s">
        <v>27</v>
      </c>
      <c r="F278" s="2" t="s">
        <v>15</v>
      </c>
      <c r="G278" s="2" t="s">
        <v>892</v>
      </c>
      <c r="H278" s="2" t="s">
        <v>88</v>
      </c>
      <c r="I278" s="2" t="str">
        <f>IFERROR(__xludf.DUMMYFUNCTION("GOOGLETRANSLATE(C278,""fr"",""en"")"),"I am satisfied with the service, the price of the subscription.
The site is very well done and easy to use as well as all the information I needed is provided")</f>
        <v>I am satisfied with the service, the price of the subscription.
The site is very well done and easy to use as well as all the information I needed is provided</v>
      </c>
    </row>
    <row r="279" ht="15.75" customHeight="1">
      <c r="A279" s="2">
        <v>2.0</v>
      </c>
      <c r="B279" s="2" t="s">
        <v>893</v>
      </c>
      <c r="C279" s="2" t="s">
        <v>894</v>
      </c>
      <c r="D279" s="2" t="s">
        <v>37</v>
      </c>
      <c r="E279" s="2" t="s">
        <v>27</v>
      </c>
      <c r="F279" s="2" t="s">
        <v>15</v>
      </c>
      <c r="G279" s="2" t="s">
        <v>895</v>
      </c>
      <c r="H279" s="2" t="s">
        <v>497</v>
      </c>
      <c r="I279" s="2" t="str">
        <f>IFERROR(__xludf.DUMMYFUNCTION("GOOGLETRANSLATE(C279,""fr"",""en"")"),"I do not know how they can claim to have 97% of satisfied customers. I settled my contribution at the mid March, and to date they have been unable to apply for correct termination, so she was refused, and they give themselves 30 days to reimburse me while"&amp;" it has already been almost 2 months that They work with my money.
I call 5 times to do things correctly, and at no time have they been able to do it. After 3 calls they had still done nothing. They are very badly named, neither direct nor insurance. I w"&amp;"onder how they can be able to properly manage a disaster, since the simple papers of implementation of the insurance confuse them.")</f>
        <v>I do not know how they can claim to have 97% of satisfied customers. I settled my contribution at the mid March, and to date they have been unable to apply for correct termination, so she was refused, and they give themselves 30 days to reimburse me while it has already been almost 2 months that They work with my money.
I call 5 times to do things correctly, and at no time have they been able to do it. After 3 calls they had still done nothing. They are very badly named, neither direct nor insurance. I wonder how they can be able to properly manage a disaster, since the simple papers of implementation of the insurance confuse them.</v>
      </c>
    </row>
    <row r="280" ht="15.75" customHeight="1">
      <c r="A280" s="2">
        <v>1.0</v>
      </c>
      <c r="B280" s="2" t="s">
        <v>896</v>
      </c>
      <c r="C280" s="2" t="s">
        <v>897</v>
      </c>
      <c r="D280" s="2" t="s">
        <v>37</v>
      </c>
      <c r="E280" s="2" t="s">
        <v>27</v>
      </c>
      <c r="F280" s="2" t="s">
        <v>15</v>
      </c>
      <c r="G280" s="2" t="s">
        <v>58</v>
      </c>
      <c r="H280" s="2" t="s">
        <v>23</v>
      </c>
      <c r="I280" s="2" t="str">
        <f>IFERROR(__xludf.DUMMYFUNCTION("GOOGLETRANSLATE(C280,""fr"",""en"")"),"You had increased my price for my vehicle insurance without any problem and in addition with an increase in bonuses. I am not satisfied with the service")</f>
        <v>You had increased my price for my vehicle insurance without any problem and in addition with an increase in bonuses. I am not satisfied with the service</v>
      </c>
    </row>
    <row r="281" ht="15.75" customHeight="1">
      <c r="A281" s="2">
        <v>5.0</v>
      </c>
      <c r="B281" s="2" t="s">
        <v>898</v>
      </c>
      <c r="C281" s="2" t="s">
        <v>899</v>
      </c>
      <c r="D281" s="2" t="s">
        <v>245</v>
      </c>
      <c r="E281" s="2" t="s">
        <v>120</v>
      </c>
      <c r="F281" s="2" t="s">
        <v>15</v>
      </c>
      <c r="G281" s="2" t="s">
        <v>651</v>
      </c>
      <c r="H281" s="2" t="s">
        <v>112</v>
      </c>
      <c r="I281" s="2" t="str">
        <f>IFERROR(__xludf.DUMMYFUNCTION("GOOGLETRANSLATE(C281,""fr"",""en"")"),"Support at the top, follow -up of the file, and payment of compensation without difficulties.
It is in difficult times that we become aware of the importance of being well covered.")</f>
        <v>Support at the top, follow -up of the file, and payment of compensation without difficulties.
It is in difficult times that we become aware of the importance of being well covered.</v>
      </c>
    </row>
    <row r="282" ht="15.75" customHeight="1">
      <c r="A282" s="2">
        <v>5.0</v>
      </c>
      <c r="B282" s="2" t="s">
        <v>900</v>
      </c>
      <c r="C282" s="2" t="s">
        <v>901</v>
      </c>
      <c r="D282" s="2" t="s">
        <v>37</v>
      </c>
      <c r="E282" s="2" t="s">
        <v>27</v>
      </c>
      <c r="F282" s="2" t="s">
        <v>15</v>
      </c>
      <c r="G282" s="2" t="s">
        <v>902</v>
      </c>
      <c r="H282" s="2" t="s">
        <v>23</v>
      </c>
      <c r="I282" s="2" t="str">
        <f>IFERROR(__xludf.DUMMYFUNCTION("GOOGLETRANSLATE(C282,""fr"",""en"")"),"The prices are very reasonable I am satisfied with my telephone contacts with Direct Insurance which all managed during my insurance change")</f>
        <v>The prices are very reasonable I am satisfied with my telephone contacts with Direct Insurance which all managed during my insurance change</v>
      </c>
    </row>
    <row r="283" ht="15.75" customHeight="1">
      <c r="A283" s="2">
        <v>3.0</v>
      </c>
      <c r="B283" s="2" t="s">
        <v>903</v>
      </c>
      <c r="C283" s="2" t="s">
        <v>904</v>
      </c>
      <c r="D283" s="2" t="s">
        <v>107</v>
      </c>
      <c r="E283" s="2" t="s">
        <v>21</v>
      </c>
      <c r="F283" s="2" t="s">
        <v>15</v>
      </c>
      <c r="G283" s="2" t="s">
        <v>905</v>
      </c>
      <c r="H283" s="2" t="s">
        <v>236</v>
      </c>
      <c r="I283" s="2" t="str">
        <f>IFERROR(__xludf.DUMMYFUNCTION("GOOGLETRANSLATE(C283,""fr"",""en"")"),"Very good services ........")</f>
        <v>Very good services ........</v>
      </c>
    </row>
    <row r="284" ht="15.75" customHeight="1">
      <c r="A284" s="2">
        <v>5.0</v>
      </c>
      <c r="B284" s="2" t="s">
        <v>906</v>
      </c>
      <c r="C284" s="2" t="s">
        <v>907</v>
      </c>
      <c r="D284" s="2" t="s">
        <v>67</v>
      </c>
      <c r="E284" s="2" t="s">
        <v>68</v>
      </c>
      <c r="F284" s="2" t="s">
        <v>15</v>
      </c>
      <c r="G284" s="2" t="s">
        <v>908</v>
      </c>
      <c r="H284" s="2" t="s">
        <v>112</v>
      </c>
      <c r="I284" s="2" t="str">
        <f>IFERROR(__xludf.DUMMYFUNCTION("GOOGLETRANSLATE(C284,""fr"",""en"")"),"Hello, I leave you a little opinion to tell you I am satisfied with our site. It is clear, simple and effective. Good day or good evening.
")</f>
        <v>Hello, I leave you a little opinion to tell you I am satisfied with our site. It is clear, simple and effective. Good day or good evening.
</v>
      </c>
    </row>
    <row r="285" ht="15.75" customHeight="1">
      <c r="A285" s="2">
        <v>5.0</v>
      </c>
      <c r="B285" s="2" t="s">
        <v>909</v>
      </c>
      <c r="C285" s="2" t="s">
        <v>910</v>
      </c>
      <c r="D285" s="2" t="s">
        <v>37</v>
      </c>
      <c r="E285" s="2" t="s">
        <v>27</v>
      </c>
      <c r="F285" s="2" t="s">
        <v>15</v>
      </c>
      <c r="G285" s="2" t="s">
        <v>307</v>
      </c>
      <c r="H285" s="2" t="s">
        <v>112</v>
      </c>
      <c r="I285" s="2" t="str">
        <f>IFERROR(__xludf.DUMMYFUNCTION("GOOGLETRANSLATE(C285,""fr"",""en"")"),"I am satisfied with the service and the price, a very fast quote.
Customer for several years I came back to it.
I highly recommend this insurance.
")</f>
        <v>I am satisfied with the service and the price, a very fast quote.
Customer for several years I came back to it.
I highly recommend this insurance.
</v>
      </c>
    </row>
    <row r="286" ht="15.75" customHeight="1">
      <c r="A286" s="2">
        <v>1.0</v>
      </c>
      <c r="B286" s="2" t="s">
        <v>911</v>
      </c>
      <c r="C286" s="2" t="s">
        <v>912</v>
      </c>
      <c r="D286" s="2" t="s">
        <v>37</v>
      </c>
      <c r="E286" s="2" t="s">
        <v>27</v>
      </c>
      <c r="F286" s="2" t="s">
        <v>15</v>
      </c>
      <c r="G286" s="2" t="s">
        <v>913</v>
      </c>
      <c r="H286" s="2" t="s">
        <v>141</v>
      </c>
      <c r="I286" s="2" t="str">
        <f>IFERROR(__xludf.DUMMYFUNCTION("GOOGLETRANSLATE(C286,""fr"",""en"")"),"After their advice, I had to be eligible for the Hamon law for March 2021 so I contracted my contract for February 2021 6/month after ... Nothing I had to return 3 times over 3 different months with huge differences between The dates for in the end to be "&amp;"insured in August in the meantime I paid 2 months + I was taken by surprise for another 2 months. They assured me 2 months in the end the documents I failed to return them because there were new on their app '10 days after the 2 months it's been 1 week si"&amp;"nce you are no longer assured. Of course there is a problem in the amount of reimbursements outside that it has been 10 days that it could have happened to me something serious without knowing it on the road. I had to pay a new insurance for a contract te"&amp;"rmination! And get out of it again. I couldn't reassure myself at home before 1 1 year old! It's scandalous and the service is horrible")</f>
        <v>After their advice, I had to be eligible for the Hamon law for March 2021 so I contracted my contract for February 2021 6/month after ... Nothing I had to return 3 times over 3 different months with huge differences between The dates for in the end to be insured in August in the meantime I paid 2 months + I was taken by surprise for another 2 months. They assured me 2 months in the end the documents I failed to return them because there were new on their app '10 days after the 2 months it's been 1 week since you are no longer assured. Of course there is a problem in the amount of reimbursements outside that it has been 10 days that it could have happened to me something serious without knowing it on the road. I had to pay a new insurance for a contract termination! And get out of it again. I couldn't reassure myself at home before 1 1 year old! It's scandalous and the service is horrible</v>
      </c>
    </row>
    <row r="287" ht="15.75" customHeight="1">
      <c r="A287" s="2">
        <v>3.0</v>
      </c>
      <c r="B287" s="2" t="s">
        <v>914</v>
      </c>
      <c r="C287" s="2" t="s">
        <v>915</v>
      </c>
      <c r="D287" s="2" t="s">
        <v>209</v>
      </c>
      <c r="E287" s="2" t="s">
        <v>21</v>
      </c>
      <c r="F287" s="2" t="s">
        <v>15</v>
      </c>
      <c r="G287" s="2" t="s">
        <v>916</v>
      </c>
      <c r="H287" s="2" t="s">
        <v>101</v>
      </c>
      <c r="I287" s="2" t="str">
        <f>IFERROR(__xludf.DUMMYFUNCTION("GOOGLETRANSLATE(C287,""fr"",""en"")"),"Mutual very, very expensive, compulsory for national education personnel in office not of their choice but based on their annual salary.
Reimbursements of visits to specialists on the basis of general practitioners regardless of the exams carried out; No"&amp;" response regarding any care (hearing aids).
No response to the many emails, recommended letters, phone calls to obtain a ""yes"" or ""no"" (do MGEN staff know the meaning of these 2 words that a 2 year old child mastery?)
I pointed out that the annua"&amp;"l amount of my salary was approximately € 1,500 to that on which the mutual based for its samples, with photocopying of the tax service in support .... no response!
I was also ""encouraged"" to take out dependence insurance in addition to my subscripti"&amp;"on (24 €/month) ...
When I wanted to leave this ""dear"" Mutual, I wanted to know if this new insurance was independent of my annual subscription so that I could notify: no answer! ! (emails, telephone, recommended letters)
So I made opposition to t"&amp;"his insurance, and Ô, miracle, rather unpleasant mail in the week following, with, as a bonus, 2 phone calls intimating the obligation to lift this opposition since the mutual not contacted! ! !
One of the people (very unpleasant!) Who ended up conracted"&amp;" me immediately told me that ""I didn't understand anything"".
After obtaining a ""no"" from her, I hung up ... and my belel love story with the Mgrn finally stopped.
But after having done all the papers of my new mutual, the latter asked me for my """&amp;"certificate of right to the Secu"", since it was the MGEN which was to provide me with this certificate, and which had to have reached my new mutual insurance company before 12/31/2109.
This certificate has finally arrived ... February 14, 2020, and I "&amp;"was therefore covered in terms of sickness neither by my new mutual insurance nor by Mgen! !
Since then, my reimbursements have been fast and regular, my reimbursements for a visit to a specialist have agreed with the price requested by the latter.
"&amp;"I add that I myself chose the amount that I devote monthly to my new mutual, and that it is not immediately and unilaterally levied according to my salary.
So, Mgen: to flee! ! Hazard !
")</f>
        <v>Mutual very, very expensive, compulsory for national education personnel in office not of their choice but based on their annual salary.
Reimbursements of visits to specialists on the basis of general practitioners regardless of the exams carried out; No response regarding any care (hearing aids).
No response to the many emails, recommended letters, phone calls to obtain a "yes" or "no" (do MGEN staff know the meaning of these 2 words that a 2 year old child mastery?)
I pointed out that the annual amount of my salary was approximately € 1,500 to that on which the mutual based for its samples, with photocopying of the tax service in support .... no response!
I was also "encouraged" to take out dependence insurance in addition to my subscription (24 €/month) ...
When I wanted to leave this "dear" Mutual, I wanted to know if this new insurance was independent of my annual subscription so that I could notify: no answer! ! (emails, telephone, recommended letters)
So I made opposition to this insurance, and Ô, miracle, rather unpleasant mail in the week following, with, as a bonus, 2 phone calls intimating the obligation to lift this opposition since the mutual not contacted! ! !
One of the people (very unpleasant!) Who ended up conracted me immediately told me that "I didn't understand anything".
After obtaining a "no" from her, I hung up ... and my belel love story with the Mgrn finally stopped.
But after having done all the papers of my new mutual, the latter asked me for my "certificate of right to the Secu", since it was the MGEN which was to provide me with this certificate, and which had to have reached my new mutual insurance company before 12/31/2109.
This certificate has finally arrived ... February 14, 2020, and I was therefore covered in terms of sickness neither by my new mutual insurance nor by Mgen! !
Since then, my reimbursements have been fast and regular, my reimbursements for a visit to a specialist have agreed with the price requested by the latter.
I add that I myself chose the amount that I devote monthly to my new mutual, and that it is not immediately and unilaterally levied according to my salary.
So, Mgen: to flee! ! Hazard !
</v>
      </c>
    </row>
    <row r="288" ht="15.75" customHeight="1">
      <c r="A288" s="2">
        <v>3.0</v>
      </c>
      <c r="B288" s="2" t="s">
        <v>917</v>
      </c>
      <c r="C288" s="2" t="s">
        <v>918</v>
      </c>
      <c r="D288" s="2" t="s">
        <v>26</v>
      </c>
      <c r="E288" s="2" t="s">
        <v>27</v>
      </c>
      <c r="F288" s="2" t="s">
        <v>15</v>
      </c>
      <c r="G288" s="2" t="s">
        <v>792</v>
      </c>
      <c r="H288" s="2" t="s">
        <v>88</v>
      </c>
      <c r="I288" s="2" t="str">
        <f>IFERROR(__xludf.DUMMYFUNCTION("GOOGLETRANSLATE(C288,""fr"",""en"")"),"I am satifaite, but I had questions and not possible to contact the support service for help so I doubt doubt. Price was correct and easy in general to sign contract")</f>
        <v>I am satifaite, but I had questions and not possible to contact the support service for help so I doubt doubt. Price was correct and easy in general to sign contract</v>
      </c>
    </row>
    <row r="289" ht="15.75" customHeight="1">
      <c r="A289" s="2">
        <v>2.0</v>
      </c>
      <c r="B289" s="2" t="s">
        <v>919</v>
      </c>
      <c r="C289" s="2" t="s">
        <v>920</v>
      </c>
      <c r="D289" s="2" t="s">
        <v>288</v>
      </c>
      <c r="E289" s="2" t="s">
        <v>289</v>
      </c>
      <c r="F289" s="2" t="s">
        <v>15</v>
      </c>
      <c r="G289" s="2" t="s">
        <v>795</v>
      </c>
      <c r="H289" s="2" t="s">
        <v>141</v>
      </c>
      <c r="I289" s="2" t="str">
        <f>IFERROR(__xludf.DUMMYFUNCTION("GOOGLETRANSLATE(C289,""fr"",""en"")"),"As soon as it is a buyout, partial or total, you will go into written procedure with everything that is possible to delay the payment, weeks after weeks.
Scandalous.
Of course, the advisor has nothing to do with it and does what he can but can.")</f>
        <v>As soon as it is a buyout, partial or total, you will go into written procedure with everything that is possible to delay the payment, weeks after weeks.
Scandalous.
Of course, the advisor has nothing to do with it and does what he can but can.</v>
      </c>
    </row>
    <row r="290" ht="15.75" customHeight="1">
      <c r="A290" s="2">
        <v>3.0</v>
      </c>
      <c r="B290" s="2" t="s">
        <v>921</v>
      </c>
      <c r="C290" s="2" t="s">
        <v>922</v>
      </c>
      <c r="D290" s="2" t="s">
        <v>42</v>
      </c>
      <c r="E290" s="2" t="s">
        <v>27</v>
      </c>
      <c r="F290" s="2" t="s">
        <v>15</v>
      </c>
      <c r="G290" s="2" t="s">
        <v>923</v>
      </c>
      <c r="H290" s="2" t="s">
        <v>874</v>
      </c>
      <c r="I290" s="2" t="str">
        <f>IFERROR(__xludf.DUMMYFUNCTION("GOOGLETRANSLATE(C290,""fr"",""en"")"),"I am one of the people thanked after 36 years of membership. Reason: ""Due to the alteration of our commercial relationship, MAIF has ended your contracts"". I had announced my dissatisfaction during a non-responsible car disaster. This is the hidden side"&amp;", very far from the one she wants to appear through her advertising spots to restore her image. ""Activist, mutualist ..."" In fact, it is when you have concerns and need of her, that she finds a pretext to let go. We are far from the starting MAIF spirit"&amp;".")</f>
        <v>I am one of the people thanked after 36 years of membership. Reason: "Due to the alteration of our commercial relationship, MAIF has ended your contracts". I had announced my dissatisfaction during a non-responsible car disaster. This is the hidden side, very far from the one she wants to appear through her advertising spots to restore her image. "Activist, mutualist ..." In fact, it is when you have concerns and need of her, that she finds a pretext to let go. We are far from the starting MAIF spirit.</v>
      </c>
    </row>
    <row r="291" ht="15.75" customHeight="1">
      <c r="A291" s="2">
        <v>5.0</v>
      </c>
      <c r="B291" s="2" t="s">
        <v>924</v>
      </c>
      <c r="C291" s="2" t="s">
        <v>925</v>
      </c>
      <c r="D291" s="2" t="s">
        <v>37</v>
      </c>
      <c r="E291" s="2" t="s">
        <v>27</v>
      </c>
      <c r="F291" s="2" t="s">
        <v>15</v>
      </c>
      <c r="G291" s="2" t="s">
        <v>532</v>
      </c>
      <c r="H291" s="2" t="s">
        <v>23</v>
      </c>
      <c r="I291" s="2" t="str">
        <f>IFERROR(__xludf.DUMMYFUNCTION("GOOGLETRANSLATE(C291,""fr"",""en"")"),"I am very satisfied with the service as well as are value for money.
I strongly recomme they are at the top
fast and reachable service at any time")</f>
        <v>I am very satisfied with the service as well as are value for money.
I strongly recomme they are at the top
fast and reachable service at any time</v>
      </c>
    </row>
    <row r="292" ht="15.75" customHeight="1">
      <c r="A292" s="2">
        <v>3.0</v>
      </c>
      <c r="B292" s="2" t="s">
        <v>926</v>
      </c>
      <c r="C292" s="2" t="s">
        <v>927</v>
      </c>
      <c r="D292" s="2" t="s">
        <v>32</v>
      </c>
      <c r="E292" s="2" t="s">
        <v>21</v>
      </c>
      <c r="F292" s="2" t="s">
        <v>15</v>
      </c>
      <c r="G292" s="2" t="s">
        <v>928</v>
      </c>
      <c r="H292" s="2" t="s">
        <v>182</v>
      </c>
      <c r="I292" s="2" t="str">
        <f>IFERROR(__xludf.DUMMYFUNCTION("GOOGLETRANSLATE(C292,""fr"",""en"")"),"Good mutual, always listening, responding to my requests.
Too bad, tends to close its local offices.
No contraindication.
")</f>
        <v>Good mutual, always listening, responding to my requests.
Too bad, tends to close its local offices.
No contraindication.
</v>
      </c>
    </row>
    <row r="293" ht="15.75" customHeight="1">
      <c r="A293" s="2">
        <v>5.0</v>
      </c>
      <c r="B293" s="2" t="s">
        <v>929</v>
      </c>
      <c r="C293" s="2" t="s">
        <v>930</v>
      </c>
      <c r="D293" s="2" t="s">
        <v>490</v>
      </c>
      <c r="E293" s="2" t="s">
        <v>27</v>
      </c>
      <c r="F293" s="2" t="s">
        <v>15</v>
      </c>
      <c r="G293" s="2" t="s">
        <v>931</v>
      </c>
      <c r="H293" s="2" t="s">
        <v>112</v>
      </c>
      <c r="I293" s="2" t="str">
        <f>IFERROR(__xludf.DUMMYFUNCTION("GOOGLETRANSLATE(C293,""fr"",""en"")"),"My insurance on several vehicles for decades, and I am satisfied with it. I recommend it to everyone. She should think about rewarding her loyal customers with more attractive rates.")</f>
        <v>My insurance on several vehicles for decades, and I am satisfied with it. I recommend it to everyone. She should think about rewarding her loyal customers with more attractive rates.</v>
      </c>
    </row>
    <row r="294" ht="15.75" customHeight="1">
      <c r="A294" s="2">
        <v>5.0</v>
      </c>
      <c r="B294" s="2" t="s">
        <v>932</v>
      </c>
      <c r="C294" s="2" t="s">
        <v>933</v>
      </c>
      <c r="D294" s="2" t="s">
        <v>67</v>
      </c>
      <c r="E294" s="2" t="s">
        <v>68</v>
      </c>
      <c r="F294" s="2" t="s">
        <v>15</v>
      </c>
      <c r="G294" s="2" t="s">
        <v>934</v>
      </c>
      <c r="H294" s="2" t="s">
        <v>661</v>
      </c>
      <c r="I294" s="2" t="str">
        <f>IFERROR(__xludf.DUMMYFUNCTION("GOOGLETRANSLATE(C294,""fr"",""en"")"),"I will not fail to recommend your insurance, for the clarity of the site and the prices charged. Provided that you have the same efficiency in the event of a claim.")</f>
        <v>I will not fail to recommend your insurance, for the clarity of the site and the prices charged. Provided that you have the same efficiency in the event of a claim.</v>
      </c>
    </row>
    <row r="295" ht="15.75" customHeight="1">
      <c r="A295" s="2">
        <v>1.0</v>
      </c>
      <c r="B295" s="2" t="s">
        <v>935</v>
      </c>
      <c r="C295" s="2" t="s">
        <v>936</v>
      </c>
      <c r="D295" s="2" t="s">
        <v>736</v>
      </c>
      <c r="E295" s="2" t="s">
        <v>27</v>
      </c>
      <c r="F295" s="2" t="s">
        <v>15</v>
      </c>
      <c r="G295" s="2" t="s">
        <v>937</v>
      </c>
      <c r="H295" s="2" t="s">
        <v>236</v>
      </c>
      <c r="I295" s="2" t="str">
        <f>IFERROR(__xludf.DUMMYFUNCTION("GOOGLETRANSLATE(C295,""fr"",""en"")"),"This company is made up of the real incompetent I do not advise anyone even my worst enemy, be wary, no mistakes to go to this company, I have experienced never seen, if you are already a customer, then to terminate now if you have more than 1 year using "&amp;"the Hamon law")</f>
        <v>This company is made up of the real incompetent I do not advise anyone even my worst enemy, be wary, no mistakes to go to this company, I have experienced never seen, if you are already a customer, then to terminate now if you have more than 1 year using the Hamon law</v>
      </c>
    </row>
    <row r="296" ht="15.75" customHeight="1">
      <c r="A296" s="2">
        <v>4.0</v>
      </c>
      <c r="B296" s="2" t="s">
        <v>938</v>
      </c>
      <c r="C296" s="2" t="s">
        <v>939</v>
      </c>
      <c r="D296" s="2" t="s">
        <v>37</v>
      </c>
      <c r="E296" s="2" t="s">
        <v>27</v>
      </c>
      <c r="F296" s="2" t="s">
        <v>15</v>
      </c>
      <c r="G296" s="2" t="s">
        <v>940</v>
      </c>
      <c r="H296" s="2" t="s">
        <v>112</v>
      </c>
      <c r="I296" s="2" t="str">
        <f>IFERROR(__xludf.DUMMYFUNCTION("GOOGLETRANSLATE(C296,""fr"",""en"")"),"I am satisfied with the care of my disaster as well as the connection with the various providers, the car was towed 20 mins after my call, it was taken directly into an approved garage for the passage of the expert. We still have to wait by crossing our f"&amp;"ingers very strong so that it is repairable!")</f>
        <v>I am satisfied with the care of my disaster as well as the connection with the various providers, the car was towed 20 mins after my call, it was taken directly into an approved garage for the passage of the expert. We still have to wait by crossing our fingers very strong so that it is repairable!</v>
      </c>
    </row>
    <row r="297" ht="15.75" customHeight="1">
      <c r="A297" s="2">
        <v>1.0</v>
      </c>
      <c r="B297" s="2" t="s">
        <v>941</v>
      </c>
      <c r="C297" s="2" t="s">
        <v>942</v>
      </c>
      <c r="D297" s="2" t="s">
        <v>37</v>
      </c>
      <c r="E297" s="2" t="s">
        <v>27</v>
      </c>
      <c r="F297" s="2" t="s">
        <v>15</v>
      </c>
      <c r="G297" s="2" t="s">
        <v>943</v>
      </c>
      <c r="H297" s="2" t="s">
        <v>29</v>
      </c>
      <c r="I297" s="2" t="str">
        <f>IFERROR(__xludf.DUMMYFUNCTION("GOOGLETRANSLATE(C297,""fr"",""en"")"),"I change as long as I can !!!! Insurance to flee, I have already talked about me! I took the whole pack TT risk apriori it is useless, because no car loan before a week, frankness to adjust and 10% of the bill, I just registered that I already want to fle"&amp;"e !!!!")</f>
        <v>I change as long as I can !!!! Insurance to flee, I have already talked about me! I took the whole pack TT risk apriori it is useless, because no car loan before a week, frankness to adjust and 10% of the bill, I just registered that I already want to flee !!!!</v>
      </c>
    </row>
    <row r="298" ht="15.75" customHeight="1">
      <c r="A298" s="2">
        <v>1.0</v>
      </c>
      <c r="B298" s="2" t="s">
        <v>944</v>
      </c>
      <c r="C298" s="2" t="s">
        <v>945</v>
      </c>
      <c r="D298" s="2" t="s">
        <v>946</v>
      </c>
      <c r="E298" s="2" t="s">
        <v>43</v>
      </c>
      <c r="F298" s="2" t="s">
        <v>15</v>
      </c>
      <c r="G298" s="2" t="s">
        <v>947</v>
      </c>
      <c r="H298" s="2" t="s">
        <v>39</v>
      </c>
      <c r="I298" s="2" t="str">
        <f>IFERROR(__xludf.DUMMYFUNCTION("GOOGLETRANSLATE(C298,""fr"",""en"")"),"The worst insurance in the world
I see that they are not improved, still as bad. In their management of incidents and other. 0 as a warranty, customer and satisfaction management, and 0 as a price because it is always too expensive for their guarantee an"&amp;"d their customer management.")</f>
        <v>The worst insurance in the world
I see that they are not improved, still as bad. In their management of incidents and other. 0 as a warranty, customer and satisfaction management, and 0 as a price because it is always too expensive for their guarantee and their customer management.</v>
      </c>
    </row>
    <row r="299" ht="15.75" customHeight="1">
      <c r="A299" s="2">
        <v>2.0</v>
      </c>
      <c r="B299" s="2" t="s">
        <v>948</v>
      </c>
      <c r="C299" s="2" t="s">
        <v>949</v>
      </c>
      <c r="D299" s="2" t="s">
        <v>26</v>
      </c>
      <c r="E299" s="2" t="s">
        <v>27</v>
      </c>
      <c r="F299" s="2" t="s">
        <v>15</v>
      </c>
      <c r="G299" s="2" t="s">
        <v>950</v>
      </c>
      <c r="H299" s="2" t="s">
        <v>596</v>
      </c>
      <c r="I299" s="2" t="str">
        <f>IFERROR(__xludf.DUMMYFUNCTION("GOOGLETRANSLATE(C299,""fr"",""en"")"),"Commercial service more than limit")</f>
        <v>Commercial service more than limit</v>
      </c>
    </row>
    <row r="300" ht="15.75" customHeight="1">
      <c r="A300" s="2">
        <v>2.0</v>
      </c>
      <c r="B300" s="2" t="s">
        <v>951</v>
      </c>
      <c r="C300" s="2" t="s">
        <v>952</v>
      </c>
      <c r="D300" s="2" t="s">
        <v>599</v>
      </c>
      <c r="E300" s="2" t="s">
        <v>168</v>
      </c>
      <c r="F300" s="2" t="s">
        <v>15</v>
      </c>
      <c r="G300" s="2" t="s">
        <v>210</v>
      </c>
      <c r="H300" s="2" t="s">
        <v>134</v>
      </c>
      <c r="I300" s="2" t="str">
        <f>IFERROR(__xludf.DUMMYFUNCTION("GOOGLETRANSLATE(C300,""fr"",""en"")"),"I assured my dog ​​over thirteen years ago at Assur O'Poil, with so far reimbursements qualified as ""correct"".
The age of my dog ​​13 and a half years old, they start to relieve things by demanding documents never requested and of course delaying the r"&amp;"eimbursement in the maximum, hoping that we get tired.
Dear ""Assur O'Poil"" we will not get tired.
")</f>
        <v>I assured my dog ​​over thirteen years ago at Assur O'Poil, with so far reimbursements qualified as "correct".
The age of my dog ​​13 and a half years old, they start to relieve things by demanding documents never requested and of course delaying the reimbursement in the maximum, hoping that we get tired.
Dear "Assur O'Poil" we will not get tired.
</v>
      </c>
    </row>
    <row r="301" ht="15.75" customHeight="1">
      <c r="A301" s="2">
        <v>4.0</v>
      </c>
      <c r="B301" s="2" t="s">
        <v>953</v>
      </c>
      <c r="C301" s="2" t="s">
        <v>954</v>
      </c>
      <c r="D301" s="2" t="s">
        <v>37</v>
      </c>
      <c r="E301" s="2" t="s">
        <v>27</v>
      </c>
      <c r="F301" s="2" t="s">
        <v>15</v>
      </c>
      <c r="G301" s="2" t="s">
        <v>955</v>
      </c>
      <c r="H301" s="2" t="s">
        <v>134</v>
      </c>
      <c r="I301" s="2" t="str">
        <f>IFERROR(__xludf.DUMMYFUNCTION("GOOGLETRANSLATE(C301,""fr"",""en"")"),"My house as well as my vehicles are insured I am currently satisfied, the exchanges by emails are relatively effective so very well!")</f>
        <v>My house as well as my vehicles are insured I am currently satisfied, the exchanges by emails are relatively effective so very well!</v>
      </c>
    </row>
    <row r="302" ht="15.75" customHeight="1">
      <c r="A302" s="2">
        <v>4.0</v>
      </c>
      <c r="B302" s="2" t="s">
        <v>956</v>
      </c>
      <c r="C302" s="2" t="s">
        <v>957</v>
      </c>
      <c r="D302" s="2" t="s">
        <v>67</v>
      </c>
      <c r="E302" s="2" t="s">
        <v>68</v>
      </c>
      <c r="F302" s="2" t="s">
        <v>15</v>
      </c>
      <c r="G302" s="2" t="s">
        <v>958</v>
      </c>
      <c r="H302" s="2" t="s">
        <v>29</v>
      </c>
      <c r="I302" s="2" t="str">
        <f>IFERROR(__xludf.DUMMYFUNCTION("GOOGLETRANSLATE(C302,""fr"",""en"")"),"Perfect responsive and listening.
Reminder very quickly after making an online insurance comparator.
The prices are very correct.
Nothing to say about it.")</f>
        <v>Perfect responsive and listening.
Reminder very quickly after making an online insurance comparator.
The prices are very correct.
Nothing to say about it.</v>
      </c>
    </row>
    <row r="303" ht="15.75" customHeight="1">
      <c r="A303" s="2">
        <v>2.0</v>
      </c>
      <c r="B303" s="2" t="s">
        <v>959</v>
      </c>
      <c r="C303" s="2" t="s">
        <v>960</v>
      </c>
      <c r="D303" s="2" t="s">
        <v>300</v>
      </c>
      <c r="E303" s="2" t="s">
        <v>27</v>
      </c>
      <c r="F303" s="2" t="s">
        <v>15</v>
      </c>
      <c r="G303" s="2" t="s">
        <v>88</v>
      </c>
      <c r="H303" s="2" t="s">
        <v>88</v>
      </c>
      <c r="I303" s="2" t="str">
        <f>IFERROR(__xludf.DUMMYFUNCTION("GOOGLETRANSLATE(C303,""fr"",""en"")"),"Hello I think I donate a lot for all the contracts I have at home. Can I ask you a discount? This will be commercial on your part.
")</f>
        <v>Hello I think I donate a lot for all the contracts I have at home. Can I ask you a discount? This will be commercial on your part.
</v>
      </c>
    </row>
    <row r="304" ht="15.75" customHeight="1">
      <c r="A304" s="2">
        <v>4.0</v>
      </c>
      <c r="B304" s="2" t="s">
        <v>961</v>
      </c>
      <c r="C304" s="2" t="s">
        <v>962</v>
      </c>
      <c r="D304" s="2" t="s">
        <v>37</v>
      </c>
      <c r="E304" s="2" t="s">
        <v>27</v>
      </c>
      <c r="F304" s="2" t="s">
        <v>15</v>
      </c>
      <c r="G304" s="2" t="s">
        <v>134</v>
      </c>
      <c r="H304" s="2" t="s">
        <v>134</v>
      </c>
      <c r="I304" s="2" t="str">
        <f>IFERROR(__xludf.DUMMYFUNCTION("GOOGLETRANSLATE(C304,""fr"",""en"")"),"Competitive price but served poor quality customer, complicated discussion because of the French language not always mastered, not respecting schedules for telephone appointments")</f>
        <v>Competitive price but served poor quality customer, complicated discussion because of the French language not always mastered, not respecting schedules for telephone appointments</v>
      </c>
    </row>
    <row r="305" ht="15.75" customHeight="1">
      <c r="A305" s="2">
        <v>5.0</v>
      </c>
      <c r="B305" s="2" t="s">
        <v>963</v>
      </c>
      <c r="C305" s="2" t="s">
        <v>964</v>
      </c>
      <c r="D305" s="2" t="s">
        <v>368</v>
      </c>
      <c r="E305" s="2" t="s">
        <v>68</v>
      </c>
      <c r="F305" s="2" t="s">
        <v>15</v>
      </c>
      <c r="G305" s="2" t="s">
        <v>965</v>
      </c>
      <c r="H305" s="2" t="s">
        <v>62</v>
      </c>
      <c r="I305" s="2" t="str">
        <f>IFERROR(__xludf.DUMMYFUNCTION("GOOGLETRANSLATE(C305,""fr"",""en"")"),"Correct rates in comparison for 2 -wheel insurance .... the registration is simple, practical and very fast .... more than waiting for the small green sticker")</f>
        <v>Correct rates in comparison for 2 -wheel insurance .... the registration is simple, practical and very fast .... more than waiting for the small green sticker</v>
      </c>
    </row>
    <row r="306" ht="15.75" customHeight="1">
      <c r="A306" s="2">
        <v>1.0</v>
      </c>
      <c r="B306" s="2" t="s">
        <v>966</v>
      </c>
      <c r="C306" s="2" t="s">
        <v>967</v>
      </c>
      <c r="D306" s="2" t="s">
        <v>490</v>
      </c>
      <c r="E306" s="2" t="s">
        <v>27</v>
      </c>
      <c r="F306" s="2" t="s">
        <v>15</v>
      </c>
      <c r="G306" s="2" t="s">
        <v>968</v>
      </c>
      <c r="H306" s="2" t="s">
        <v>96</v>
      </c>
      <c r="I306" s="2" t="str">
        <f>IFERROR(__xludf.DUMMYFUNCTION("GOOGLETRANSLATE(C306,""fr"",""en"")"),"Flee the matmut
I was the victim of a vandalism 3 weeks ago. I was stolen my daughter's stroller and car seat and until today they are looking for trivialities to avoid repaying me.
I provided invoice to my name, filing a complaint. I am told that the p"&amp;"urchase of the equipment should be justified by bank. This is a gift offered by members of my family to whom I no longer speak today.
We must not only tell them our lives but in addition to beg a refund.
She is beautiful the Matmut ..
Client for 10 yea"&amp;"rs, my parents over 30 years old but when you have concerns you should not count on this insurance
I hesitated several times to terminate all my contracts at home I have never done it. Today I am no longer hesitating
Flee the Matmut.
You take every mon"&amp;"th they know how to do it (without asking for the origin of your funds this time) but you help they do not know.")</f>
        <v>Flee the matmut
I was the victim of a vandalism 3 weeks ago. I was stolen my daughter's stroller and car seat and until today they are looking for trivialities to avoid repaying me.
I provided invoice to my name, filing a complaint. I am told that the purchase of the equipment should be justified by bank. This is a gift offered by members of my family to whom I no longer speak today.
We must not only tell them our lives but in addition to beg a refund.
She is beautiful the Matmut ..
Client for 10 years, my parents over 30 years old but when you have concerns you should not count on this insurance
I hesitated several times to terminate all my contracts at home I have never done it. Today I am no longer hesitating
Flee the Matmut.
You take every month they know how to do it (without asking for the origin of your funds this time) but you help they do not know.</v>
      </c>
    </row>
    <row r="307" ht="15.75" customHeight="1">
      <c r="A307" s="2">
        <v>4.0</v>
      </c>
      <c r="B307" s="2" t="s">
        <v>969</v>
      </c>
      <c r="C307" s="2" t="s">
        <v>970</v>
      </c>
      <c r="D307" s="2" t="s">
        <v>67</v>
      </c>
      <c r="E307" s="2" t="s">
        <v>68</v>
      </c>
      <c r="F307" s="2" t="s">
        <v>15</v>
      </c>
      <c r="G307" s="2" t="s">
        <v>971</v>
      </c>
      <c r="H307" s="2" t="s">
        <v>62</v>
      </c>
      <c r="I307" s="2" t="str">
        <f>IFERROR(__xludf.DUMMYFUNCTION("GOOGLETRANSLATE(C307,""fr"",""en"")"),"Satisfied with the attractive price service Simplicity for the quote good support ease of payment and security of payment good support")</f>
        <v>Satisfied with the attractive price service Simplicity for the quote good support ease of payment and security of payment good support</v>
      </c>
    </row>
    <row r="308" ht="15.75" customHeight="1">
      <c r="A308" s="2">
        <v>5.0</v>
      </c>
      <c r="B308" s="2" t="s">
        <v>972</v>
      </c>
      <c r="C308" s="2" t="s">
        <v>973</v>
      </c>
      <c r="D308" s="2" t="s">
        <v>156</v>
      </c>
      <c r="E308" s="2" t="s">
        <v>21</v>
      </c>
      <c r="F308" s="2" t="s">
        <v>15</v>
      </c>
      <c r="G308" s="2" t="s">
        <v>974</v>
      </c>
      <c r="H308" s="2" t="s">
        <v>141</v>
      </c>
      <c r="I308" s="2" t="str">
        <f>IFERROR(__xludf.DUMMYFUNCTION("GOOGLETRANSLATE(C308,""fr"",""en"")"),"I am satisfied with your service The prices are correct very affordable, thank you and I wish you to have a good day cordially")</f>
        <v>I am satisfied with your service The prices are correct very affordable, thank you and I wish you to have a good day cordially</v>
      </c>
    </row>
    <row r="309" ht="15.75" customHeight="1">
      <c r="A309" s="2">
        <v>5.0</v>
      </c>
      <c r="B309" s="2" t="s">
        <v>975</v>
      </c>
      <c r="C309" s="2" t="s">
        <v>976</v>
      </c>
      <c r="D309" s="2" t="s">
        <v>26</v>
      </c>
      <c r="E309" s="2" t="s">
        <v>27</v>
      </c>
      <c r="F309" s="2" t="s">
        <v>15</v>
      </c>
      <c r="G309" s="2" t="s">
        <v>977</v>
      </c>
      <c r="H309" s="2" t="s">
        <v>661</v>
      </c>
      <c r="I309" s="2" t="str">
        <f>IFERROR(__xludf.DUMMYFUNCTION("GOOGLETRANSLATE(C309,""fr"",""en"")"),"Satisfied with customer support, prices, the overall service.
Speed, efficiency of the service, it is really a value, company accepting drivers without penalties or bonus. A good point confidence")</f>
        <v>Satisfied with customer support, prices, the overall service.
Speed, efficiency of the service, it is really a value, company accepting drivers without penalties or bonus. A good point confidence</v>
      </c>
    </row>
    <row r="310" ht="15.75" customHeight="1">
      <c r="A310" s="2">
        <v>1.0</v>
      </c>
      <c r="B310" s="2" t="s">
        <v>978</v>
      </c>
      <c r="C310" s="2" t="s">
        <v>979</v>
      </c>
      <c r="D310" s="2" t="s">
        <v>490</v>
      </c>
      <c r="E310" s="2" t="s">
        <v>27</v>
      </c>
      <c r="F310" s="2" t="s">
        <v>15</v>
      </c>
      <c r="G310" s="2" t="s">
        <v>980</v>
      </c>
      <c r="H310" s="2" t="s">
        <v>596</v>
      </c>
      <c r="I310" s="2" t="str">
        <f>IFERROR(__xludf.DUMMYFUNCTION("GOOGLETRANSLATE(C310,""fr"",""en"")"),"I hold a Matmut Automobile contract any risk (which I am obviously breaking). I was the victim of a traffic accident (a car struck me by the rear). I am not wrong in this accident but victim. My vehicle was wreck by the expert mandated by the Matmut. I wa"&amp;"s offered compensation below the value of my car based on any element (fictitious non -comparable vehicle ads, not taking into account maintenance bills). I made a complete file with more than 15 real advertisements not taken into account. The compensatio"&amp;"n offered does not allow me to have an equivalent vehicle. I had no support from Matmut, whether in terms of process, speed of management, and human management of the file. La Matmut only calls you to make you subscribe new contracts, when you want to ass"&amp;"ert your rights for which you have been paying for years, you will have the right to anything. With any risk insurance, in an accident not in wrong, you lose money with Matmut, insurer to flee. The Matmut does not defend its insured. The person who struck"&amp;" me (100% in wrong) had nothing to spend!")</f>
        <v>I hold a Matmut Automobile contract any risk (which I am obviously breaking). I was the victim of a traffic accident (a car struck me by the rear). I am not wrong in this accident but victim. My vehicle was wreck by the expert mandated by the Matmut. I was offered compensation below the value of my car based on any element (fictitious non -comparable vehicle ads, not taking into account maintenance bills). I made a complete file with more than 15 real advertisements not taken into account. The compensation offered does not allow me to have an equivalent vehicle. I had no support from Matmut, whether in terms of process, speed of management, and human management of the file. La Matmut only calls you to make you subscribe new contracts, when you want to assert your rights for which you have been paying for years, you will have the right to anything. With any risk insurance, in an accident not in wrong, you lose money with Matmut, insurer to flee. The Matmut does not defend its insured. The person who struck me (100% in wrong) had nothing to spend!</v>
      </c>
    </row>
    <row r="311" ht="15.75" customHeight="1">
      <c r="A311" s="2">
        <v>1.0</v>
      </c>
      <c r="B311" s="2" t="s">
        <v>981</v>
      </c>
      <c r="C311" s="2" t="s">
        <v>982</v>
      </c>
      <c r="D311" s="2" t="s">
        <v>217</v>
      </c>
      <c r="E311" s="2" t="s">
        <v>27</v>
      </c>
      <c r="F311" s="2" t="s">
        <v>15</v>
      </c>
      <c r="G311" s="2" t="s">
        <v>983</v>
      </c>
      <c r="H311" s="2" t="s">
        <v>497</v>
      </c>
      <c r="I311" s="2" t="str">
        <f>IFERROR(__xludf.DUMMYFUNCTION("GOOGLETRANSLATE(C311,""fr"",""en"")"),"In disagreement for 2 years on the amount of compensation that Macif owes me following the deprivation of my vehicle because of an accident for which I am not responsible. The Macif owes me more than 2000 € but as it must turn against opposing insurance a"&amp;"nd that it refuses to pay, the Macif does not want to do anything and offers me royally 100 € in a commercial gesture! A shame! Legally the Macif is required to seize the courts against opposing insurance, but wolves are not eaten between them, it is know"&amp;"n. Result is always the victims who are twice as much! Thank you and well done the Macif! A shame! To flee!")</f>
        <v>In disagreement for 2 years on the amount of compensation that Macif owes me following the deprivation of my vehicle because of an accident for which I am not responsible. The Macif owes me more than 2000 € but as it must turn against opposing insurance and that it refuses to pay, the Macif does not want to do anything and offers me royally 100 € in a commercial gesture! A shame! Legally the Macif is required to seize the courts against opposing insurance, but wolves are not eaten between them, it is known. Result is always the victims who are twice as much! Thank you and well done the Macif! A shame! To flee!</v>
      </c>
    </row>
    <row r="312" ht="15.75" customHeight="1">
      <c r="A312" s="2">
        <v>3.0</v>
      </c>
      <c r="B312" s="2" t="s">
        <v>984</v>
      </c>
      <c r="C312" s="2" t="s">
        <v>985</v>
      </c>
      <c r="D312" s="2" t="s">
        <v>42</v>
      </c>
      <c r="E312" s="2" t="s">
        <v>27</v>
      </c>
      <c r="F312" s="2" t="s">
        <v>15</v>
      </c>
      <c r="G312" s="2" t="s">
        <v>986</v>
      </c>
      <c r="H312" s="2" t="s">
        <v>427</v>
      </c>
      <c r="I312" s="2" t="str">
        <f>IFERROR(__xludf.DUMMYFUNCTION("GOOGLETRANSLATE(C312,""fr"",""en"")"),"Problem for getting a car loan if over 75 years old.
And yet the MAIF are on the vam contract for the over 75s.
Where then, we walk!")</f>
        <v>Problem for getting a car loan if over 75 years old.
And yet the MAIF are on the vam contract for the over 75s.
Where then, we walk!</v>
      </c>
    </row>
    <row r="313" ht="15.75" customHeight="1">
      <c r="A313" s="2">
        <v>2.0</v>
      </c>
      <c r="B313" s="2" t="s">
        <v>987</v>
      </c>
      <c r="C313" s="2" t="s">
        <v>988</v>
      </c>
      <c r="D313" s="2" t="s">
        <v>989</v>
      </c>
      <c r="E313" s="2" t="s">
        <v>289</v>
      </c>
      <c r="F313" s="2" t="s">
        <v>15</v>
      </c>
      <c r="G313" s="2" t="s">
        <v>877</v>
      </c>
      <c r="H313" s="2" t="s">
        <v>23</v>
      </c>
      <c r="I313" s="2" t="str">
        <f>IFERROR(__xludf.DUMMYFUNCTION("GOOGLETRANSLATE(C313,""fr"",""en"")"),"Impossible to reach them. I stayed 1 hour on hold without having anyone.
There is supposedly a website to follow file but when they write they do not give the right beneficiary number so it does not work. It looks like they do everything to delay payment"&amp;".
We are talking about a company of Société Générale. How can they continue to work like this?
")</f>
        <v>Impossible to reach them. I stayed 1 hour on hold without having anyone.
There is supposedly a website to follow file but when they write they do not give the right beneficiary number so it does not work. It looks like they do everything to delay payment.
We are talking about a company of Société Générale. How can they continue to work like this?
</v>
      </c>
    </row>
    <row r="314" ht="15.75" customHeight="1">
      <c r="A314" s="2">
        <v>1.0</v>
      </c>
      <c r="B314" s="2" t="s">
        <v>990</v>
      </c>
      <c r="C314" s="2" t="s">
        <v>991</v>
      </c>
      <c r="D314" s="2" t="s">
        <v>490</v>
      </c>
      <c r="E314" s="2" t="s">
        <v>43</v>
      </c>
      <c r="F314" s="2" t="s">
        <v>15</v>
      </c>
      <c r="G314" s="2" t="s">
        <v>916</v>
      </c>
      <c r="H314" s="2" t="s">
        <v>101</v>
      </c>
      <c r="I314" s="2" t="str">
        <f>IFERROR(__xludf.DUMMYFUNCTION("GOOGLETRANSLATE(C314,""fr"",""en"")"),"Very long time, no response, no support, no advice. We can feel that the sellers are not on the side of the assures. I will of course change insurer, as well as that of my parents who had advised me, and have been assured at home for over 30 years. unacce"&amp;"ptable")</f>
        <v>Very long time, no response, no support, no advice. We can feel that the sellers are not on the side of the assures. I will of course change insurer, as well as that of my parents who had advised me, and have been assured at home for over 30 years. unacceptable</v>
      </c>
    </row>
    <row r="315" ht="15.75" customHeight="1">
      <c r="A315" s="2">
        <v>2.0</v>
      </c>
      <c r="B315" s="2" t="s">
        <v>992</v>
      </c>
      <c r="C315" s="2" t="s">
        <v>993</v>
      </c>
      <c r="D315" s="2" t="s">
        <v>217</v>
      </c>
      <c r="E315" s="2" t="s">
        <v>27</v>
      </c>
      <c r="F315" s="2" t="s">
        <v>15</v>
      </c>
      <c r="G315" s="2" t="s">
        <v>994</v>
      </c>
      <c r="H315" s="2" t="s">
        <v>596</v>
      </c>
      <c r="I315" s="2" t="str">
        <f>IFERROR(__xludf.DUMMYFUNCTION("GOOGLETRANSLATE(C315,""fr"",""en"")"),"Hello,
This day I receive a recommended telling me that they do not renew our contracts for the following reason which seems very light and inconsistent: alteration of our commercial relationship. All this because we did not agree with an amount requeste"&amp;"d by phone. Once by appointment by agency, this one had nothing to do with what had been told on the phone. Indeed it was necessary to open an account and the person had not specified it on the phone. So I asked that they are listening to my call and unfo"&amp;"rtunately they do not record. So we did not follow up for this file but still provided the new car. A few months after a person from the Macif phoned me to find out if I had things to say and I told him about this problem. This call went very well and she"&amp;" even asked me that to be forgiven and that we were good customers without problem, good payers etc ... and today I receive this recommended. I am cchoked and still do not understand. Would a person working there have transformed our words? I specify that"&amp;" we are correct people. I don't understand.")</f>
        <v>Hello,
This day I receive a recommended telling me that they do not renew our contracts for the following reason which seems very light and inconsistent: alteration of our commercial relationship. All this because we did not agree with an amount requested by phone. Once by appointment by agency, this one had nothing to do with what had been told on the phone. Indeed it was necessary to open an account and the person had not specified it on the phone. So I asked that they are listening to my call and unfortunately they do not record. So we did not follow up for this file but still provided the new car. A few months after a person from the Macif phoned me to find out if I had things to say and I told him about this problem. This call went very well and she even asked me that to be forgiven and that we were good customers without problem, good payers etc ... and today I receive this recommended. I am cchoked and still do not understand. Would a person working there have transformed our words? I specify that we are correct people. I don't understand.</v>
      </c>
    </row>
    <row r="316" ht="15.75" customHeight="1">
      <c r="A316" s="2">
        <v>1.0</v>
      </c>
      <c r="B316" s="2" t="s">
        <v>995</v>
      </c>
      <c r="C316" s="2" t="s">
        <v>996</v>
      </c>
      <c r="D316" s="2" t="s">
        <v>37</v>
      </c>
      <c r="E316" s="2" t="s">
        <v>43</v>
      </c>
      <c r="F316" s="2" t="s">
        <v>15</v>
      </c>
      <c r="G316" s="2" t="s">
        <v>997</v>
      </c>
      <c r="H316" s="2" t="s">
        <v>121</v>
      </c>
      <c r="I316" s="2" t="str">
        <f>IFERROR(__xludf.DUMMYFUNCTION("GOOGLETRANSLATE(C316,""fr"",""en"")"),"This insurance is a real disaster! Still waiting for my reimbursement check following the termination of my Habitat contract .... 10 months !!!!
x Relances, x promises and still nothing.
Sevice customers and lamentable consumers, simply shameful!
A w"&amp;"ord of advice, barely pay more cherish but with 1 agency nearby, we avoid this kind of disappointment!")</f>
        <v>This insurance is a real disaster! Still waiting for my reimbursement check following the termination of my Habitat contract .... 10 months !!!!
x Relances, x promises and still nothing.
Sevice customers and lamentable consumers, simply shameful!
A word of advice, barely pay more cherish but with 1 agency nearby, we avoid this kind of disappointment!</v>
      </c>
    </row>
    <row r="317" ht="15.75" customHeight="1">
      <c r="A317" s="2">
        <v>4.0</v>
      </c>
      <c r="B317" s="2" t="s">
        <v>998</v>
      </c>
      <c r="C317" s="2" t="s">
        <v>999</v>
      </c>
      <c r="D317" s="2" t="s">
        <v>37</v>
      </c>
      <c r="E317" s="2" t="s">
        <v>27</v>
      </c>
      <c r="F317" s="2" t="s">
        <v>15</v>
      </c>
      <c r="G317" s="2" t="s">
        <v>701</v>
      </c>
      <c r="H317" s="2" t="s">
        <v>88</v>
      </c>
      <c r="I317" s="2" t="str">
        <f>IFERROR(__xludf.DUMMYFUNCTION("GOOGLETRANSLATE(C317,""fr"",""en"")"),"I am extremely satisfied with the price of my car insurance at Direct Insurance.
The procedure was simply effective without problem.
")</f>
        <v>I am extremely satisfied with the price of my car insurance at Direct Insurance.
The procedure was simply effective without problem.
</v>
      </c>
    </row>
    <row r="318" ht="15.75" customHeight="1">
      <c r="A318" s="2">
        <v>1.0</v>
      </c>
      <c r="B318" s="2" t="s">
        <v>1000</v>
      </c>
      <c r="C318" s="2" t="s">
        <v>1001</v>
      </c>
      <c r="D318" s="2" t="s">
        <v>37</v>
      </c>
      <c r="E318" s="2" t="s">
        <v>27</v>
      </c>
      <c r="F318" s="2" t="s">
        <v>15</v>
      </c>
      <c r="G318" s="2" t="s">
        <v>1002</v>
      </c>
      <c r="H318" s="2" t="s">
        <v>634</v>
      </c>
      <c r="I318" s="2" t="str">
        <f>IFERROR(__xludf.DUMMYFUNCTION("GOOGLETRANSLATE(C318,""fr"",""en"")"),"To flee. Low price, price charged are not the cheapest on the market")</f>
        <v>To flee. Low price, price charged are not the cheapest on the market</v>
      </c>
    </row>
    <row r="319" ht="15.75" customHeight="1">
      <c r="A319" s="2">
        <v>4.0</v>
      </c>
      <c r="B319" s="2" t="s">
        <v>1003</v>
      </c>
      <c r="C319" s="2" t="s">
        <v>1004</v>
      </c>
      <c r="D319" s="2" t="s">
        <v>37</v>
      </c>
      <c r="E319" s="2" t="s">
        <v>27</v>
      </c>
      <c r="F319" s="2" t="s">
        <v>15</v>
      </c>
      <c r="G319" s="2" t="s">
        <v>1005</v>
      </c>
      <c r="H319" s="2" t="s">
        <v>88</v>
      </c>
      <c r="I319" s="2" t="str">
        <f>IFERROR(__xludf.DUMMYFUNCTION("GOOGLETRANSLATE(C319,""fr"",""en"")"),"fast and precise service, easy to use and easy to implement
Perfect for taking new insurance and reception, advising")</f>
        <v>fast and precise service, easy to use and easy to implement
Perfect for taking new insurance and reception, advising</v>
      </c>
    </row>
    <row r="320" ht="15.75" customHeight="1">
      <c r="A320" s="2">
        <v>5.0</v>
      </c>
      <c r="B320" s="2" t="s">
        <v>1006</v>
      </c>
      <c r="C320" s="2" t="s">
        <v>1007</v>
      </c>
      <c r="D320" s="2" t="s">
        <v>37</v>
      </c>
      <c r="E320" s="2" t="s">
        <v>27</v>
      </c>
      <c r="F320" s="2" t="s">
        <v>15</v>
      </c>
      <c r="G320" s="2" t="s">
        <v>293</v>
      </c>
      <c r="H320" s="2" t="s">
        <v>29</v>
      </c>
      <c r="I320" s="2" t="str">
        <f>IFERROR(__xludf.DUMMYFUNCTION("GOOGLETRANSLATE(C320,""fr"",""en"")"),"I am very satisfied. It is very easy to have the information from one cover to another and to make your choice with full knowledge of the facts.")</f>
        <v>I am very satisfied. It is very easy to have the information from one cover to another and to make your choice with full knowledge of the facts.</v>
      </c>
    </row>
    <row r="321" ht="15.75" customHeight="1">
      <c r="A321" s="2">
        <v>1.0</v>
      </c>
      <c r="B321" s="2" t="s">
        <v>1008</v>
      </c>
      <c r="C321" s="2" t="s">
        <v>1009</v>
      </c>
      <c r="D321" s="2" t="s">
        <v>37</v>
      </c>
      <c r="E321" s="2" t="s">
        <v>27</v>
      </c>
      <c r="F321" s="2" t="s">
        <v>15</v>
      </c>
      <c r="G321" s="2" t="s">
        <v>1010</v>
      </c>
      <c r="H321" s="2" t="s">
        <v>121</v>
      </c>
      <c r="I321" s="2" t="str">
        <f>IFERROR(__xludf.DUMMYFUNCTION("GOOGLETRANSLATE(C321,""fr"",""en"")"),"Desperate ..... Following the theft of my vehicle, I claim from Direct Insurance the technical assessment assessment that I must transmit to my credit house for the management of my financial loss. 1st email on April 29 followed by a recovery email every "&amp;"week. I'm not even talking about calls or you wait for 15 minutes to hear say ""sorry please renew your call .... when you finally manage to join an advisor we tell you you will have it next Tuesday. The following Tuesday you think your problem will be so"&amp;"lved and .... no it's for the following Tuesday. In short 45 days after I still have nothing. I just have the feeling that I am hanging for a truffle. So I hesitate between Move from Marseille going to pick up this document on site or contact a lawyer bec"&amp;"ause I think I would not get it otherwise.
Who knows how to tell me if there is a welcome to the public to go and recover documents?")</f>
        <v>Desperate ..... Following the theft of my vehicle, I claim from Direct Insurance the technical assessment assessment that I must transmit to my credit house for the management of my financial loss. 1st email on April 29 followed by a recovery email every week. I'm not even talking about calls or you wait for 15 minutes to hear say "sorry please renew your call .... when you finally manage to join an advisor we tell you you will have it next Tuesday. The following Tuesday you think your problem will be solved and .... no it's for the following Tuesday. In short 45 days after I still have nothing. I just have the feeling that I am hanging for a truffle. So I hesitate between Move from Marseille going to pick up this document on site or contact a lawyer because I think I would not get it otherwise.
Who knows how to tell me if there is a welcome to the public to go and recover documents?</v>
      </c>
    </row>
    <row r="322" ht="15.75" customHeight="1">
      <c r="A322" s="2">
        <v>1.0</v>
      </c>
      <c r="B322" s="2" t="s">
        <v>1011</v>
      </c>
      <c r="C322" s="2" t="s">
        <v>1012</v>
      </c>
      <c r="D322" s="2" t="s">
        <v>234</v>
      </c>
      <c r="E322" s="2" t="s">
        <v>21</v>
      </c>
      <c r="F322" s="2" t="s">
        <v>15</v>
      </c>
      <c r="G322" s="2" t="s">
        <v>1013</v>
      </c>
      <c r="H322" s="2" t="s">
        <v>840</v>
      </c>
      <c r="I322" s="2" t="str">
        <f>IFERROR(__xludf.DUMMYFUNCTION("GOOGLETRANSLATE(C322,""fr"",""en"")"),"Mutual completely false samples corresponding to nothing
Forced sale by phone")</f>
        <v>Mutual completely false samples corresponding to nothing
Forced sale by phone</v>
      </c>
    </row>
    <row r="323" ht="15.75" customHeight="1">
      <c r="A323" s="2">
        <v>5.0</v>
      </c>
      <c r="B323" s="2" t="s">
        <v>1014</v>
      </c>
      <c r="C323" s="2" t="s">
        <v>1015</v>
      </c>
      <c r="D323" s="2" t="s">
        <v>26</v>
      </c>
      <c r="E323" s="2" t="s">
        <v>27</v>
      </c>
      <c r="F323" s="2" t="s">
        <v>15</v>
      </c>
      <c r="G323" s="2" t="s">
        <v>1016</v>
      </c>
      <c r="H323" s="2" t="s">
        <v>503</v>
      </c>
      <c r="I323" s="2" t="str">
        <f>IFERROR(__xludf.DUMMYFUNCTION("GOOGLETRANSLATE(C323,""fr"",""en"")"),"2 times, I assure a vehicle with the olive tree. Fortunately, I have had no claim for the moment and therefore cannot be noted.
On the other hand, for reception, price availability, professionalism: no complaints if not bravo!
The little extra to improv"&amp;"e; A sticker to put the sticker on the vehicle would be welcome.
Keep going")</f>
        <v>2 times, I assure a vehicle with the olive tree. Fortunately, I have had no claim for the moment and therefore cannot be noted.
On the other hand, for reception, price availability, professionalism: no complaints if not bravo!
The little extra to improve; A sticker to put the sticker on the vehicle would be welcome.
Keep going</v>
      </c>
    </row>
    <row r="324" ht="15.75" customHeight="1">
      <c r="A324" s="2">
        <v>1.0</v>
      </c>
      <c r="B324" s="2" t="s">
        <v>1017</v>
      </c>
      <c r="C324" s="2" t="s">
        <v>1018</v>
      </c>
      <c r="D324" s="2" t="s">
        <v>20</v>
      </c>
      <c r="E324" s="2" t="s">
        <v>21</v>
      </c>
      <c r="F324" s="2" t="s">
        <v>15</v>
      </c>
      <c r="G324" s="2" t="s">
        <v>1019</v>
      </c>
      <c r="H324" s="2" t="s">
        <v>357</v>
      </c>
      <c r="I324" s="2" t="str">
        <f>IFERROR(__xludf.DUMMYFUNCTION("GOOGLETRANSLATE(C324,""fr"",""en"")"),"Despite several attempts and following the procedure I never managed to create my space.
You may need a permit")</f>
        <v>Despite several attempts and following the procedure I never managed to create my space.
You may need a permit</v>
      </c>
    </row>
    <row r="325" ht="15.75" customHeight="1">
      <c r="A325" s="2">
        <v>5.0</v>
      </c>
      <c r="B325" s="2" t="s">
        <v>1020</v>
      </c>
      <c r="C325" s="2" t="s">
        <v>1021</v>
      </c>
      <c r="D325" s="2" t="s">
        <v>37</v>
      </c>
      <c r="E325" s="2" t="s">
        <v>27</v>
      </c>
      <c r="F325" s="2" t="s">
        <v>15</v>
      </c>
      <c r="G325" s="2" t="s">
        <v>153</v>
      </c>
      <c r="H325" s="2" t="s">
        <v>23</v>
      </c>
      <c r="I325" s="2" t="str">
        <f>IFERROR(__xludf.DUMMYFUNCTION("GOOGLETRANSLATE(C325,""fr"",""en"")"),"I am satisfied with the service, quick and pleasant subscription for a young driver.
The price is very correct given the vehicle model chooses, the payment is fast and secure.")</f>
        <v>I am satisfied with the service, quick and pleasant subscription for a young driver.
The price is very correct given the vehicle model chooses, the payment is fast and secure.</v>
      </c>
    </row>
    <row r="326" ht="15.75" customHeight="1">
      <c r="A326" s="2">
        <v>4.0</v>
      </c>
      <c r="B326" s="2" t="s">
        <v>1022</v>
      </c>
      <c r="C326" s="2" t="s">
        <v>1023</v>
      </c>
      <c r="D326" s="2" t="s">
        <v>26</v>
      </c>
      <c r="E326" s="2" t="s">
        <v>27</v>
      </c>
      <c r="F326" s="2" t="s">
        <v>15</v>
      </c>
      <c r="G326" s="2" t="s">
        <v>29</v>
      </c>
      <c r="H326" s="2" t="s">
        <v>29</v>
      </c>
      <c r="I326" s="2" t="str">
        <f>IFERROR(__xludf.DUMMYFUNCTION("GOOGLETRANSLATE(C326,""fr"",""en"")"),"I am satisfied with my insurance I highly recommend the Olivier Insurance.
The prices are more than correct and perfectly meet my expectations
")</f>
        <v>I am satisfied with my insurance I highly recommend the Olivier Insurance.
The prices are more than correct and perfectly meet my expectations
</v>
      </c>
    </row>
    <row r="327" ht="15.75" customHeight="1">
      <c r="A327" s="2">
        <v>5.0</v>
      </c>
      <c r="B327" s="2" t="s">
        <v>1024</v>
      </c>
      <c r="C327" s="2" t="s">
        <v>1025</v>
      </c>
      <c r="D327" s="2" t="s">
        <v>37</v>
      </c>
      <c r="E327" s="2" t="s">
        <v>27</v>
      </c>
      <c r="F327" s="2" t="s">
        <v>15</v>
      </c>
      <c r="G327" s="2" t="s">
        <v>124</v>
      </c>
      <c r="H327" s="2" t="s">
        <v>88</v>
      </c>
      <c r="I327" s="2" t="str">
        <f>IFERROR(__xludf.DUMMYFUNCTION("GOOGLETRANSLATE(C327,""fr"",""en"")"),"Super fast and incomparable price level, 3 times cheaper as my old insurance with the same guarantees. I recommend without worries. I may pass my other insurances at home.")</f>
        <v>Super fast and incomparable price level, 3 times cheaper as my old insurance with the same guarantees. I recommend without worries. I may pass my other insurances at home.</v>
      </c>
    </row>
    <row r="328" ht="15.75" customHeight="1">
      <c r="A328" s="2">
        <v>5.0</v>
      </c>
      <c r="B328" s="2" t="s">
        <v>1026</v>
      </c>
      <c r="C328" s="2" t="s">
        <v>1027</v>
      </c>
      <c r="D328" s="2" t="s">
        <v>368</v>
      </c>
      <c r="E328" s="2" t="s">
        <v>68</v>
      </c>
      <c r="F328" s="2" t="s">
        <v>15</v>
      </c>
      <c r="G328" s="2" t="s">
        <v>1028</v>
      </c>
      <c r="H328" s="2" t="s">
        <v>88</v>
      </c>
      <c r="I328" s="2" t="str">
        <f>IFERROR(__xludf.DUMMYFUNCTION("GOOGLETRANSLATE(C328,""fr"",""en"")"),"Quality price of excellent Insurance very satisfied I recommend around me to continue like this and the very kind telephone staff and explains our desired contracts well")</f>
        <v>Quality price of excellent Insurance very satisfied I recommend around me to continue like this and the very kind telephone staff and explains our desired contracts well</v>
      </c>
    </row>
    <row r="329" ht="15.75" customHeight="1">
      <c r="A329" s="2">
        <v>1.0</v>
      </c>
      <c r="B329" s="2" t="s">
        <v>1029</v>
      </c>
      <c r="C329" s="2" t="s">
        <v>1030</v>
      </c>
      <c r="D329" s="2" t="s">
        <v>518</v>
      </c>
      <c r="E329" s="2" t="s">
        <v>68</v>
      </c>
      <c r="F329" s="2" t="s">
        <v>15</v>
      </c>
      <c r="G329" s="2" t="s">
        <v>1031</v>
      </c>
      <c r="H329" s="2" t="s">
        <v>860</v>
      </c>
      <c r="I329" s="2" t="str">
        <f>IFERROR(__xludf.DUMMYFUNCTION("GOOGLETRANSLATE(C329,""fr"",""en"")"),"sinister which took place on May 17. To date no one keeps us informed of the advancement of the file. My son was injured and not responsible. His scooter is wreck but no refund in view or compensation for his loss of salary. Obviously nobody answers the p"&amp;"hone !!! Except to subscribe")</f>
        <v>sinister which took place on May 17. To date no one keeps us informed of the advancement of the file. My son was injured and not responsible. His scooter is wreck but no refund in view or compensation for his loss of salary. Obviously nobody answers the phone !!! Except to subscribe</v>
      </c>
    </row>
    <row r="330" ht="15.75" customHeight="1">
      <c r="A330" s="2">
        <v>3.0</v>
      </c>
      <c r="B330" s="2" t="s">
        <v>1032</v>
      </c>
      <c r="C330" s="2" t="s">
        <v>1033</v>
      </c>
      <c r="D330" s="2" t="s">
        <v>300</v>
      </c>
      <c r="E330" s="2" t="s">
        <v>27</v>
      </c>
      <c r="F330" s="2" t="s">
        <v>15</v>
      </c>
      <c r="G330" s="2" t="s">
        <v>124</v>
      </c>
      <c r="H330" s="2" t="s">
        <v>88</v>
      </c>
      <c r="I330" s="2" t="str">
        <f>IFERROR(__xludf.DUMMYFUNCTION("GOOGLETRANSLATE(C330,""fr"",""en"")"),"Attractive car insurance pricing but no flexibility for adapting the contract in the event of a long loan of the car to a friend for example.
VAE insurance.
Correct home insurance but not trained agency advisor.
No loyalty package offer.")</f>
        <v>Attractive car insurance pricing but no flexibility for adapting the contract in the event of a long loan of the car to a friend for example.
VAE insurance.
Correct home insurance but not trained agency advisor.
No loyalty package offer.</v>
      </c>
    </row>
    <row r="331" ht="15.75" customHeight="1">
      <c r="A331" s="2">
        <v>4.0</v>
      </c>
      <c r="B331" s="2" t="s">
        <v>1034</v>
      </c>
      <c r="C331" s="2" t="s">
        <v>1035</v>
      </c>
      <c r="D331" s="2" t="s">
        <v>42</v>
      </c>
      <c r="E331" s="2" t="s">
        <v>27</v>
      </c>
      <c r="F331" s="2" t="s">
        <v>15</v>
      </c>
      <c r="G331" s="2" t="s">
        <v>1036</v>
      </c>
      <c r="H331" s="2" t="s">
        <v>92</v>
      </c>
      <c r="I331" s="2" t="str">
        <f>IFERROR(__xludf.DUMMYFUNCTION("GOOGLETRANSLATE(C331,""fr"",""en"")"),"MAIF is very good insurance, especially for big accidents. It reimburses effectively and customer relations are very appreciable. It displays a correct price compared to others.
")</f>
        <v>MAIF is very good insurance, especially for big accidents. It reimburses effectively and customer relations are very appreciable. It displays a correct price compared to others.
</v>
      </c>
    </row>
    <row r="332" ht="15.75" customHeight="1">
      <c r="A332" s="2">
        <v>4.0</v>
      </c>
      <c r="B332" s="2" t="s">
        <v>1037</v>
      </c>
      <c r="C332" s="2" t="s">
        <v>1038</v>
      </c>
      <c r="D332" s="2" t="s">
        <v>300</v>
      </c>
      <c r="E332" s="2" t="s">
        <v>27</v>
      </c>
      <c r="F332" s="2" t="s">
        <v>15</v>
      </c>
      <c r="G332" s="2" t="s">
        <v>1039</v>
      </c>
      <c r="H332" s="2" t="s">
        <v>29</v>
      </c>
      <c r="I332" s="2" t="str">
        <f>IFERROR(__xludf.DUMMYFUNCTION("GOOGLETRANSLATE(C332,""fr"",""en"")"),"Good insurance, several contracts already for us at GMF, correct price compared to competitors. Good home service by phone, customer service and assistance!")</f>
        <v>Good insurance, several contracts already for us at GMF, correct price compared to competitors. Good home service by phone, customer service and assistance!</v>
      </c>
    </row>
    <row r="333" ht="15.75" customHeight="1">
      <c r="A333" s="2">
        <v>1.0</v>
      </c>
      <c r="B333" s="2" t="s">
        <v>1040</v>
      </c>
      <c r="C333" s="2" t="s">
        <v>1041</v>
      </c>
      <c r="D333" s="2" t="s">
        <v>355</v>
      </c>
      <c r="E333" s="2" t="s">
        <v>27</v>
      </c>
      <c r="F333" s="2" t="s">
        <v>15</v>
      </c>
      <c r="G333" s="2" t="s">
        <v>1042</v>
      </c>
      <c r="H333" s="2" t="s">
        <v>92</v>
      </c>
      <c r="I333" s="2" t="str">
        <f>IFERROR(__xludf.DUMMYFUNCTION("GOOGLETRANSLATE(C333,""fr"",""en"")"),"You say that you keep us posted but never reminds you, no effort with customers who have seniority, really very disappointed. I plan to change insurance in the coming days.")</f>
        <v>You say that you keep us posted but never reminds you, no effort with customers who have seniority, really very disappointed. I plan to change insurance in the coming days.</v>
      </c>
    </row>
    <row r="334" ht="15.75" customHeight="1">
      <c r="A334" s="2">
        <v>3.0</v>
      </c>
      <c r="B334" s="2" t="s">
        <v>1043</v>
      </c>
      <c r="C334" s="2" t="s">
        <v>1044</v>
      </c>
      <c r="D334" s="2" t="s">
        <v>37</v>
      </c>
      <c r="E334" s="2" t="s">
        <v>27</v>
      </c>
      <c r="F334" s="2" t="s">
        <v>15</v>
      </c>
      <c r="G334" s="2" t="s">
        <v>1045</v>
      </c>
      <c r="H334" s="2" t="s">
        <v>112</v>
      </c>
      <c r="I334" s="2" t="str">
        <f>IFERROR(__xludf.DUMMYFUNCTION("GOOGLETRANSLATE(C334,""fr"",""en"")"),"I find the decrease annual, depending on a derisory additional bonus gain! As this is according to the claims recorded in the past year concerning the DPRT (37)
When in addition we were in confinement and the French rolled much less and by the same had l"&amp;"ess accident ... ?? !!!!! !!!!!")</f>
        <v>I find the decrease annual, depending on a derisory additional bonus gain! As this is according to the claims recorded in the past year concerning the DPRT (37)
When in addition we were in confinement and the French rolled much less and by the same had less accident ... ?? !!!!! !!!!!</v>
      </c>
    </row>
    <row r="335" ht="15.75" customHeight="1">
      <c r="A335" s="2">
        <v>3.0</v>
      </c>
      <c r="B335" s="2" t="s">
        <v>1046</v>
      </c>
      <c r="C335" s="2" t="s">
        <v>1047</v>
      </c>
      <c r="D335" s="2" t="s">
        <v>300</v>
      </c>
      <c r="E335" s="2" t="s">
        <v>27</v>
      </c>
      <c r="F335" s="2" t="s">
        <v>15</v>
      </c>
      <c r="G335" s="2" t="s">
        <v>1048</v>
      </c>
      <c r="H335" s="2" t="s">
        <v>228</v>
      </c>
      <c r="I335" s="2" t="str">
        <f>IFERROR(__xludf.DUMMYFUNCTION("GOOGLETRANSLATE(C335,""fr"",""en"")"),"I am satisfied with the services of the GMF and the execution of contracts, but concerning the prices there, it is something else, all the contracts I currently have at home are too expensive for the Hyndai where the prices is very significantly higher th"&amp;"an competition.")</f>
        <v>I am satisfied with the services of the GMF and the execution of contracts, but concerning the prices there, it is something else, all the contracts I currently have at home are too expensive for the Hyndai where the prices is very significantly higher than competition.</v>
      </c>
    </row>
    <row r="336" ht="15.75" customHeight="1">
      <c r="A336" s="2">
        <v>1.0</v>
      </c>
      <c r="B336" s="2" t="s">
        <v>1049</v>
      </c>
      <c r="C336" s="2" t="s">
        <v>1050</v>
      </c>
      <c r="D336" s="2" t="s">
        <v>1051</v>
      </c>
      <c r="E336" s="2" t="s">
        <v>120</v>
      </c>
      <c r="F336" s="2" t="s">
        <v>15</v>
      </c>
      <c r="G336" s="2" t="s">
        <v>1052</v>
      </c>
      <c r="H336" s="2" t="s">
        <v>503</v>
      </c>
      <c r="I336" s="2" t="str">
        <f>IFERROR(__xludf.DUMMYFUNCTION("GOOGLETRANSLATE(C336,""fr"",""en"")"),"Frankly lamentable, for two months I have been waiting for my provident compensation, all the required documents have been sent in time and time and well received, despite the multiplication of my calls, no one is able to explain such a delay to me. Obvio"&amp;"usly this delay in compensation is likely to have heavy consequences on another organization which asks me to justify all the percue resources. I come up against general indifference and above all I see the incompetence of the staff. I plan to send a reco"&amp;"mmended, but I wonder if it will have a real impact! To flee absolutely!")</f>
        <v>Frankly lamentable, for two months I have been waiting for my provident compensation, all the required documents have been sent in time and time and well received, despite the multiplication of my calls, no one is able to explain such a delay to me. Obviously this delay in compensation is likely to have heavy consequences on another organization which asks me to justify all the percue resources. I come up against general indifference and above all I see the incompetence of the staff. I plan to send a recommended, but I wonder if it will have a real impact! To flee absolutely!</v>
      </c>
    </row>
    <row r="337" ht="15.75" customHeight="1">
      <c r="A337" s="2">
        <v>1.0</v>
      </c>
      <c r="B337" s="2" t="s">
        <v>1053</v>
      </c>
      <c r="C337" s="2" t="s">
        <v>1054</v>
      </c>
      <c r="D337" s="2" t="s">
        <v>355</v>
      </c>
      <c r="E337" s="2" t="s">
        <v>27</v>
      </c>
      <c r="F337" s="2" t="s">
        <v>15</v>
      </c>
      <c r="G337" s="2" t="s">
        <v>361</v>
      </c>
      <c r="H337" s="2" t="s">
        <v>62</v>
      </c>
      <c r="I337" s="2" t="str">
        <f>IFERROR(__xludf.DUMMYFUNCTION("GOOGLETRANSLATE(C337,""fr"",""en"")"),"Never break down with this insurer because you will have to assist yourself alone ... broken down on the highway in Spain with 3 children including an infant in the middle of a cagnard 5 am Plutard they still restart ... Fortunately the Spaniards interven"&amp;"ed")</f>
        <v>Never break down with this insurer because you will have to assist yourself alone ... broken down on the highway in Spain with 3 children including an infant in the middle of a cagnard 5 am Plutard they still restart ... Fortunately the Spaniards intervened</v>
      </c>
    </row>
    <row r="338" ht="15.75" customHeight="1">
      <c r="A338" s="2">
        <v>4.0</v>
      </c>
      <c r="B338" s="2" t="s">
        <v>1055</v>
      </c>
      <c r="C338" s="2" t="s">
        <v>1056</v>
      </c>
      <c r="D338" s="2" t="s">
        <v>32</v>
      </c>
      <c r="E338" s="2" t="s">
        <v>21</v>
      </c>
      <c r="F338" s="2" t="s">
        <v>15</v>
      </c>
      <c r="G338" s="2" t="s">
        <v>1057</v>
      </c>
      <c r="H338" s="2" t="s">
        <v>310</v>
      </c>
      <c r="I338" s="2" t="str">
        <f>IFERROR(__xludf.DUMMYFUNCTION("GOOGLETRANSLATE(C338,""fr"",""en"")"),"Listening advisor, quick and effective response.
The steps are simple and quickly taken into account.
Easy address change, also supported.")</f>
        <v>Listening advisor, quick and effective response.
The steps are simple and quickly taken into account.
Easy address change, also supported.</v>
      </c>
    </row>
    <row r="339" ht="15.75" customHeight="1">
      <c r="A339" s="2">
        <v>1.0</v>
      </c>
      <c r="B339" s="2" t="s">
        <v>1058</v>
      </c>
      <c r="C339" s="2" t="s">
        <v>1059</v>
      </c>
      <c r="D339" s="2" t="s">
        <v>42</v>
      </c>
      <c r="E339" s="2" t="s">
        <v>43</v>
      </c>
      <c r="F339" s="2" t="s">
        <v>15</v>
      </c>
      <c r="G339" s="2" t="s">
        <v>1060</v>
      </c>
      <c r="H339" s="2" t="s">
        <v>365</v>
      </c>
      <c r="I339" s="2" t="str">
        <f>IFERROR(__xludf.DUMMYFUNCTION("GOOGLETRANSLATE(C339,""fr"",""en"")"),"I re-open an opinion ... I had published here a year ago because it is dissatisfied with the management of my sinister damage of the waters by the MAIF. The answer on the web had been rapid and courtesy worthy of an advertisement ... Frankly I had believe"&amp;"d there ... But we are a year later ... and Maif asleep the file: refusing to respond to My multiple requests to involve a third party expertise (as provided for in the contract in the event of a dispute).
In 2 words: water damage under our shower on t"&amp;"he 1st floor. The guaranteed Maif includes ""leak search"". After passing by experts ... Maif requires us to fully change our shower (accused of being infiltrating) before we can be compensated for the claim (redo the ceiling). With regret we therefore do"&amp;" the work and the plumber notes the real origin of the leak: a piping in the wall. The change of shower was not at all necessary ... But it is too late ... I therefore ask the MAIF to reimburse its error.
Since silence ....
I am stunned by the manag"&amp;"ement that Maif has of her members ... She who boasts of being ""activist"" ...
May MAIF assume its mistakes and respect its members (rather than its experts) and their disaster ... They will be less complaints on the Internet! Courteously")</f>
        <v>I re-open an opinion ... I had published here a year ago because it is dissatisfied with the management of my sinister damage of the waters by the MAIF. The answer on the web had been rapid and courtesy worthy of an advertisement ... Frankly I had believed there ... But we are a year later ... and Maif asleep the file: refusing to respond to My multiple requests to involve a third party expertise (as provided for in the contract in the event of a dispute).
In 2 words: water damage under our shower on the 1st floor. The guaranteed Maif includes "leak search". After passing by experts ... Maif requires us to fully change our shower (accused of being infiltrating) before we can be compensated for the claim (redo the ceiling). With regret we therefore do the work and the plumber notes the real origin of the leak: a piping in the wall. The change of shower was not at all necessary ... But it is too late ... I therefore ask the MAIF to reimburse its error.
Since silence ....
I am stunned by the management that Maif has of her members ... She who boasts of being "activist" ...
May MAIF assume its mistakes and respect its members (rather than its experts) and their disaster ... They will be less complaints on the Internet! Courteously</v>
      </c>
    </row>
    <row r="340" ht="15.75" customHeight="1">
      <c r="A340" s="2">
        <v>4.0</v>
      </c>
      <c r="B340" s="2" t="s">
        <v>1061</v>
      </c>
      <c r="C340" s="2" t="s">
        <v>1062</v>
      </c>
      <c r="D340" s="2" t="s">
        <v>107</v>
      </c>
      <c r="E340" s="2" t="s">
        <v>21</v>
      </c>
      <c r="F340" s="2" t="s">
        <v>15</v>
      </c>
      <c r="G340" s="2" t="s">
        <v>1063</v>
      </c>
      <c r="H340" s="2" t="s">
        <v>141</v>
      </c>
      <c r="I340" s="2" t="str">
        <f>IFERROR(__xludf.DUMMYFUNCTION("GOOGLETRANSLATE(C340,""fr"",""en"")"),"Following my telephonic call of October 14, 2021 I had full satisfaction for my request my advisor Daouda it is very professional and responded to my expectations I recommend it with 5 stars")</f>
        <v>Following my telephonic call of October 14, 2021 I had full satisfaction for my request my advisor Daouda it is very professional and responded to my expectations I recommend it with 5 stars</v>
      </c>
    </row>
    <row r="341" ht="15.75" customHeight="1">
      <c r="A341" s="2">
        <v>4.0</v>
      </c>
      <c r="B341" s="2" t="s">
        <v>1064</v>
      </c>
      <c r="C341" s="2" t="s">
        <v>1065</v>
      </c>
      <c r="D341" s="2" t="s">
        <v>300</v>
      </c>
      <c r="E341" s="2" t="s">
        <v>27</v>
      </c>
      <c r="F341" s="2" t="s">
        <v>15</v>
      </c>
      <c r="G341" s="2" t="s">
        <v>789</v>
      </c>
      <c r="H341" s="2" t="s">
        <v>62</v>
      </c>
      <c r="I341" s="2" t="str">
        <f>IFERROR(__xludf.DUMMYFUNCTION("GOOGLETRANSLATE(C341,""fr"",""en"")"),"I am satisfied with service and responsiveness. I am happy to be at the GMF. Sometimes a little too much waiting on the phone.
Have a good day
Yours")</f>
        <v>I am satisfied with service and responsiveness. I am happy to be at the GMF. Sometimes a little too much waiting on the phone.
Have a good day
Yours</v>
      </c>
    </row>
    <row r="342" ht="15.75" customHeight="1">
      <c r="A342" s="2">
        <v>4.0</v>
      </c>
      <c r="B342" s="2" t="s">
        <v>1066</v>
      </c>
      <c r="C342" s="2" t="s">
        <v>1067</v>
      </c>
      <c r="D342" s="2" t="s">
        <v>37</v>
      </c>
      <c r="E342" s="2" t="s">
        <v>27</v>
      </c>
      <c r="F342" s="2" t="s">
        <v>15</v>
      </c>
      <c r="G342" s="2" t="s">
        <v>585</v>
      </c>
      <c r="H342" s="2" t="s">
        <v>88</v>
      </c>
      <c r="I342" s="2" t="str">
        <f>IFERROR(__xludf.DUMMYFUNCTION("GOOGLETRANSLATE(C342,""fr"",""en"")"),"I am satisfied with the service which is really simlple and preatic.
Excellent !
Price are suitable for the competitor.
At the top I recommend it to you.")</f>
        <v>I am satisfied with the service which is really simlple and preatic.
Excellent !
Price are suitable for the competitor.
At the top I recommend it to you.</v>
      </c>
    </row>
    <row r="343" ht="15.75" customHeight="1">
      <c r="A343" s="2">
        <v>4.0</v>
      </c>
      <c r="B343" s="2" t="s">
        <v>1068</v>
      </c>
      <c r="C343" s="2" t="s">
        <v>1069</v>
      </c>
      <c r="D343" s="2" t="s">
        <v>234</v>
      </c>
      <c r="E343" s="2" t="s">
        <v>21</v>
      </c>
      <c r="F343" s="2" t="s">
        <v>15</v>
      </c>
      <c r="G343" s="2" t="s">
        <v>1070</v>
      </c>
      <c r="H343" s="2" t="s">
        <v>661</v>
      </c>
      <c r="I343" s="2" t="str">
        <f>IFERROR(__xludf.DUMMYFUNCTION("GOOGLETRANSLATE(C343,""fr"",""en"")"),"Hello Daouda
Thank you for your welcome your professionalism, it's nice to have interlocutor as you.
I wish you a good luck and a good future
Philippe Baude")</f>
        <v>Hello Daouda
Thank you for your welcome your professionalism, it's nice to have interlocutor as you.
I wish you a good luck and a good future
Philippe Baude</v>
      </c>
    </row>
    <row r="344" ht="15.75" customHeight="1">
      <c r="A344" s="2">
        <v>2.0</v>
      </c>
      <c r="B344" s="2" t="s">
        <v>1071</v>
      </c>
      <c r="C344" s="2" t="s">
        <v>1072</v>
      </c>
      <c r="D344" s="2" t="s">
        <v>37</v>
      </c>
      <c r="E344" s="2" t="s">
        <v>27</v>
      </c>
      <c r="F344" s="2" t="s">
        <v>15</v>
      </c>
      <c r="G344" s="2" t="s">
        <v>496</v>
      </c>
      <c r="H344" s="2" t="s">
        <v>497</v>
      </c>
      <c r="I344" s="2" t="str">
        <f>IFERROR(__xludf.DUMMYFUNCTION("GOOGLETRANSLATE(C344,""fr"",""en"")"),"I strongly recommend direct insurance.
I subscribed to car insurance at home because at the time it was not too expensive with reasonable conditions. But obviously at the slightest problem there is no one left.
They started by telling me that for my acc"&amp;"ident the responsibilities were 50-50 when it was false. The advisers told me everything and do not matter what on the phone to justify their position. And depending on the advisor I had different justifications. After a few weeks they admit having made a"&amp;" mistake (so the advisers I had on the phone told me well anything). And so I am not responsible for the accident. The time of expertise comes, with an expert chosen and pay by insurance ...
Of course the expertise is also fanciful, I therefore ask for t"&amp;"he documents to justify the value of the expert (on the phone the expert has notably committed to giving me his market study). I also request additional information about the expert report which does not include all regulatory information. I also ask the "&amp;"insurance why she did not inform me of the other compensation to which I have the right.
 They do not respond to my letters (in AR) on the other hand they call me from time to time. Each time they must remind me the next day without fault and then more n"&amp;"ews until another person reminds me a month later to do the same cinema.
In short, if you signed at Direct Insurance at the slightest problem you should not trust them and check well everything they say. And then you have to be ready to draw a lawyer a"&amp;"nd make them a trial because that's all they understand.")</f>
        <v>I strongly recommend direct insurance.
I subscribed to car insurance at home because at the time it was not too expensive with reasonable conditions. But obviously at the slightest problem there is no one left.
They started by telling me that for my accident the responsibilities were 50-50 when it was false. The advisers told me everything and do not matter what on the phone to justify their position. And depending on the advisor I had different justifications. After a few weeks they admit having made a mistake (so the advisers I had on the phone told me well anything). And so I am not responsible for the accident. The time of expertise comes, with an expert chosen and pay by insurance ...
Of course the expertise is also fanciful, I therefore ask for the documents to justify the value of the expert (on the phone the expert has notably committed to giving me his market study). I also request additional information about the expert report which does not include all regulatory information. I also ask the insurance why she did not inform me of the other compensation to which I have the right.
 They do not respond to my letters (in AR) on the other hand they call me from time to time. Each time they must remind me the next day without fault and then more news until another person reminds me a month later to do the same cinema.
In short, if you signed at Direct Insurance at the slightest problem you should not trust them and check well everything they say. And then you have to be ready to draw a lawyer and make them a trial because that's all they understand.</v>
      </c>
    </row>
    <row r="345" ht="15.75" customHeight="1">
      <c r="A345" s="2">
        <v>2.0</v>
      </c>
      <c r="B345" s="2" t="s">
        <v>1073</v>
      </c>
      <c r="C345" s="2" t="s">
        <v>1074</v>
      </c>
      <c r="D345" s="2" t="s">
        <v>13</v>
      </c>
      <c r="E345" s="2" t="s">
        <v>14</v>
      </c>
      <c r="F345" s="2" t="s">
        <v>15</v>
      </c>
      <c r="G345" s="2" t="s">
        <v>1075</v>
      </c>
      <c r="H345" s="2" t="s">
        <v>365</v>
      </c>
      <c r="I345" s="2" t="str">
        <f>IFERROR(__xludf.DUMMYFUNCTION("GOOGLETRANSLATE(C345,""fr"",""en"")"),"They take us for idiots they make you look at customer advisers never tell you the same things and you mean you hope but each one gives you a different version")</f>
        <v>They take us for idiots they make you look at customer advisers never tell you the same things and you mean you hope but each one gives you a different version</v>
      </c>
    </row>
    <row r="346" ht="15.75" customHeight="1">
      <c r="A346" s="2">
        <v>4.0</v>
      </c>
      <c r="B346" s="2" t="s">
        <v>1076</v>
      </c>
      <c r="C346" s="2" t="s">
        <v>1077</v>
      </c>
      <c r="D346" s="2" t="s">
        <v>26</v>
      </c>
      <c r="E346" s="2" t="s">
        <v>27</v>
      </c>
      <c r="F346" s="2" t="s">
        <v>15</v>
      </c>
      <c r="G346" s="2" t="s">
        <v>657</v>
      </c>
      <c r="H346" s="2" t="s">
        <v>228</v>
      </c>
      <c r="I346" s="2" t="str">
        <f>IFERROR(__xludf.DUMMYFUNCTION("GOOGLETRANSLATE(C346,""fr"",""en"")"),"Very well I recommend I really liked the First Lady who took care of the file the gentleman behind was very pleasant it is very pleasant to come across professionals")</f>
        <v>Very well I recommend I really liked the First Lady who took care of the file the gentleman behind was very pleasant it is very pleasant to come across professionals</v>
      </c>
    </row>
    <row r="347" ht="15.75" customHeight="1">
      <c r="A347" s="2">
        <v>1.0</v>
      </c>
      <c r="B347" s="2" t="s">
        <v>1078</v>
      </c>
      <c r="C347" s="2" t="s">
        <v>1079</v>
      </c>
      <c r="D347" s="2" t="s">
        <v>167</v>
      </c>
      <c r="E347" s="2" t="s">
        <v>168</v>
      </c>
      <c r="F347" s="2" t="s">
        <v>15</v>
      </c>
      <c r="G347" s="2" t="s">
        <v>1080</v>
      </c>
      <c r="H347" s="2" t="s">
        <v>17</v>
      </c>
      <c r="I347" s="2" t="str">
        <f>IFERROR(__xludf.DUMMYFUNCTION("GOOGLETRANSLATE(C347,""fr"",""en"")"),"This insurance is not used for much. Contracts have an interminable exclusion list without counting the hypocrisy of certain ""advisor"" who assures you that you will be reimbursed. At the age of 3 months we detected a risk of dysplasia for my dog. On the"&amp;" phone I was told that HealthEvet took care of the operation to prevent this disease according to certain criteria such as age (less than 5 months) and the degree of hips' laxity. My dog ​​wrapped all the boxes but I was replied once the operation was mad"&amp;"e that the risk was prior to the conclusion of the contract. A little normal for a hereditary disease. They put this care forward but in practice they do not reimburse. I sent within the withdrawal period my wish to retract and I was opposed that there ha"&amp;"d been beginning of execution. The joke .... I strongly advise against.")</f>
        <v>This insurance is not used for much. Contracts have an interminable exclusion list without counting the hypocrisy of certain "advisor" who assures you that you will be reimbursed. At the age of 3 months we detected a risk of dysplasia for my dog. On the phone I was told that HealthEvet took care of the operation to prevent this disease according to certain criteria such as age (less than 5 months) and the degree of hips' laxity. My dog ​​wrapped all the boxes but I was replied once the operation was made that the risk was prior to the conclusion of the contract. A little normal for a hereditary disease. They put this care forward but in practice they do not reimburse. I sent within the withdrawal period my wish to retract and I was opposed that there had been beginning of execution. The joke .... I strongly advise against.</v>
      </c>
    </row>
    <row r="348" ht="15.75" customHeight="1">
      <c r="A348" s="2">
        <v>5.0</v>
      </c>
      <c r="B348" s="2" t="s">
        <v>1081</v>
      </c>
      <c r="C348" s="2" t="s">
        <v>1082</v>
      </c>
      <c r="D348" s="2" t="s">
        <v>67</v>
      </c>
      <c r="E348" s="2" t="s">
        <v>68</v>
      </c>
      <c r="F348" s="2" t="s">
        <v>15</v>
      </c>
      <c r="G348" s="2" t="s">
        <v>1083</v>
      </c>
      <c r="H348" s="2" t="s">
        <v>141</v>
      </c>
      <c r="I348" s="2" t="str">
        <f>IFERROR(__xludf.DUMMYFUNCTION("GOOGLETRANSLATE(C348,""fr"",""en"")"),"Working a lot with this company (motorcycle dealer) everyone is going well, for quotes, customer relations as well as the claim and follow -up I recommend")</f>
        <v>Working a lot with this company (motorcycle dealer) everyone is going well, for quotes, customer relations as well as the claim and follow -up I recommend</v>
      </c>
    </row>
    <row r="349" ht="15.75" customHeight="1">
      <c r="A349" s="2">
        <v>2.0</v>
      </c>
      <c r="B349" s="2" t="s">
        <v>1084</v>
      </c>
      <c r="C349" s="2" t="s">
        <v>1085</v>
      </c>
      <c r="D349" s="2" t="s">
        <v>217</v>
      </c>
      <c r="E349" s="2" t="s">
        <v>43</v>
      </c>
      <c r="F349" s="2" t="s">
        <v>15</v>
      </c>
      <c r="G349" s="2" t="s">
        <v>1086</v>
      </c>
      <c r="H349" s="2" t="s">
        <v>698</v>
      </c>
      <c r="I349" s="2" t="str">
        <f>IFERROR(__xludf.DUMMYFUNCTION("GOOGLETRANSLATE(C349,""fr"",""en"")"),"After a claim declared on November 3 thanks to the Macif application I had only tried several contacts than an interlocutor who asked me to bring in professionals in order to obtain quotes made quote sent twice and for the moment I Am I still waiting for "&amp;"the Macif to decline")</f>
        <v>After a claim declared on November 3 thanks to the Macif application I had only tried several contacts than an interlocutor who asked me to bring in professionals in order to obtain quotes made quote sent twice and for the moment I Am I still waiting for the Macif to decline</v>
      </c>
    </row>
    <row r="350" ht="15.75" customHeight="1">
      <c r="A350" s="2">
        <v>4.0</v>
      </c>
      <c r="B350" s="2" t="s">
        <v>1087</v>
      </c>
      <c r="C350" s="2" t="s">
        <v>1088</v>
      </c>
      <c r="D350" s="2" t="s">
        <v>37</v>
      </c>
      <c r="E350" s="2" t="s">
        <v>27</v>
      </c>
      <c r="F350" s="2" t="s">
        <v>15</v>
      </c>
      <c r="G350" s="2" t="s">
        <v>1089</v>
      </c>
      <c r="H350" s="2" t="s">
        <v>62</v>
      </c>
      <c r="I350" s="2" t="str">
        <f>IFERROR(__xludf.DUMMYFUNCTION("GOOGLETRANSLATE(C350,""fr"",""en"")"),"The price is attractive, quick subscription, to see the guarantee in the temp, advertising I encourage to visit your interior site and your quote convinced me to subscribe")</f>
        <v>The price is attractive, quick subscription, to see the guarantee in the temp, advertising I encourage to visit your interior site and your quote convinced me to subscribe</v>
      </c>
    </row>
    <row r="351" ht="15.75" customHeight="1">
      <c r="A351" s="2">
        <v>2.0</v>
      </c>
      <c r="B351" s="2" t="s">
        <v>1090</v>
      </c>
      <c r="C351" s="2" t="s">
        <v>1091</v>
      </c>
      <c r="D351" s="2" t="s">
        <v>37</v>
      </c>
      <c r="E351" s="2" t="s">
        <v>27</v>
      </c>
      <c r="F351" s="2" t="s">
        <v>15</v>
      </c>
      <c r="G351" s="2" t="s">
        <v>1092</v>
      </c>
      <c r="H351" s="2" t="s">
        <v>112</v>
      </c>
      <c r="I351" s="2" t="str">
        <f>IFERROR(__xludf.DUMMYFUNCTION("GOOGLETRANSLATE(C351,""fr"",""en"")"),"Hello,
I just had a direct insurance advisor on the phone who explained to me that I could not ensure my second vehicle at home.
Could I have an explanation?
Cordially")</f>
        <v>Hello,
I just had a direct insurance advisor on the phone who explained to me that I could not ensure my second vehicle at home.
Could I have an explanation?
Cordially</v>
      </c>
    </row>
    <row r="352" ht="15.75" customHeight="1">
      <c r="A352" s="2">
        <v>1.0</v>
      </c>
      <c r="B352" s="2" t="s">
        <v>1093</v>
      </c>
      <c r="C352" s="2" t="s">
        <v>1094</v>
      </c>
      <c r="D352" s="2" t="s">
        <v>20</v>
      </c>
      <c r="E352" s="2" t="s">
        <v>21</v>
      </c>
      <c r="F352" s="2" t="s">
        <v>15</v>
      </c>
      <c r="G352" s="2" t="s">
        <v>1095</v>
      </c>
      <c r="H352" s="2" t="s">
        <v>274</v>
      </c>
      <c r="I352" s="2" t="str">
        <f>IFERROR(__xludf.DUMMYFUNCTION("GOOGLETRANSLATE(C352,""fr"",""en"")"),"Request a lot of documents to reimburse but never reimburse or take a long time before reimbursing. When you try to attach them to the phones, you have to wait for more than 10 min.")</f>
        <v>Request a lot of documents to reimburse but never reimburse or take a long time before reimbursing. When you try to attach them to the phones, you have to wait for more than 10 min.</v>
      </c>
    </row>
    <row r="353" ht="15.75" customHeight="1">
      <c r="A353" s="2">
        <v>2.0</v>
      </c>
      <c r="B353" s="2" t="s">
        <v>1096</v>
      </c>
      <c r="C353" s="2" t="s">
        <v>1097</v>
      </c>
      <c r="D353" s="2" t="s">
        <v>245</v>
      </c>
      <c r="E353" s="2" t="s">
        <v>120</v>
      </c>
      <c r="F353" s="2" t="s">
        <v>15</v>
      </c>
      <c r="G353" s="2" t="s">
        <v>61</v>
      </c>
      <c r="H353" s="2" t="s">
        <v>62</v>
      </c>
      <c r="I353" s="2" t="str">
        <f>IFERROR(__xludf.DUMMYFUNCTION("GOOGLETRANSLATE(C353,""fr"",""en"")"),"In sickness since DEC 2018.
Cat 2 disability passage in July 2021.
My employer declared my stop in June 2021 for additional income.
AVEV The passage in disability I lose 1100 euros per month.
The delays are too long.
I have already called the adviser"&amp;"s 4 times told me that there is a delai of 3 months but when we calculate well ... in 1 month and a half they treat 1 day late.
I will not hold financially I have 3 children.")</f>
        <v>In sickness since DEC 2018.
Cat 2 disability passage in July 2021.
My employer declared my stop in June 2021 for additional income.
AVEV The passage in disability I lose 1100 euros per month.
The delays are too long.
I have already called the advisers 4 times told me that there is a delai of 3 months but when we calculate well ... in 1 month and a half they treat 1 day late.
I will not hold financially I have 3 children.</v>
      </c>
    </row>
    <row r="354" ht="15.75" customHeight="1">
      <c r="A354" s="2">
        <v>5.0</v>
      </c>
      <c r="B354" s="2" t="s">
        <v>1098</v>
      </c>
      <c r="C354" s="2" t="s">
        <v>1099</v>
      </c>
      <c r="D354" s="2" t="s">
        <v>57</v>
      </c>
      <c r="E354" s="2" t="s">
        <v>43</v>
      </c>
      <c r="F354" s="2" t="s">
        <v>15</v>
      </c>
      <c r="G354" s="2" t="s">
        <v>1100</v>
      </c>
      <c r="H354" s="2" t="s">
        <v>34</v>
      </c>
      <c r="I354" s="2" t="str">
        <f>IFERROR(__xludf.DUMMYFUNCTION("GOOGLETRANSLATE(C354,""fr"",""en"")"),"I have my insurance contracts in the Pacifica for 16 years and I highly recommend this insurance.
Contacts are fast, excellent follow -up.
According to the interlocutors for 16 years or it is 5/5 or 4/5, the personality of the employees plays in contact"&amp;" but the most important is taking into account and it is fast and well managed. I only had rare problems but in 2016, 3 water damage in 4 months with a rare service since the advisor even intervened with the trustee in RAR to stop the flight of a common p"&amp;"ipe in my cellar that the union advice refused to pay! Thank you Pacifica")</f>
        <v>I have my insurance contracts in the Pacifica for 16 years and I highly recommend this insurance.
Contacts are fast, excellent follow -up.
According to the interlocutors for 16 years or it is 5/5 or 4/5, the personality of the employees plays in contact but the most important is taking into account and it is fast and well managed. I only had rare problems but in 2016, 3 water damage in 4 months with a rare service since the advisor even intervened with the trustee in RAR to stop the flight of a common pipe in my cellar that the union advice refused to pay! Thank you Pacifica</v>
      </c>
    </row>
    <row r="355" ht="15.75" customHeight="1">
      <c r="A355" s="2">
        <v>5.0</v>
      </c>
      <c r="B355" s="2" t="s">
        <v>1101</v>
      </c>
      <c r="C355" s="2" t="s">
        <v>1102</v>
      </c>
      <c r="D355" s="2" t="s">
        <v>300</v>
      </c>
      <c r="E355" s="2" t="s">
        <v>27</v>
      </c>
      <c r="F355" s="2" t="s">
        <v>15</v>
      </c>
      <c r="G355" s="2" t="s">
        <v>1045</v>
      </c>
      <c r="H355" s="2" t="s">
        <v>112</v>
      </c>
      <c r="I355" s="2" t="str">
        <f>IFERROR(__xludf.DUMMYFUNCTION("GOOGLETRANSLATE(C355,""fr"",""en"")"),"GMF advisers always listening. Bravo for your skill! Always helps precious during a disaster. I recommend GMF to those around me.")</f>
        <v>GMF advisers always listening. Bravo for your skill! Always helps precious during a disaster. I recommend GMF to those around me.</v>
      </c>
    </row>
    <row r="356" ht="15.75" customHeight="1">
      <c r="A356" s="2">
        <v>3.0</v>
      </c>
      <c r="B356" s="2" t="s">
        <v>1103</v>
      </c>
      <c r="C356" s="2" t="s">
        <v>1104</v>
      </c>
      <c r="D356" s="2" t="s">
        <v>37</v>
      </c>
      <c r="E356" s="2" t="s">
        <v>27</v>
      </c>
      <c r="F356" s="2" t="s">
        <v>15</v>
      </c>
      <c r="G356" s="2" t="s">
        <v>1105</v>
      </c>
      <c r="H356" s="2" t="s">
        <v>80</v>
      </c>
      <c r="I356" s="2" t="str">
        <f>IFERROR(__xludf.DUMMYFUNCTION("GOOGLETRANSLATE(C356,""fr"",""en"")"),"Well I recommend direct insurance because the prices are advantageous compared to agencies. However, if something happens I fear that I can't speak directly with an advisor.")</f>
        <v>Well I recommend direct insurance because the prices are advantageous compared to agencies. However, if something happens I fear that I can't speak directly with an advisor.</v>
      </c>
    </row>
    <row r="357" ht="15.75" customHeight="1">
      <c r="A357" s="2">
        <v>5.0</v>
      </c>
      <c r="B357" s="2" t="s">
        <v>1106</v>
      </c>
      <c r="C357" s="2" t="s">
        <v>1107</v>
      </c>
      <c r="D357" s="2" t="s">
        <v>42</v>
      </c>
      <c r="E357" s="2" t="s">
        <v>43</v>
      </c>
      <c r="F357" s="2" t="s">
        <v>15</v>
      </c>
      <c r="G357" s="2" t="s">
        <v>1108</v>
      </c>
      <c r="H357" s="2" t="s">
        <v>188</v>
      </c>
      <c r="I357" s="2" t="str">
        <f>IFERROR(__xludf.DUMMYFUNCTION("GOOGLETRANSLATE(C357,""fr"",""en"")"),"
The XXXX swimming pool company came this afternoon and installed a new electrolyser to replace the faulty, has verified its proper functioning and gave explanations on its use.
We can conclude this dossier and we welcome the legal aid of MAIF, patient "&amp;"and efficient, with the intervention of an expert, which made it possible to assert our rights to a company whose failing after -sales service has been dragged The replacement of the electrolyser broken down since March 28, 2019. In defiance of the commit"&amp;"ments of any professional installing new devices, it has never responded to my letters signaling the problem.")</f>
        <v>
The XXXX swimming pool company came this afternoon and installed a new electrolyser to replace the faulty, has verified its proper functioning and gave explanations on its use.
We can conclude this dossier and we welcome the legal aid of MAIF, patient and efficient, with the intervention of an expert, which made it possible to assert our rights to a company whose failing after -sales service has been dragged The replacement of the electrolyser broken down since March 28, 2019. In defiance of the commitments of any professional installing new devices, it has never responded to my letters signaling the problem.</v>
      </c>
    </row>
    <row r="358" ht="15.75" customHeight="1">
      <c r="A358" s="2">
        <v>3.0</v>
      </c>
      <c r="B358" s="2" t="s">
        <v>1109</v>
      </c>
      <c r="C358" s="2" t="s">
        <v>1110</v>
      </c>
      <c r="D358" s="2" t="s">
        <v>448</v>
      </c>
      <c r="E358" s="2" t="s">
        <v>27</v>
      </c>
      <c r="F358" s="2" t="s">
        <v>15</v>
      </c>
      <c r="G358" s="2" t="s">
        <v>1111</v>
      </c>
      <c r="H358" s="2" t="s">
        <v>1112</v>
      </c>
      <c r="I358" s="2" t="str">
        <f>IFERROR(__xludf.DUMMYFUNCTION("GOOGLETRANSLATE(C358,""fr"",""en"")"),"We have just left the MAAF after many years. Indeed it is very interesting to make comparisons because on all of our MAAF contracts we save € 460 per year (i.e. 5 full of our space).")</f>
        <v>We have just left the MAAF after many years. Indeed it is very interesting to make comparisons because on all of our MAAF contracts we save € 460 per year (i.e. 5 full of our space).</v>
      </c>
    </row>
    <row r="359" ht="15.75" customHeight="1">
      <c r="A359" s="2">
        <v>2.0</v>
      </c>
      <c r="B359" s="2" t="s">
        <v>1113</v>
      </c>
      <c r="C359" s="2" t="s">
        <v>1114</v>
      </c>
      <c r="D359" s="2" t="s">
        <v>437</v>
      </c>
      <c r="E359" s="2" t="s">
        <v>43</v>
      </c>
      <c r="F359" s="2" t="s">
        <v>15</v>
      </c>
      <c r="G359" s="2" t="s">
        <v>1115</v>
      </c>
      <c r="H359" s="2" t="s">
        <v>694</v>
      </c>
      <c r="I359" s="2" t="str">
        <f>IFERROR(__xludf.DUMMYFUNCTION("GOOGLETRANSLATE(C359,""fr"",""en"")"),"I was terminated without bothering to give a reason after a disaster that they did not take care of and for which no return was made to me!
With the insurance of the mutual credit if you do not need them they love you have a problem and we will throw y"&amp;"ou like a m ....!
Even my advice is not able to have an explanation on their part!
I save you the detestable person who answered the phone when I declared this claim.
")</f>
        <v>I was terminated without bothering to give a reason after a disaster that they did not take care of and for which no return was made to me!
With the insurance of the mutual credit if you do not need them they love you have a problem and we will throw you like a m ....!
Even my advice is not able to have an explanation on their part!
I save you the detestable person who answered the phone when I declared this claim.
</v>
      </c>
    </row>
    <row r="360" ht="15.75" customHeight="1">
      <c r="A360" s="2">
        <v>2.0</v>
      </c>
      <c r="B360" s="2" t="s">
        <v>1116</v>
      </c>
      <c r="C360" s="2" t="s">
        <v>1117</v>
      </c>
      <c r="D360" s="2" t="s">
        <v>42</v>
      </c>
      <c r="E360" s="2" t="s">
        <v>27</v>
      </c>
      <c r="F360" s="2" t="s">
        <v>15</v>
      </c>
      <c r="G360" s="2" t="s">
        <v>1118</v>
      </c>
      <c r="H360" s="2" t="s">
        <v>661</v>
      </c>
      <c r="I360" s="2" t="str">
        <f>IFERROR(__xludf.DUMMYFUNCTION("GOOGLETRANSLATE(C360,""fr"",""en"")"),"On 2/2/2021, I modified my VAM contract by adding the breakdown 0 km and received the CP the same day with confirmation of the effect on the date of 02/11/2021.
On 4/11, my vehicle no longer started (I was about 2 km from my home). So I call the MAIF Ass"&amp;"istance number at 1:00 p.m.: 15 minutes of waiting, then a lady finally won. I expose my case and this lady replied that the ascent was not carried out in their system and that Maif cannot take care of my request.
I then contacted the commercial number a"&amp;"t 1:30 p.m. A man answered me. I share my situation with him and he puts me on hold. At 2:00 p.m. past, I hung up because I was still waiting. Contractual promises not held, waiting time extremely long. I have never known such a situation with previous in"&amp;"surers. I am amazed and very disappointed.")</f>
        <v>On 2/2/2021, I modified my VAM contract by adding the breakdown 0 km and received the CP the same day with confirmation of the effect on the date of 02/11/2021.
On 4/11, my vehicle no longer started (I was about 2 km from my home). So I call the MAIF Assistance number at 1:00 p.m.: 15 minutes of waiting, then a lady finally won. I expose my case and this lady replied that the ascent was not carried out in their system and that Maif cannot take care of my request.
I then contacted the commercial number at 1:30 p.m. A man answered me. I share my situation with him and he puts me on hold. At 2:00 p.m. past, I hung up because I was still waiting. Contractual promises not held, waiting time extremely long. I have never known such a situation with previous insurers. I am amazed and very disappointed.</v>
      </c>
    </row>
    <row r="361" ht="15.75" customHeight="1">
      <c r="A361" s="2">
        <v>1.0</v>
      </c>
      <c r="B361" s="2" t="s">
        <v>1119</v>
      </c>
      <c r="C361" s="2" t="s">
        <v>1120</v>
      </c>
      <c r="D361" s="2" t="s">
        <v>37</v>
      </c>
      <c r="E361" s="2" t="s">
        <v>27</v>
      </c>
      <c r="F361" s="2" t="s">
        <v>15</v>
      </c>
      <c r="G361" s="2" t="s">
        <v>1121</v>
      </c>
      <c r="H361" s="2" t="s">
        <v>228</v>
      </c>
      <c r="I361" s="2" t="str">
        <f>IFERROR(__xludf.DUMMYFUNCTION("GOOGLETRANSLATE(C361,""fr"",""en"")"),"I pay a pseudo claim since 2017 not declared by ""the victim"" to his insurance since not insured, not the owner of the vehicle, no license on him ... reported during my declaration as a claim to you that I will not have to make. I went from 505.00 per ye"&amp;"ar in 2015 to 900 euros to date ... shameful")</f>
        <v>I pay a pseudo claim since 2017 not declared by "the victim" to his insurance since not insured, not the owner of the vehicle, no license on him ... reported during my declaration as a claim to you that I will not have to make. I went from 505.00 per year in 2015 to 900 euros to date ... shameful</v>
      </c>
    </row>
    <row r="362" ht="15.75" customHeight="1">
      <c r="A362" s="2">
        <v>1.0</v>
      </c>
      <c r="B362" s="2" t="s">
        <v>1122</v>
      </c>
      <c r="C362" s="2" t="s">
        <v>1123</v>
      </c>
      <c r="D362" s="2" t="s">
        <v>254</v>
      </c>
      <c r="E362" s="2" t="s">
        <v>168</v>
      </c>
      <c r="F362" s="2" t="s">
        <v>15</v>
      </c>
      <c r="G362" s="2" t="s">
        <v>1124</v>
      </c>
      <c r="H362" s="2" t="s">
        <v>274</v>
      </c>
      <c r="I362" s="2" t="str">
        <f>IFERROR(__xludf.DUMMYFUNCTION("GOOGLETRANSLATE(C362,""fr"",""en"")"),"I took this insurance for my dog ​​with each visit we at 20 euros deduction deduction but there I went there for the vaccine and the control of my dog ​​for his health follow -up which requires a blood test I So did at the same time that his ECA vaccine o"&amp;"nly reimburses me for 50 euros and does not reimburse me the visit of my dog ​​I persevered 60 euros I do not recommend this insurance at all I will terminate my contract.
")</f>
        <v>I took this insurance for my dog ​​with each visit we at 20 euros deduction deduction but there I went there for the vaccine and the control of my dog ​​for his health follow -up which requires a blood test I So did at the same time that his ECA vaccine only reimburses me for 50 euros and does not reimburse me the visit of my dog ​​I persevered 60 euros I do not recommend this insurance at all I will terminate my contract.
</v>
      </c>
    </row>
    <row r="363" ht="15.75" customHeight="1">
      <c r="A363" s="2">
        <v>1.0</v>
      </c>
      <c r="B363" s="2" t="s">
        <v>1125</v>
      </c>
      <c r="C363" s="2" t="s">
        <v>1126</v>
      </c>
      <c r="D363" s="2" t="s">
        <v>448</v>
      </c>
      <c r="E363" s="2" t="s">
        <v>27</v>
      </c>
      <c r="F363" s="2" t="s">
        <v>15</v>
      </c>
      <c r="G363" s="2" t="s">
        <v>1127</v>
      </c>
      <c r="H363" s="2" t="s">
        <v>96</v>
      </c>
      <c r="I363" s="2" t="str">
        <f>IFERROR(__xludf.DUMMYFUNCTION("GOOGLETRANSLATE(C363,""fr"",""en"")"),"Madam, sir, I accuse your mail recommends date in which you inform me that you refuse to indicate my accident of the private life of my fall in my bathtub that I declared on the grounds that it falls Under the influence of an exclusion of guarantee. Howev"&amp;"er, there is obviously a contradiction between the general conditions and the special conditions of our contract. Indeed, your articles provides for compensation for accidents with fractures referring to the case law, I beg you to review your position and"&amp;" carry out my compensation as soon as possible. In the meantime, please accept, madam, sir, my distinguished greetings.")</f>
        <v>Madam, sir, I accuse your mail recommends date in which you inform me that you refuse to indicate my accident of the private life of my fall in my bathtub that I declared on the grounds that it falls Under the influence of an exclusion of guarantee. However, there is obviously a contradiction between the general conditions and the special conditions of our contract. Indeed, your articles provides for compensation for accidents with fractures referring to the case law, I beg you to review your position and carry out my compensation as soon as possible. In the meantime, please accept, madam, sir, my distinguished greetings.</v>
      </c>
    </row>
    <row r="364" ht="15.75" customHeight="1">
      <c r="A364" s="2">
        <v>4.0</v>
      </c>
      <c r="B364" s="2" t="s">
        <v>1128</v>
      </c>
      <c r="C364" s="2" t="s">
        <v>1129</v>
      </c>
      <c r="D364" s="2" t="s">
        <v>37</v>
      </c>
      <c r="E364" s="2" t="s">
        <v>27</v>
      </c>
      <c r="F364" s="2" t="s">
        <v>15</v>
      </c>
      <c r="G364" s="2" t="s">
        <v>134</v>
      </c>
      <c r="H364" s="2" t="s">
        <v>134</v>
      </c>
      <c r="I364" s="2" t="str">
        <f>IFERROR(__xludf.DUMMYFUNCTION("GOOGLETRANSLATE(C364,""fr"",""en"")"),"I hope that our adventure will take place well, the prices are very reasonable, the services very interesting and I hope that the small case will work well :)")</f>
        <v>I hope that our adventure will take place well, the prices are very reasonable, the services very interesting and I hope that the small case will work well :)</v>
      </c>
    </row>
    <row r="365" ht="15.75" customHeight="1">
      <c r="A365" s="2">
        <v>4.0</v>
      </c>
      <c r="B365" s="2" t="s">
        <v>1130</v>
      </c>
      <c r="C365" s="2" t="s">
        <v>1131</v>
      </c>
      <c r="D365" s="2" t="s">
        <v>37</v>
      </c>
      <c r="E365" s="2" t="s">
        <v>27</v>
      </c>
      <c r="F365" s="2" t="s">
        <v>15</v>
      </c>
      <c r="G365" s="2" t="s">
        <v>265</v>
      </c>
      <c r="H365" s="2" t="s">
        <v>188</v>
      </c>
      <c r="I365" s="2" t="str">
        <f>IFERROR(__xludf.DUMMYFUNCTION("GOOGLETRANSLATE(C365,""fr"",""en"")"),"Very satisfied with this online quote. Clear and precise. And very attractive prices.
Very happy to find cheaper than in some insurers.")</f>
        <v>Very satisfied with this online quote. Clear and precise. And very attractive prices.
Very happy to find cheaper than in some insurers.</v>
      </c>
    </row>
    <row r="366" ht="15.75" customHeight="1">
      <c r="A366" s="2">
        <v>2.0</v>
      </c>
      <c r="B366" s="2" t="s">
        <v>1132</v>
      </c>
      <c r="C366" s="2" t="s">
        <v>1133</v>
      </c>
      <c r="D366" s="2" t="s">
        <v>37</v>
      </c>
      <c r="E366" s="2" t="s">
        <v>27</v>
      </c>
      <c r="F366" s="2" t="s">
        <v>15</v>
      </c>
      <c r="G366" s="2" t="s">
        <v>1134</v>
      </c>
      <c r="H366" s="2" t="s">
        <v>694</v>
      </c>
      <c r="I366" s="2" t="str">
        <f>IFERROR(__xludf.DUMMYFUNCTION("GOOGLETRANSLATE(C366,""fr"",""en"")"),"I had a robbery flight on my vehicle (Ice Broke) author taken to the fact by the police ... I still have to pay a deductible. But where I am really unhappy is on the responsiveness of their sinister services. On their request I had to redo a declaration o"&amp;"f claims ... and from there sank a Micro Mac of procedure. I was dragged from service to service, non-responses to emails, changes of interlocutors every day. Result more than 1 month that I no longer have a car for a simple broken window and that I have "&amp;"to do carpooling to go to work.")</f>
        <v>I had a robbery flight on my vehicle (Ice Broke) author taken to the fact by the police ... I still have to pay a deductible. But where I am really unhappy is on the responsiveness of their sinister services. On their request I had to redo a declaration of claims ... and from there sank a Micro Mac of procedure. I was dragged from service to service, non-responses to emails, changes of interlocutors every day. Result more than 1 month that I no longer have a car for a simple broken window and that I have to do carpooling to go to work.</v>
      </c>
    </row>
    <row r="367" ht="15.75" customHeight="1">
      <c r="A367" s="2">
        <v>3.0</v>
      </c>
      <c r="B367" s="2" t="s">
        <v>1135</v>
      </c>
      <c r="C367" s="2" t="s">
        <v>1136</v>
      </c>
      <c r="D367" s="2" t="s">
        <v>209</v>
      </c>
      <c r="E367" s="2" t="s">
        <v>21</v>
      </c>
      <c r="F367" s="2" t="s">
        <v>15</v>
      </c>
      <c r="G367" s="2" t="s">
        <v>471</v>
      </c>
      <c r="H367" s="2" t="s">
        <v>310</v>
      </c>
      <c r="I367" s="2" t="str">
        <f>IFERROR(__xludf.DUMMYFUNCTION("GOOGLETRANSLATE(C367,""fr"",""en"")"),"I have been at the MGEN for ten years and I have never had any problems in terms of reimbursements. The prices on the other hand seems to me a little higher than the average.")</f>
        <v>I have been at the MGEN for ten years and I have never had any problems in terms of reimbursements. The prices on the other hand seems to me a little higher than the average.</v>
      </c>
    </row>
    <row r="368" ht="15.75" customHeight="1">
      <c r="A368" s="2">
        <v>2.0</v>
      </c>
      <c r="B368" s="2" t="s">
        <v>1137</v>
      </c>
      <c r="C368" s="2" t="s">
        <v>1138</v>
      </c>
      <c r="D368" s="2" t="s">
        <v>375</v>
      </c>
      <c r="E368" s="2" t="s">
        <v>14</v>
      </c>
      <c r="F368" s="2" t="s">
        <v>15</v>
      </c>
      <c r="G368" s="2" t="s">
        <v>100</v>
      </c>
      <c r="H368" s="2" t="s">
        <v>101</v>
      </c>
      <c r="I368" s="2" t="str">
        <f>IFERROR(__xludf.DUMMYFUNCTION("GOOGLETRANSLATE(C368,""fr"",""en"")"),"Hello,
I carried out the early reimbursement of my mortgage loan dated 23/04/2020, and I sent my request for borrower insurance termination from Metlife on 01/06/2020 in Reco letter with A/R, By joining the bank's early rebaking certificate.
I have rela"&amp;"unched several times on the email address: dip@metlife.fr according to telephone indication and indication of their site, without response from them. The samples have continued since 04/23/2020, that is to say for more than 5 months, while the contract in"&amp;"dicates that the file must be processed within 3 months maximum, with reimbursement of the not due sums.
I am not happy with the situation and want a resolution as soon as possible in this file.
thanks in advance
Eric Fages")</f>
        <v>Hello,
I carried out the early reimbursement of my mortgage loan dated 23/04/2020, and I sent my request for borrower insurance termination from Metlife on 01/06/2020 in Reco letter with A/R, By joining the bank's early rebaking certificate.
I have relaunched several times on the email address: dip@metlife.fr according to telephone indication and indication of their site, without response from them. The samples have continued since 04/23/2020, that is to say for more than 5 months, while the contract indicates that the file must be processed within 3 months maximum, with reimbursement of the not due sums.
I am not happy with the situation and want a resolution as soon as possible in this file.
thanks in advance
Eric Fages</v>
      </c>
    </row>
    <row r="369" ht="15.75" customHeight="1">
      <c r="A369" s="2">
        <v>3.0</v>
      </c>
      <c r="B369" s="2" t="s">
        <v>1139</v>
      </c>
      <c r="C369" s="2" t="s">
        <v>1140</v>
      </c>
      <c r="D369" s="2" t="s">
        <v>37</v>
      </c>
      <c r="E369" s="2" t="s">
        <v>27</v>
      </c>
      <c r="F369" s="2" t="s">
        <v>15</v>
      </c>
      <c r="G369" s="2" t="s">
        <v>270</v>
      </c>
      <c r="H369" s="2" t="s">
        <v>62</v>
      </c>
      <c r="I369" s="2" t="str">
        <f>IFERROR(__xludf.DUMMYFUNCTION("GOOGLETRANSLATE(C369,""fr"",""en"")"),"For the moment satisfied with the simple service to sign the contract. I don't know what it’s going to happen afterwards. I will have to ask me the question in 1 year.")</f>
        <v>For the moment satisfied with the simple service to sign the contract. I don't know what it’s going to happen afterwards. I will have to ask me the question in 1 year.</v>
      </c>
    </row>
    <row r="370" ht="15.75" customHeight="1">
      <c r="A370" s="2">
        <v>5.0</v>
      </c>
      <c r="B370" s="2" t="s">
        <v>1141</v>
      </c>
      <c r="C370" s="2" t="s">
        <v>1142</v>
      </c>
      <c r="D370" s="2" t="s">
        <v>107</v>
      </c>
      <c r="E370" s="2" t="s">
        <v>21</v>
      </c>
      <c r="F370" s="2" t="s">
        <v>15</v>
      </c>
      <c r="G370" s="2" t="s">
        <v>1143</v>
      </c>
      <c r="H370" s="2" t="s">
        <v>596</v>
      </c>
      <c r="I370" s="2" t="str">
        <f>IFERROR(__xludf.DUMMYFUNCTION("GOOGLETRANSLATE(C370,""fr"",""en"")"),"Super broker, I found a mutual in perfect correlation with my needs")</f>
        <v>Super broker, I found a mutual in perfect correlation with my needs</v>
      </c>
    </row>
    <row r="371" ht="15.75" customHeight="1">
      <c r="A371" s="2">
        <v>5.0</v>
      </c>
      <c r="B371" s="2" t="s">
        <v>1144</v>
      </c>
      <c r="C371" s="2" t="s">
        <v>1145</v>
      </c>
      <c r="D371" s="2" t="s">
        <v>67</v>
      </c>
      <c r="E371" s="2" t="s">
        <v>68</v>
      </c>
      <c r="F371" s="2" t="s">
        <v>15</v>
      </c>
      <c r="G371" s="2" t="s">
        <v>301</v>
      </c>
      <c r="H371" s="2" t="s">
        <v>141</v>
      </c>
      <c r="I371" s="2" t="str">
        <f>IFERROR(__xludf.DUMMYFUNCTION("GOOGLETRANSLATE(C371,""fr"",""en"")"),"Top service, ultra fast and very intuitive. To see after customer service, I did not deal with someone the manipulation is simple quick and super easy ??")</f>
        <v>Top service, ultra fast and very intuitive. To see after customer service, I did not deal with someone the manipulation is simple quick and super easy ??</v>
      </c>
    </row>
    <row r="372" ht="15.75" customHeight="1">
      <c r="A372" s="2">
        <v>1.0</v>
      </c>
      <c r="B372" s="2" t="s">
        <v>1146</v>
      </c>
      <c r="C372" s="2" t="s">
        <v>1147</v>
      </c>
      <c r="D372" s="2" t="s">
        <v>300</v>
      </c>
      <c r="E372" s="2" t="s">
        <v>27</v>
      </c>
      <c r="F372" s="2" t="s">
        <v>15</v>
      </c>
      <c r="G372" s="2" t="s">
        <v>943</v>
      </c>
      <c r="H372" s="2" t="s">
        <v>29</v>
      </c>
      <c r="I372" s="2" t="str">
        <f>IFERROR(__xludf.DUMMYFUNCTION("GOOGLETRANSLATE(C372,""fr"",""en"")"),"If it was possible to correct either the profile. Change of address for example. It would be great. No time to call or go to the agency. Big loss of time!")</f>
        <v>If it was possible to correct either the profile. Change of address for example. It would be great. No time to call or go to the agency. Big loss of time!</v>
      </c>
    </row>
    <row r="373" ht="15.75" customHeight="1">
      <c r="A373" s="2">
        <v>1.0</v>
      </c>
      <c r="B373" s="2" t="s">
        <v>1148</v>
      </c>
      <c r="C373" s="2" t="s">
        <v>1149</v>
      </c>
      <c r="D373" s="2" t="s">
        <v>180</v>
      </c>
      <c r="E373" s="2" t="s">
        <v>21</v>
      </c>
      <c r="F373" s="2" t="s">
        <v>15</v>
      </c>
      <c r="G373" s="2" t="s">
        <v>1150</v>
      </c>
      <c r="H373" s="2" t="s">
        <v>336</v>
      </c>
      <c r="I373" s="2" t="str">
        <f>IFERROR(__xludf.DUMMYFUNCTION("GOOGLETRANSLATE(C373,""fr"",""en"")"),"Deplorable customer service, more 2 -month deadlines for a simple response to my request!")</f>
        <v>Deplorable customer service, more 2 -month deadlines for a simple response to my request!</v>
      </c>
    </row>
    <row r="374" ht="15.75" customHeight="1">
      <c r="A374" s="2">
        <v>1.0</v>
      </c>
      <c r="B374" s="2" t="s">
        <v>1151</v>
      </c>
      <c r="C374" s="2" t="s">
        <v>1152</v>
      </c>
      <c r="D374" s="2" t="s">
        <v>152</v>
      </c>
      <c r="E374" s="2" t="s">
        <v>68</v>
      </c>
      <c r="F374" s="2" t="s">
        <v>15</v>
      </c>
      <c r="G374" s="2" t="s">
        <v>1153</v>
      </c>
      <c r="H374" s="2" t="s">
        <v>840</v>
      </c>
      <c r="I374" s="2" t="str">
        <f>IFERROR(__xludf.DUMMYFUNCTION("GOOGLETRANSLATE(C374,""fr"",""en"")"),"This insurance takes six months of contributions after termination and does not respond to the phone or emails.")</f>
        <v>This insurance takes six months of contributions after termination and does not respond to the phone or emails.</v>
      </c>
    </row>
    <row r="375" ht="15.75" customHeight="1">
      <c r="A375" s="2">
        <v>2.0</v>
      </c>
      <c r="B375" s="2" t="s">
        <v>1154</v>
      </c>
      <c r="C375" s="2" t="s">
        <v>1155</v>
      </c>
      <c r="D375" s="2" t="s">
        <v>217</v>
      </c>
      <c r="E375" s="2" t="s">
        <v>43</v>
      </c>
      <c r="F375" s="2" t="s">
        <v>15</v>
      </c>
      <c r="G375" s="2" t="s">
        <v>1156</v>
      </c>
      <c r="H375" s="2" t="s">
        <v>698</v>
      </c>
      <c r="I375" s="2" t="str">
        <f>IFERROR(__xludf.DUMMYFUNCTION("GOOGLETRANSLATE(C375,""fr"",""en"")"),"I have been a claim for almost three for a computer to date no rating on their part and no response from the mediator for a year.")</f>
        <v>I have been a claim for almost three for a computer to date no rating on their part and no response from the mediator for a year.</v>
      </c>
    </row>
    <row r="376" ht="15.75" customHeight="1">
      <c r="A376" s="2">
        <v>1.0</v>
      </c>
      <c r="B376" s="2" t="s">
        <v>1157</v>
      </c>
      <c r="C376" s="2" t="s">
        <v>1158</v>
      </c>
      <c r="D376" s="2" t="s">
        <v>490</v>
      </c>
      <c r="E376" s="2" t="s">
        <v>27</v>
      </c>
      <c r="F376" s="2" t="s">
        <v>15</v>
      </c>
      <c r="G376" s="2" t="s">
        <v>1159</v>
      </c>
      <c r="H376" s="2" t="s">
        <v>182</v>
      </c>
      <c r="I376" s="2" t="str">
        <f>IFERROR(__xludf.DUMMYFUNCTION("GOOGLETRANSLATE(C376,""fr"",""en"")"),"Insurance to flee on any leg, I subscribed online, I had to pay only € 144 per month, instead of that they took me € 285 for only 10 days since they have terminated my contract without even me Prevent, which means that I ride at least 1 week without insur"&amp;"ance. And they still dare to ask me for money.
Response level of their leak when we send them a message or an email, it's the big desert, never any response, they are incompetent. I asked for a refund, and I imagine that I will never see the color. I str"&amp;"ongly advise against this insurance, they are profiteers. When I managed to have them on the phone (which is rare) the person on the phone puts me H24 on waiting to ask advice to these ""superior"", be saying she saw 3 who did not know what c 'was to pass"&amp;" with my file, conclusion they are also incompetent to take care of a file.")</f>
        <v>Insurance to flee on any leg, I subscribed online, I had to pay only € 144 per month, instead of that they took me € 285 for only 10 days since they have terminated my contract without even me Prevent, which means that I ride at least 1 week without insurance. And they still dare to ask me for money.
Response level of their leak when we send them a message or an email, it's the big desert, never any response, they are incompetent. I asked for a refund, and I imagine that I will never see the color. I strongly advise against this insurance, they are profiteers. When I managed to have them on the phone (which is rare) the person on the phone puts me H24 on waiting to ask advice to these "superior", be saying she saw 3 who did not know what c 'was to pass with my file, conclusion they are also incompetent to take care of a file.</v>
      </c>
    </row>
    <row r="377" ht="15.75" customHeight="1">
      <c r="A377" s="2">
        <v>1.0</v>
      </c>
      <c r="B377" s="2" t="s">
        <v>1160</v>
      </c>
      <c r="C377" s="2" t="s">
        <v>1161</v>
      </c>
      <c r="D377" s="2" t="s">
        <v>37</v>
      </c>
      <c r="E377" s="2" t="s">
        <v>27</v>
      </c>
      <c r="F377" s="2" t="s">
        <v>15</v>
      </c>
      <c r="G377" s="2" t="s">
        <v>1162</v>
      </c>
      <c r="H377" s="2" t="s">
        <v>174</v>
      </c>
      <c r="I377" s="2" t="str">
        <f>IFERROR(__xludf.DUMMYFUNCTION("GOOGLETRANSLATE(C377,""fr"",""en"")"),"Dissatisfied at the highest point!
Assured all risks for 3 years.
8 months that a claim was opened.
8 months that insurance does nothing and that it claims to do something.
Details that the amount of compensation is ridiculous.
Fallen on a person who"&amp;" does not wish to make an observation, this one being wrong.
I find myself having to fight for what should come back to me.
I suffer a prejudice and the insurance was not even damn to love me ... Thank you!
History of a rear view mirror.
I do not reco"&amp;"mmend it.
Admittedly, it is cheaper than its competitors.
But isn't it better to pay more and be insured in the best way?
I am followed by an advisor who barely knows how to align a sentence in French.
He constantly repeats the same thing to me, that "&amp;"we have to wait, that they can do nothing.
Nothing is done so that the disaster is finally closed.
Should I not have declared it to have one less ball?
Too good, too ###!
If you have no claim, everything is fine!
Everything is complicated ... that a "&amp;"disaster appears ...
Can we nevertheless predict the behavior of all drivers on the road?
To claim your due, should it be as insurmountable as that?
I say no!
I pay ... for what?
To do pretty? Because I want to spend money by windows ??
")</f>
        <v>Dissatisfied at the highest point!
Assured all risks for 3 years.
8 months that a claim was opened.
8 months that insurance does nothing and that it claims to do something.
Details that the amount of compensation is ridiculous.
Fallen on a person who does not wish to make an observation, this one being wrong.
I find myself having to fight for what should come back to me.
I suffer a prejudice and the insurance was not even damn to love me ... Thank you!
History of a rear view mirror.
I do not recommend it.
Admittedly, it is cheaper than its competitors.
But isn't it better to pay more and be insured in the best way?
I am followed by an advisor who barely knows how to align a sentence in French.
He constantly repeats the same thing to me, that we have to wait, that they can do nothing.
Nothing is done so that the disaster is finally closed.
Should I not have declared it to have one less ball?
Too good, too ###!
If you have no claim, everything is fine!
Everything is complicated ... that a disaster appears ...
Can we nevertheless predict the behavior of all drivers on the road?
To claim your due, should it be as insurmountable as that?
I say no!
I pay ... for what?
To do pretty? Because I want to spend money by windows ??
</v>
      </c>
    </row>
    <row r="378" ht="15.75" customHeight="1">
      <c r="A378" s="2">
        <v>1.0</v>
      </c>
      <c r="B378" s="2" t="s">
        <v>1163</v>
      </c>
      <c r="C378" s="2" t="s">
        <v>1164</v>
      </c>
      <c r="D378" s="2" t="s">
        <v>42</v>
      </c>
      <c r="E378" s="2" t="s">
        <v>43</v>
      </c>
      <c r="F378" s="2" t="s">
        <v>15</v>
      </c>
      <c r="G378" s="2" t="s">
        <v>339</v>
      </c>
      <c r="H378" s="2" t="s">
        <v>134</v>
      </c>
      <c r="I378" s="2" t="str">
        <f>IFERROR(__xludf.DUMMYFUNCTION("GOOGLETRANSLATE(C378,""fr"",""en"")"),"A member of MAIF for over 20 years, everything is fine as there is no claim.
But at the 1st request for care following claim, this no longer works, no compensation, non -existent interlocutors, or in bad faith, non -professional
What works well are the "&amp;"samples from my bank account (money pump), company (which I will not call insurance) much more expensive than others.
  TO FLEE
")</f>
        <v>A member of MAIF for over 20 years, everything is fine as there is no claim.
But at the 1st request for care following claim, this no longer works, no compensation, non -existent interlocutors, or in bad faith, non -professional
What works well are the samples from my bank account (money pump), company (which I will not call insurance) much more expensive than others.
  TO FLEE
</v>
      </c>
    </row>
    <row r="379" ht="15.75" customHeight="1">
      <c r="A379" s="2">
        <v>4.0</v>
      </c>
      <c r="B379" s="2" t="s">
        <v>1165</v>
      </c>
      <c r="C379" s="2" t="s">
        <v>1166</v>
      </c>
      <c r="D379" s="2" t="s">
        <v>26</v>
      </c>
      <c r="E379" s="2" t="s">
        <v>27</v>
      </c>
      <c r="F379" s="2" t="s">
        <v>15</v>
      </c>
      <c r="G379" s="2" t="s">
        <v>585</v>
      </c>
      <c r="H379" s="2" t="s">
        <v>88</v>
      </c>
      <c r="I379" s="2" t="str">
        <f>IFERROR(__xludf.DUMMYFUNCTION("GOOGLETRANSLATE(C379,""fr"",""en"")"),"I am satisfied, the prices that I suit me enough. I hope I am not mistaken and that our collaboration happens as best as possible and it is with certainty that I sign at home")</f>
        <v>I am satisfied, the prices that I suit me enough. I hope I am not mistaken and that our collaboration happens as best as possible and it is with certainty that I sign at home</v>
      </c>
    </row>
    <row r="380" ht="15.75" customHeight="1">
      <c r="A380" s="2">
        <v>4.0</v>
      </c>
      <c r="B380" s="2" t="s">
        <v>1167</v>
      </c>
      <c r="C380" s="2" t="s">
        <v>1168</v>
      </c>
      <c r="D380" s="2" t="s">
        <v>37</v>
      </c>
      <c r="E380" s="2" t="s">
        <v>27</v>
      </c>
      <c r="F380" s="2" t="s">
        <v>15</v>
      </c>
      <c r="G380" s="2" t="s">
        <v>1169</v>
      </c>
      <c r="H380" s="2" t="s">
        <v>188</v>
      </c>
      <c r="I380" s="2" t="str">
        <f>IFERROR(__xludf.DUMMYFUNCTION("GOOGLETRANSLATE(C380,""fr"",""en"")"),"Price suits me - simple and quick - the site is fun, easy to use, simple and quick reading
I recommend direct insurance around me
")</f>
        <v>Price suits me - simple and quick - the site is fun, easy to use, simple and quick reading
I recommend direct insurance around me
</v>
      </c>
    </row>
    <row r="381" ht="15.75" customHeight="1">
      <c r="A381" s="2">
        <v>1.0</v>
      </c>
      <c r="B381" s="2" t="s">
        <v>1170</v>
      </c>
      <c r="C381" s="2" t="s">
        <v>1171</v>
      </c>
      <c r="D381" s="2" t="s">
        <v>26</v>
      </c>
      <c r="E381" s="2" t="s">
        <v>27</v>
      </c>
      <c r="F381" s="2" t="s">
        <v>15</v>
      </c>
      <c r="G381" s="2" t="s">
        <v>740</v>
      </c>
      <c r="H381" s="2" t="s">
        <v>23</v>
      </c>
      <c r="I381" s="2" t="str">
        <f>IFERROR(__xludf.DUMMYFUNCTION("GOOGLETRANSLATE(C381,""fr"",""en"")"),"Olivier Insurance is very expensive, the service is not terrible, they are not accommodating difficult to contact and invoices costs on the fly, a simple advice do not choose Olivier Insurance!")</f>
        <v>Olivier Insurance is very expensive, the service is not terrible, they are not accommodating difficult to contact and invoices costs on the fly, a simple advice do not choose Olivier Insurance!</v>
      </c>
    </row>
    <row r="382" ht="15.75" customHeight="1">
      <c r="A382" s="2">
        <v>3.0</v>
      </c>
      <c r="B382" s="2" t="s">
        <v>1172</v>
      </c>
      <c r="C382" s="2" t="s">
        <v>1173</v>
      </c>
      <c r="D382" s="2" t="s">
        <v>26</v>
      </c>
      <c r="E382" s="2" t="s">
        <v>27</v>
      </c>
      <c r="F382" s="2" t="s">
        <v>15</v>
      </c>
      <c r="G382" s="2" t="s">
        <v>660</v>
      </c>
      <c r="H382" s="2" t="s">
        <v>661</v>
      </c>
      <c r="I382" s="2" t="str">
        <f>IFERROR(__xludf.DUMMYFUNCTION("GOOGLETRANSLATE(C382,""fr"",""en"")"),"I am satisfied with the service. The price and for me a little elevated but being given my conditions is reasonable, its meets my expectations. So I could recommend the insurance olive tree.")</f>
        <v>I am satisfied with the service. The price and for me a little elevated but being given my conditions is reasonable, its meets my expectations. So I could recommend the insurance olive tree.</v>
      </c>
    </row>
    <row r="383" ht="15.75" customHeight="1">
      <c r="A383" s="2">
        <v>1.0</v>
      </c>
      <c r="B383" s="2" t="s">
        <v>1174</v>
      </c>
      <c r="C383" s="2" t="s">
        <v>1175</v>
      </c>
      <c r="D383" s="2" t="s">
        <v>448</v>
      </c>
      <c r="E383" s="2" t="s">
        <v>27</v>
      </c>
      <c r="F383" s="2" t="s">
        <v>15</v>
      </c>
      <c r="G383" s="2" t="s">
        <v>1176</v>
      </c>
      <c r="H383" s="2" t="s">
        <v>1177</v>
      </c>
      <c r="I383" s="2" t="str">
        <f>IFERROR(__xludf.DUMMYFUNCTION("GOOGLETRANSLATE(C383,""fr"",""en"")"),"After ten years client at home, the headquarters of the MAAF decided to terminate the insurance because I called on several assistance assistance while I subscribed to the zero km option")</f>
        <v>After ten years client at home, the headquarters of the MAAF decided to terminate the insurance because I called on several assistance assistance while I subscribed to the zero km option</v>
      </c>
    </row>
    <row r="384" ht="15.75" customHeight="1">
      <c r="A384" s="2">
        <v>3.0</v>
      </c>
      <c r="B384" s="2" t="s">
        <v>1178</v>
      </c>
      <c r="C384" s="2" t="s">
        <v>1179</v>
      </c>
      <c r="D384" s="2" t="s">
        <v>42</v>
      </c>
      <c r="E384" s="2" t="s">
        <v>27</v>
      </c>
      <c r="F384" s="2" t="s">
        <v>15</v>
      </c>
      <c r="G384" s="2" t="s">
        <v>1180</v>
      </c>
      <c r="H384" s="2" t="s">
        <v>357</v>
      </c>
      <c r="I384" s="2" t="str">
        <f>IFERROR(__xludf.DUMMYFUNCTION("GOOGLETRANSLATE(C384,""fr"",""en"")"),"MAIF assured for 3 years now.
I had a non -responsible accident in August 2018, a car repaired at no advanced costs (partner garage). The MAIF team has been professional and effective.
Only downside, my coefficient decreases from year to year but the "&amp;"price stagnates (see increases! 1st more per month for a better coefficient this year) which is demotivating.")</f>
        <v>MAIF assured for 3 years now.
I had a non -responsible accident in August 2018, a car repaired at no advanced costs (partner garage). The MAIF team has been professional and effective.
Only downside, my coefficient decreases from year to year but the price stagnates (see increases! 1st more per month for a better coefficient this year) which is demotivating.</v>
      </c>
    </row>
    <row r="385" ht="15.75" customHeight="1">
      <c r="A385" s="2">
        <v>4.0</v>
      </c>
      <c r="B385" s="2" t="s">
        <v>1181</v>
      </c>
      <c r="C385" s="2" t="s">
        <v>1182</v>
      </c>
      <c r="D385" s="2" t="s">
        <v>37</v>
      </c>
      <c r="E385" s="2" t="s">
        <v>27</v>
      </c>
      <c r="F385" s="2" t="s">
        <v>15</v>
      </c>
      <c r="G385" s="2" t="s">
        <v>1092</v>
      </c>
      <c r="H385" s="2" t="s">
        <v>112</v>
      </c>
      <c r="I385" s="2" t="str">
        <f>IFERROR(__xludf.DUMMYFUNCTION("GOOGLETRANSLATE(C385,""fr"",""en"")"),"I am satisfied with the service.
Good price/coverage ratio.
It is easy to navigate the site and make a simulation.
Practice and time saving: Possibility to quickly take out a contract of assurance and pay for your online deadline.")</f>
        <v>I am satisfied with the service.
Good price/coverage ratio.
It is easy to navigate the site and make a simulation.
Practice and time saving: Possibility to quickly take out a contract of assurance and pay for your online deadline.</v>
      </c>
    </row>
    <row r="386" ht="15.75" customHeight="1">
      <c r="A386" s="2">
        <v>5.0</v>
      </c>
      <c r="B386" s="2" t="s">
        <v>1183</v>
      </c>
      <c r="C386" s="2" t="s">
        <v>1184</v>
      </c>
      <c r="D386" s="2" t="s">
        <v>67</v>
      </c>
      <c r="E386" s="2" t="s">
        <v>68</v>
      </c>
      <c r="F386" s="2" t="s">
        <v>15</v>
      </c>
      <c r="G386" s="2" t="s">
        <v>29</v>
      </c>
      <c r="H386" s="2" t="s">
        <v>29</v>
      </c>
      <c r="I386" s="2" t="str">
        <f>IFERROR(__xludf.DUMMYFUNCTION("GOOGLETRANSLATE(C386,""fr"",""en"")"),"Perfect ! Great contact with the salesperson, more than correct price, great guarantees, really nothing to complain about
In the top ! I will recommend with pleasure!")</f>
        <v>Perfect ! Great contact with the salesperson, more than correct price, great guarantees, really nothing to complain about
In the top ! I will recommend with pleasure!</v>
      </c>
    </row>
    <row r="387" ht="15.75" customHeight="1">
      <c r="A387" s="2">
        <v>5.0</v>
      </c>
      <c r="B387" s="2" t="s">
        <v>1185</v>
      </c>
      <c r="C387" s="2" t="s">
        <v>1186</v>
      </c>
      <c r="D387" s="2" t="s">
        <v>67</v>
      </c>
      <c r="E387" s="2" t="s">
        <v>68</v>
      </c>
      <c r="F387" s="2" t="s">
        <v>15</v>
      </c>
      <c r="G387" s="2" t="s">
        <v>458</v>
      </c>
      <c r="H387" s="2" t="s">
        <v>88</v>
      </c>
      <c r="I387" s="2" t="str">
        <f>IFERROR(__xludf.DUMMYFUNCTION("GOOGLETRANSLATE(C387,""fr"",""en"")"),"Great it's really adorable prices I had few means to make sure and thanks to April I drive in peace now! Thank you April!")</f>
        <v>Great it's really adorable prices I had few means to make sure and thanks to April I drive in peace now! Thank you April!</v>
      </c>
    </row>
    <row r="388" ht="15.75" customHeight="1">
      <c r="A388" s="2">
        <v>3.0</v>
      </c>
      <c r="B388" s="2" t="s">
        <v>1187</v>
      </c>
      <c r="C388" s="2" t="s">
        <v>1188</v>
      </c>
      <c r="D388" s="2" t="s">
        <v>37</v>
      </c>
      <c r="E388" s="2" t="s">
        <v>27</v>
      </c>
      <c r="F388" s="2" t="s">
        <v>15</v>
      </c>
      <c r="G388" s="2" t="s">
        <v>1189</v>
      </c>
      <c r="H388" s="2" t="s">
        <v>80</v>
      </c>
      <c r="I388" s="2" t="str">
        <f>IFERROR(__xludf.DUMMYFUNCTION("GOOGLETRANSLATE(C388,""fr"",""en"")"),"Prices suit me. But I prefer to do it on the phone or face to face. In reality I call and expected for 10 min to ultimately do it on the Internet.")</f>
        <v>Prices suit me. But I prefer to do it on the phone or face to face. In reality I call and expected for 10 min to ultimately do it on the Internet.</v>
      </c>
    </row>
    <row r="389" ht="15.75" customHeight="1">
      <c r="A389" s="2">
        <v>4.0</v>
      </c>
      <c r="B389" s="2" t="s">
        <v>1190</v>
      </c>
      <c r="C389" s="2" t="s">
        <v>1191</v>
      </c>
      <c r="D389" s="2" t="s">
        <v>26</v>
      </c>
      <c r="E389" s="2" t="s">
        <v>27</v>
      </c>
      <c r="F389" s="2" t="s">
        <v>15</v>
      </c>
      <c r="G389" s="2" t="s">
        <v>877</v>
      </c>
      <c r="H389" s="2" t="s">
        <v>23</v>
      </c>
      <c r="I389" s="2" t="str">
        <f>IFERROR(__xludf.DUMMYFUNCTION("GOOGLETRANSLATE(C389,""fr"",""en"")"),"1st membership and I have not encountered any problem.
I am fully satisfied, simple &amp; fast it's the top!
A big thank-you.
I recommend this insurance.")</f>
        <v>1st membership and I have not encountered any problem.
I am fully satisfied, simple &amp; fast it's the top!
A big thank-you.
I recommend this insurance.</v>
      </c>
    </row>
    <row r="390" ht="15.75" customHeight="1">
      <c r="A390" s="2">
        <v>5.0</v>
      </c>
      <c r="B390" s="2" t="s">
        <v>1192</v>
      </c>
      <c r="C390" s="2" t="s">
        <v>1193</v>
      </c>
      <c r="D390" s="2" t="s">
        <v>26</v>
      </c>
      <c r="E390" s="2" t="s">
        <v>27</v>
      </c>
      <c r="F390" s="2" t="s">
        <v>15</v>
      </c>
      <c r="G390" s="2" t="s">
        <v>399</v>
      </c>
      <c r="H390" s="2" t="s">
        <v>29</v>
      </c>
      <c r="I390" s="2" t="str">
        <f>IFERROR(__xludf.DUMMYFUNCTION("GOOGLETRANSLATE(C390,""fr"",""en"")"),"I am satisfied with your service
I am an individual, I chose your company by a friend's recommendation, I hope you are satisfied with me")</f>
        <v>I am satisfied with your service
I am an individual, I chose your company by a friend's recommendation, I hope you are satisfied with me</v>
      </c>
    </row>
    <row r="391" ht="15.75" customHeight="1">
      <c r="A391" s="2">
        <v>2.0</v>
      </c>
      <c r="B391" s="2" t="s">
        <v>1194</v>
      </c>
      <c r="C391" s="2" t="s">
        <v>1195</v>
      </c>
      <c r="D391" s="2" t="s">
        <v>37</v>
      </c>
      <c r="E391" s="2" t="s">
        <v>27</v>
      </c>
      <c r="F391" s="2" t="s">
        <v>15</v>
      </c>
      <c r="G391" s="2" t="s">
        <v>1196</v>
      </c>
      <c r="H391" s="2" t="s">
        <v>1197</v>
      </c>
      <c r="I391" s="2" t="str">
        <f>IFERROR(__xludf.DUMMYFUNCTION("GOOGLETRANSLATE(C391,""fr"",""en"")"),"incompein on the price grid. The price is different between the maturity notice and the price mentioned under the priculiée conditions. !")</f>
        <v>incompein on the price grid. The price is different between the maturity notice and the price mentioned under the priculiée conditions. !</v>
      </c>
    </row>
    <row r="392" ht="15.75" customHeight="1">
      <c r="A392" s="2">
        <v>1.0</v>
      </c>
      <c r="B392" s="2" t="s">
        <v>1198</v>
      </c>
      <c r="C392" s="2" t="s">
        <v>1199</v>
      </c>
      <c r="D392" s="2" t="s">
        <v>245</v>
      </c>
      <c r="E392" s="2" t="s">
        <v>21</v>
      </c>
      <c r="F392" s="2" t="s">
        <v>15</v>
      </c>
      <c r="G392" s="2" t="s">
        <v>1200</v>
      </c>
      <c r="H392" s="2" t="s">
        <v>596</v>
      </c>
      <c r="I392" s="2" t="str">
        <f>IFERROR(__xludf.DUMMYFUNCTION("GOOGLETRANSLATE(C392,""fr"",""en"")"),"Impossible to obtain on their part the table of guarantees associated with my mutual contract")</f>
        <v>Impossible to obtain on their part the table of guarantees associated with my mutual contract</v>
      </c>
    </row>
    <row r="393" ht="15.75" customHeight="1">
      <c r="A393" s="2">
        <v>1.0</v>
      </c>
      <c r="B393" s="2" t="s">
        <v>1201</v>
      </c>
      <c r="C393" s="2" t="s">
        <v>1202</v>
      </c>
      <c r="D393" s="2" t="s">
        <v>119</v>
      </c>
      <c r="E393" s="2" t="s">
        <v>120</v>
      </c>
      <c r="F393" s="2" t="s">
        <v>15</v>
      </c>
      <c r="G393" s="2" t="s">
        <v>1203</v>
      </c>
      <c r="H393" s="2" t="s">
        <v>80</v>
      </c>
      <c r="I393" s="2" t="str">
        <f>IFERROR(__xludf.DUMMYFUNCTION("GOOGLETRANSLATE(C393,""fr"",""en"")"),"After taking out a contract with Swisslife for the provident of the self -employed. I was on sick leave for 3 months without ever having any compensation. In a 1st step, a refusal of compensation from Swisslife. In a 2nd time, they return to their decisio"&amp;"n but before compensation they ask you to go ahead of an expert doctor who only experts your insurance contract and in no case your health. It's been almost 1 month since I am no longer on sick leave and I have no more images. I strongly advise against th"&amp;"is insurance!")</f>
        <v>After taking out a contract with Swisslife for the provident of the self -employed. I was on sick leave for 3 months without ever having any compensation. In a 1st step, a refusal of compensation from Swisslife. In a 2nd time, they return to their decision but before compensation they ask you to go ahead of an expert doctor who only experts your insurance contract and in no case your health. It's been almost 1 month since I am no longer on sick leave and I have no more images. I strongly advise against this insurance!</v>
      </c>
    </row>
    <row r="394" ht="15.75" customHeight="1">
      <c r="A394" s="2">
        <v>5.0</v>
      </c>
      <c r="B394" s="2" t="s">
        <v>1204</v>
      </c>
      <c r="C394" s="2" t="s">
        <v>1205</v>
      </c>
      <c r="D394" s="2" t="s">
        <v>37</v>
      </c>
      <c r="E394" s="2" t="s">
        <v>27</v>
      </c>
      <c r="F394" s="2" t="s">
        <v>15</v>
      </c>
      <c r="G394" s="2" t="s">
        <v>614</v>
      </c>
      <c r="H394" s="2" t="s">
        <v>62</v>
      </c>
      <c r="I394" s="2" t="str">
        <f>IFERROR(__xludf.DUMMYFUNCTION("GOOGLETRANSLATE(C394,""fr"",""en"")"),"Simplicity at the top I recommend direct aussrance. I was able to ensure my vehicle immediately. I am very satisfied with this insurance company.
Very correct contributions")</f>
        <v>Simplicity at the top I recommend direct aussrance. I was able to ensure my vehicle immediately. I am very satisfied with this insurance company.
Very correct contributions</v>
      </c>
    </row>
    <row r="395" ht="15.75" customHeight="1">
      <c r="A395" s="2">
        <v>5.0</v>
      </c>
      <c r="B395" s="2" t="s">
        <v>1206</v>
      </c>
      <c r="C395" s="2" t="s">
        <v>1207</v>
      </c>
      <c r="D395" s="2" t="s">
        <v>37</v>
      </c>
      <c r="E395" s="2" t="s">
        <v>27</v>
      </c>
      <c r="F395" s="2" t="s">
        <v>15</v>
      </c>
      <c r="G395" s="2" t="s">
        <v>971</v>
      </c>
      <c r="H395" s="2" t="s">
        <v>62</v>
      </c>
      <c r="I395" s="2" t="str">
        <f>IFERROR(__xludf.DUMMYFUNCTION("GOOGLETRANSLATE(C395,""fr"",""en"")"),"I am satisfied with my first insurance.
The price is affordable and the top options more cases see customer service.
I am happy to have subscribed with you thank you.")</f>
        <v>I am satisfied with my first insurance.
The price is affordable and the top options more cases see customer service.
I am happy to have subscribed with you thank you.</v>
      </c>
    </row>
    <row r="396" ht="15.75" customHeight="1">
      <c r="A396" s="2">
        <v>5.0</v>
      </c>
      <c r="B396" s="2" t="s">
        <v>1208</v>
      </c>
      <c r="C396" s="2" t="s">
        <v>1209</v>
      </c>
      <c r="D396" s="2" t="s">
        <v>26</v>
      </c>
      <c r="E396" s="2" t="s">
        <v>27</v>
      </c>
      <c r="F396" s="2" t="s">
        <v>15</v>
      </c>
      <c r="G396" s="2" t="s">
        <v>977</v>
      </c>
      <c r="H396" s="2" t="s">
        <v>661</v>
      </c>
      <c r="I396" s="2" t="str">
        <f>IFERROR(__xludf.DUMMYFUNCTION("GOOGLETRANSLATE(C396,""fr"",""en"")"),"I discover your insurance that I saw on TV the prices are attractive and interesting I would see in time or not if you are well in the meantime you are very responsive thank you")</f>
        <v>I discover your insurance that I saw on TV the prices are attractive and interesting I would see in time or not if you are well in the meantime you are very responsive thank you</v>
      </c>
    </row>
    <row r="397" ht="15.75" customHeight="1">
      <c r="A397" s="2">
        <v>3.0</v>
      </c>
      <c r="B397" s="2" t="s">
        <v>1210</v>
      </c>
      <c r="C397" s="2" t="s">
        <v>1211</v>
      </c>
      <c r="D397" s="2" t="s">
        <v>26</v>
      </c>
      <c r="E397" s="2" t="s">
        <v>27</v>
      </c>
      <c r="F397" s="2" t="s">
        <v>15</v>
      </c>
      <c r="G397" s="2" t="s">
        <v>1212</v>
      </c>
      <c r="H397" s="2" t="s">
        <v>134</v>
      </c>
      <c r="I397" s="2" t="str">
        <f>IFERROR(__xludf.DUMMYFUNCTION("GOOGLETRANSLATE(C397,""fr"",""en"")"),"I am satisfied at the moment of the service
I join the requested documents as quickly as possible
I am satisfied at the moment of the service
I join the requested documents as quickly as possible")</f>
        <v>I am satisfied at the moment of the service
I join the requested documents as quickly as possible
I am satisfied at the moment of the service
I join the requested documents as quickly as possible</v>
      </c>
    </row>
    <row r="398" ht="15.75" customHeight="1">
      <c r="A398" s="2">
        <v>1.0</v>
      </c>
      <c r="B398" s="2" t="s">
        <v>1213</v>
      </c>
      <c r="C398" s="2" t="s">
        <v>1214</v>
      </c>
      <c r="D398" s="2" t="s">
        <v>57</v>
      </c>
      <c r="E398" s="2" t="s">
        <v>27</v>
      </c>
      <c r="F398" s="2" t="s">
        <v>15</v>
      </c>
      <c r="G398" s="2" t="s">
        <v>1215</v>
      </c>
      <c r="H398" s="2" t="s">
        <v>34</v>
      </c>
      <c r="I398" s="2" t="str">
        <f>IFERROR(__xludf.DUMMYFUNCTION("GOOGLETRANSLATE(C398,""fr"",""en"")"),"Fairly expensive insurance.
Quite difficult communication.
Very complicated to terminate insurance with them, they always have a pretext (can) so as not to terminate insurance.
TO FLEE !!!")</f>
        <v>Fairly expensive insurance.
Quite difficult communication.
Very complicated to terminate insurance with them, they always have a pretext (can) so as not to terminate insurance.
TO FLEE !!!</v>
      </c>
    </row>
    <row r="399" ht="15.75" customHeight="1">
      <c r="A399" s="2">
        <v>2.0</v>
      </c>
      <c r="B399" s="2" t="s">
        <v>1216</v>
      </c>
      <c r="C399" s="2" t="s">
        <v>1217</v>
      </c>
      <c r="D399" s="2" t="s">
        <v>288</v>
      </c>
      <c r="E399" s="2" t="s">
        <v>289</v>
      </c>
      <c r="F399" s="2" t="s">
        <v>15</v>
      </c>
      <c r="G399" s="2" t="s">
        <v>1218</v>
      </c>
      <c r="H399" s="2" t="s">
        <v>365</v>
      </c>
      <c r="I399" s="2" t="str">
        <f>IFERROR(__xludf.DUMMYFUNCTION("GOOGLETRANSLATE(C399,""fr"",""en"")"),"AFER's bureaucracy is completely ineffective. The reimbursement of a premium following a death is very long and required many telephone calls as well as dozens of email exchanges. Despite my complaints I never received the gift from my last sponsorship (a"&amp;" few years ago). Too bad, because financial management is good")</f>
        <v>AFER's bureaucracy is completely ineffective. The reimbursement of a premium following a death is very long and required many telephone calls as well as dozens of email exchanges. Despite my complaints I never received the gift from my last sponsorship (a few years ago). Too bad, because financial management is good</v>
      </c>
    </row>
    <row r="400" ht="15.75" customHeight="1">
      <c r="A400" s="2">
        <v>1.0</v>
      </c>
      <c r="B400" s="2" t="s">
        <v>1219</v>
      </c>
      <c r="C400" s="2" t="s">
        <v>1220</v>
      </c>
      <c r="D400" s="2" t="s">
        <v>448</v>
      </c>
      <c r="E400" s="2" t="s">
        <v>43</v>
      </c>
      <c r="F400" s="2" t="s">
        <v>15</v>
      </c>
      <c r="G400" s="2" t="s">
        <v>1221</v>
      </c>
      <c r="H400" s="2" t="s">
        <v>345</v>
      </c>
      <c r="I400" s="2" t="str">
        <f>IFERROR(__xludf.DUMMYFUNCTION("GOOGLETRANSLATE(C400,""fr"",""en"")"),"Hello everyone, I received a letter from termination of my home insurance because we had a claim in 2016 (water leak in the refrigerator) and in 2017 (Water infiltration on roof) it's been 24 years that I am assured at the maaf, I had no other assurance t"&amp;"han this one and I have 7 contracts with them (personal and pro) it is to say how satisfied I was, we obviously feels betrayed by this dagger received by mail after 24 years of contributions. If you are insured at the MAAF I wish you nothing to happen to "&amp;"you, the maaf does not have and, as proof, of consideration towards its most faithful customers.")</f>
        <v>Hello everyone, I received a letter from termination of my home insurance because we had a claim in 2016 (water leak in the refrigerator) and in 2017 (Water infiltration on roof) it's been 24 years that I am assured at the maaf, I had no other assurance than this one and I have 7 contracts with them (personal and pro) it is to say how satisfied I was, we obviously feels betrayed by this dagger received by mail after 24 years of contributions. If you are insured at the MAAF I wish you nothing to happen to you, the maaf does not have and, as proof, of consideration towards its most faithful customers.</v>
      </c>
    </row>
    <row r="401" ht="15.75" customHeight="1">
      <c r="A401" s="2">
        <v>4.0</v>
      </c>
      <c r="B401" s="2" t="s">
        <v>1222</v>
      </c>
      <c r="C401" s="2" t="s">
        <v>1223</v>
      </c>
      <c r="D401" s="2" t="s">
        <v>26</v>
      </c>
      <c r="E401" s="2" t="s">
        <v>27</v>
      </c>
      <c r="F401" s="2" t="s">
        <v>15</v>
      </c>
      <c r="G401" s="2" t="s">
        <v>177</v>
      </c>
      <c r="H401" s="2" t="s">
        <v>112</v>
      </c>
      <c r="I401" s="2" t="str">
        <f>IFERROR(__xludf.DUMMYFUNCTION("GOOGLETRANSLATE(C401,""fr"",""en"")"),"I am satisfied by the service offered, they are very responsive and I highly recommend the olive tree insurance without hesitation
The waiting time is very short")</f>
        <v>I am satisfied by the service offered, they are very responsive and I highly recommend the olive tree insurance without hesitation
The waiting time is very short</v>
      </c>
    </row>
    <row r="402" ht="15.75" customHeight="1">
      <c r="A402" s="2">
        <v>5.0</v>
      </c>
      <c r="B402" s="2" t="s">
        <v>1224</v>
      </c>
      <c r="C402" s="2" t="s">
        <v>1225</v>
      </c>
      <c r="D402" s="2" t="s">
        <v>26</v>
      </c>
      <c r="E402" s="2" t="s">
        <v>27</v>
      </c>
      <c r="F402" s="2" t="s">
        <v>15</v>
      </c>
      <c r="G402" s="2" t="s">
        <v>1226</v>
      </c>
      <c r="H402" s="2" t="s">
        <v>121</v>
      </c>
      <c r="I402" s="2" t="str">
        <f>IFERROR(__xludf.DUMMYFUNCTION("GOOGLETRANSLATE(C402,""fr"",""en"")"),"Fast, efficient, kindness at the meeting, and this is the best price I found. In short I recommend.")</f>
        <v>Fast, efficient, kindness at the meeting, and this is the best price I found. In short I recommend.</v>
      </c>
    </row>
    <row r="403" ht="15.75" customHeight="1">
      <c r="A403" s="2">
        <v>4.0</v>
      </c>
      <c r="B403" s="2" t="s">
        <v>1227</v>
      </c>
      <c r="C403" s="2" t="s">
        <v>1228</v>
      </c>
      <c r="D403" s="2" t="s">
        <v>57</v>
      </c>
      <c r="E403" s="2" t="s">
        <v>43</v>
      </c>
      <c r="F403" s="2" t="s">
        <v>15</v>
      </c>
      <c r="G403" s="2" t="s">
        <v>757</v>
      </c>
      <c r="H403" s="2" t="s">
        <v>310</v>
      </c>
      <c r="I403" s="2" t="str">
        <f>IFERROR(__xludf.DUMMYFUNCTION("GOOGLETRANSLATE(C403,""fr"",""en"")"),"The guarantees offered are wide and the rates in the low average of the market. So the price is not simply competitive and is not offered with low guarantees. In addition, I had 3 minor claims (2 water damage, 1 electric loss), perfectly supported, very q"&amp;"uickly. I am extremely satisfied to this day")</f>
        <v>The guarantees offered are wide and the rates in the low average of the market. So the price is not simply competitive and is not offered with low guarantees. In addition, I had 3 minor claims (2 water damage, 1 electric loss), perfectly supported, very quickly. I am extremely satisfied to this day</v>
      </c>
    </row>
    <row r="404" ht="15.75" customHeight="1">
      <c r="A404" s="2">
        <v>1.0</v>
      </c>
      <c r="B404" s="2" t="s">
        <v>1229</v>
      </c>
      <c r="C404" s="2" t="s">
        <v>1230</v>
      </c>
      <c r="D404" s="2" t="s">
        <v>160</v>
      </c>
      <c r="E404" s="2" t="s">
        <v>21</v>
      </c>
      <c r="F404" s="2" t="s">
        <v>15</v>
      </c>
      <c r="G404" s="2" t="s">
        <v>746</v>
      </c>
      <c r="H404" s="2" t="s">
        <v>285</v>
      </c>
      <c r="I404" s="2" t="str">
        <f>IFERROR(__xludf.DUMMYFUNCTION("GOOGLETRANSLATE(C404,""fr"",""en"")"),"Since January 2019, the date on which I have subscribed this mutual, I have a repayment problem. You have to systematically control everything. OSTHÉO Consultation 1 session reimbursed out of 5! Exchanging doctor 8 not reimbursed consultations while we ha"&amp;"ve taken out the contract with complementary medicine! To conclude Mutuelle not serious at all. I point out that my contract my easy health is managed for reimbursements by SOGEMA
")</f>
        <v>Since January 2019, the date on which I have subscribed this mutual, I have a repayment problem. You have to systematically control everything. OSTHÉO Consultation 1 session reimbursed out of 5! Exchanging doctor 8 not reimbursed consultations while we have taken out the contract with complementary medicine! To conclude Mutuelle not serious at all. I point out that my contract my easy health is managed for reimbursements by SOGEMA
</v>
      </c>
    </row>
    <row r="405" ht="15.75" customHeight="1">
      <c r="A405" s="2">
        <v>5.0</v>
      </c>
      <c r="B405" s="2" t="s">
        <v>1231</v>
      </c>
      <c r="C405" s="2" t="s">
        <v>1232</v>
      </c>
      <c r="D405" s="2" t="s">
        <v>26</v>
      </c>
      <c r="E405" s="2" t="s">
        <v>27</v>
      </c>
      <c r="F405" s="2" t="s">
        <v>15</v>
      </c>
      <c r="G405" s="2" t="s">
        <v>870</v>
      </c>
      <c r="H405" s="2" t="s">
        <v>23</v>
      </c>
      <c r="I405" s="2" t="str">
        <f>IFERROR(__xludf.DUMMYFUNCTION("GOOGLETRANSLATE(C405,""fr"",""en"")"),"I am very satisfied The service is very serious at listening. The consultants are very involved The service is very fast and efficient very good service")</f>
        <v>I am very satisfied The service is very serious at listening. The consultants are very involved The service is very fast and efficient very good service</v>
      </c>
    </row>
    <row r="406" ht="15.75" customHeight="1">
      <c r="A406" s="2">
        <v>2.0</v>
      </c>
      <c r="B406" s="2" t="s">
        <v>1233</v>
      </c>
      <c r="C406" s="2" t="s">
        <v>1234</v>
      </c>
      <c r="D406" s="2" t="s">
        <v>490</v>
      </c>
      <c r="E406" s="2" t="s">
        <v>27</v>
      </c>
      <c r="F406" s="2" t="s">
        <v>15</v>
      </c>
      <c r="G406" s="2" t="s">
        <v>1235</v>
      </c>
      <c r="H406" s="2" t="s">
        <v>92</v>
      </c>
      <c r="I406" s="2" t="str">
        <f>IFERROR(__xludf.DUMMYFUNCTION("GOOGLETRANSLATE(C406,""fr"",""en"")"),"Insurance recommended by my family about thirty years ago. All my family has since changed their insurance. I am the last one to be there by habit. Without any accident for 20 years, I had to call on their services to realize their ineffectiveness. What i"&amp;"s the point of having attractive prices, if it is to be satisfied with poor guarantees. I will terminate my contract and I absolutely do not recommend this insurance.")</f>
        <v>Insurance recommended by my family about thirty years ago. All my family has since changed their insurance. I am the last one to be there by habit. Without any accident for 20 years, I had to call on their services to realize their ineffectiveness. What is the point of having attractive prices, if it is to be satisfied with poor guarantees. I will terminate my contract and I absolutely do not recommend this insurance.</v>
      </c>
    </row>
    <row r="407" ht="15.75" customHeight="1">
      <c r="A407" s="2">
        <v>1.0</v>
      </c>
      <c r="B407" s="2" t="s">
        <v>1236</v>
      </c>
      <c r="C407" s="2" t="s">
        <v>1237</v>
      </c>
      <c r="D407" s="2" t="s">
        <v>180</v>
      </c>
      <c r="E407" s="2" t="s">
        <v>21</v>
      </c>
      <c r="F407" s="2" t="s">
        <v>15</v>
      </c>
      <c r="G407" s="2" t="s">
        <v>657</v>
      </c>
      <c r="H407" s="2" t="s">
        <v>228</v>
      </c>
      <c r="I407" s="2" t="str">
        <f>IFERROR(__xludf.DUMMYFUNCTION("GOOGLETRANSLATE(C407,""fr"",""en"")"),"It is a real way of the cross in order to validate its Ani portability.
After 2 months of calls and sending the same supporting documents on multiple times, my portability is still not effective.
The waiting time with the advisers is on average 10 min"&amp;"utes and kindness and skills are nonexistent.
This mutual and its staff are poor.
To avoid
")</f>
        <v>It is a real way of the cross in order to validate its Ani portability.
After 2 months of calls and sending the same supporting documents on multiple times, my portability is still not effective.
The waiting time with the advisers is on average 10 minutes and kindness and skills are nonexistent.
This mutual and its staff are poor.
To avoid
</v>
      </c>
    </row>
    <row r="408" ht="15.75" customHeight="1">
      <c r="A408" s="2">
        <v>1.0</v>
      </c>
      <c r="B408" s="2" t="s">
        <v>1238</v>
      </c>
      <c r="C408" s="2" t="s">
        <v>1239</v>
      </c>
      <c r="D408" s="2" t="s">
        <v>156</v>
      </c>
      <c r="E408" s="2" t="s">
        <v>21</v>
      </c>
      <c r="F408" s="2" t="s">
        <v>15</v>
      </c>
      <c r="G408" s="2" t="s">
        <v>1240</v>
      </c>
      <c r="H408" s="2" t="s">
        <v>860</v>
      </c>
      <c r="I408" s="2" t="str">
        <f>IFERROR(__xludf.DUMMYFUNCTION("GOOGLETRANSLATE(C408,""fr"",""en"")"),"If you have an animal do not pay for a mutual insurance company put money aside if your dog is not accident and still you will have nothing to be reimbursed!
Sterilization is not eligible, vaccines, tours of emergency veterinarians, drugs, if it is not l"&amp;"inked to an illness or an accident you forget nothing will be reimbursed")</f>
        <v>If you have an animal do not pay for a mutual insurance company put money aside if your dog is not accident and still you will have nothing to be reimbursed!
Sterilization is not eligible, vaccines, tours of emergency veterinarians, drugs, if it is not linked to an illness or an accident you forget nothing will be reimbursed</v>
      </c>
    </row>
    <row r="409" ht="15.75" customHeight="1">
      <c r="A409" s="2">
        <v>1.0</v>
      </c>
      <c r="B409" s="2" t="s">
        <v>1241</v>
      </c>
      <c r="C409" s="2" t="s">
        <v>1242</v>
      </c>
      <c r="D409" s="2" t="s">
        <v>48</v>
      </c>
      <c r="E409" s="2" t="s">
        <v>21</v>
      </c>
      <c r="F409" s="2" t="s">
        <v>15</v>
      </c>
      <c r="G409" s="2" t="s">
        <v>1243</v>
      </c>
      <c r="H409" s="2" t="s">
        <v>92</v>
      </c>
      <c r="I409" s="2" t="str">
        <f>IFERROR(__xludf.DUMMYFUNCTION("GOOGLETRANSLATE(C409,""fr"",""en"")"),"For almost a year, I have the right to portability following my dismissal, for every month I have to prove my situation as a job seeker, which I do. But for a few me, as by Hazard, the Internet service is consisting ""not available"", because I send reimb"&amp;"ursement invoices, they come back to me each time noting that I have not made my declaration of job seeker then That just before by phone I am told that everything is ok ... There I just called to report this problem that happens that too often, the perso"&amp;"n laughs at me and hangs up with the nose .. scandalous")</f>
        <v>For almost a year, I have the right to portability following my dismissal, for every month I have to prove my situation as a job seeker, which I do. But for a few me, as by Hazard, the Internet service is consisting "not available", because I send reimbursement invoices, they come back to me each time noting that I have not made my declaration of job seeker then That just before by phone I am told that everything is ok ... There I just called to report this problem that happens that too often, the person laughs at me and hangs up with the nose .. scandalous</v>
      </c>
    </row>
    <row r="410" ht="15.75" customHeight="1">
      <c r="A410" s="2">
        <v>2.0</v>
      </c>
      <c r="B410" s="2" t="s">
        <v>1244</v>
      </c>
      <c r="C410" s="2" t="s">
        <v>1245</v>
      </c>
      <c r="D410" s="2" t="s">
        <v>300</v>
      </c>
      <c r="E410" s="2" t="s">
        <v>27</v>
      </c>
      <c r="F410" s="2" t="s">
        <v>15</v>
      </c>
      <c r="G410" s="2" t="s">
        <v>1246</v>
      </c>
      <c r="H410" s="2" t="s">
        <v>34</v>
      </c>
      <c r="I410" s="2" t="str">
        <f>IFERROR(__xludf.DUMMYFUNCTION("GOOGLETRANSLATE(C410,""fr"",""en"")"),"The GMF has had very bad customer service for some time. The new advisers' ""advisers"" absolutely do not listen to customers, they recite what they learned during their 3 days of training ...... and do not know anything else! I have several contracts at "&amp;"home and for years, this year I will take the plunge and change my insurer, thinking that I should have done it much earlier. Best service elsewhere, for cheaper I found insurance where I am insured for higher risks.")</f>
        <v>The GMF has had very bad customer service for some time. The new advisers' "advisers" absolutely do not listen to customers, they recite what they learned during their 3 days of training ...... and do not know anything else! I have several contracts at home and for years, this year I will take the plunge and change my insurer, thinking that I should have done it much earlier. Best service elsewhere, for cheaper I found insurance where I am insured for higher risks.</v>
      </c>
    </row>
    <row r="411" ht="15.75" customHeight="1">
      <c r="A411" s="2">
        <v>2.0</v>
      </c>
      <c r="B411" s="2" t="s">
        <v>1247</v>
      </c>
      <c r="C411" s="2" t="s">
        <v>1248</v>
      </c>
      <c r="D411" s="2" t="s">
        <v>37</v>
      </c>
      <c r="E411" s="2" t="s">
        <v>27</v>
      </c>
      <c r="F411" s="2" t="s">
        <v>15</v>
      </c>
      <c r="G411" s="2" t="s">
        <v>1249</v>
      </c>
      <c r="H411" s="2" t="s">
        <v>54</v>
      </c>
      <c r="I411" s="2" t="str">
        <f>IFERROR(__xludf.DUMMYFUNCTION("GOOGLETRANSLATE(C411,""fr"",""en"")"),"We wanted to modify our car insurance contract following the purchase of a new vehicle. We contacted Direct Assurance in order to make the change, the advisor refused on the grounds that it was technically impossible to make this modification. A new contr"&amp;"act was offered to us. Although we insisted by specifying that it was a replacement car, they wanted to know nothing. A real dialogue of deaf. The purpose of this maneuver is to make figures no more no less. This practice is similar to forced sales which "&amp;"is completely prohibited.")</f>
        <v>We wanted to modify our car insurance contract following the purchase of a new vehicle. We contacted Direct Assurance in order to make the change, the advisor refused on the grounds that it was technically impossible to make this modification. A new contract was offered to us. Although we insisted by specifying that it was a replacement car, they wanted to know nothing. A real dialogue of deaf. The purpose of this maneuver is to make figures no more no less. This practice is similar to forced sales which is completely prohibited.</v>
      </c>
    </row>
    <row r="412" ht="15.75" customHeight="1">
      <c r="A412" s="2">
        <v>3.0</v>
      </c>
      <c r="B412" s="2" t="s">
        <v>1250</v>
      </c>
      <c r="C412" s="2" t="s">
        <v>1251</v>
      </c>
      <c r="D412" s="2" t="s">
        <v>37</v>
      </c>
      <c r="E412" s="2" t="s">
        <v>27</v>
      </c>
      <c r="F412" s="2" t="s">
        <v>15</v>
      </c>
      <c r="G412" s="2" t="s">
        <v>707</v>
      </c>
      <c r="H412" s="2" t="s">
        <v>228</v>
      </c>
      <c r="I412" s="2" t="str">
        <f>IFERROR(__xludf.DUMMYFUNCTION("GOOGLETRANSLATE(C412,""fr"",""en"")"),"Do not take a customer who was terminated for lack of payment 5 years before ......
Changes situations and insurance too
Cordially
Thank you")</f>
        <v>Do not take a customer who was terminated for lack of payment 5 years before ......
Changes situations and insurance too
Cordially
Thank you</v>
      </c>
    </row>
    <row r="413" ht="15.75" customHeight="1">
      <c r="A413" s="2">
        <v>1.0</v>
      </c>
      <c r="B413" s="2" t="s">
        <v>1252</v>
      </c>
      <c r="C413" s="2" t="s">
        <v>1253</v>
      </c>
      <c r="D413" s="2" t="s">
        <v>490</v>
      </c>
      <c r="E413" s="2" t="s">
        <v>27</v>
      </c>
      <c r="F413" s="2" t="s">
        <v>15</v>
      </c>
      <c r="G413" s="2" t="s">
        <v>1254</v>
      </c>
      <c r="H413" s="2" t="s">
        <v>34</v>
      </c>
      <c r="I413" s="2" t="str">
        <f>IFERROR(__xludf.DUMMYFUNCTION("GOOGLETRANSLATE(C413,""fr"",""en"")"),"Matmut gives you 65% bonus !!! But you throw you after 2 accidents and as you were struck off so good luck to find insurance
Thank you Matmut !!!")</f>
        <v>Matmut gives you 65% bonus !!! But you throw you after 2 accidents and as you were struck off so good luck to find insurance
Thank you Matmut !!!</v>
      </c>
    </row>
    <row r="414" ht="15.75" customHeight="1">
      <c r="A414" s="2">
        <v>4.0</v>
      </c>
      <c r="B414" s="2" t="s">
        <v>1255</v>
      </c>
      <c r="C414" s="2" t="s">
        <v>1256</v>
      </c>
      <c r="D414" s="2" t="s">
        <v>490</v>
      </c>
      <c r="E414" s="2" t="s">
        <v>27</v>
      </c>
      <c r="F414" s="2" t="s">
        <v>15</v>
      </c>
      <c r="G414" s="2" t="s">
        <v>1257</v>
      </c>
      <c r="H414" s="2" t="s">
        <v>121</v>
      </c>
      <c r="I414" s="2" t="str">
        <f>IFERROR(__xludf.DUMMYFUNCTION("GOOGLETRANSLATE(C414,""fr"",""en"")"),"Insured for over 30 years with 65% bonus 15% Matmut bonus included I don't have to complain about agency or telephone services. My requests always treated well with a very good welcome. Dimol can be on motorcycle rates for 20 years with a motorcycle over "&amp;"10 years.
During a very vivid disaster file taken over the charges and the reimbursements are very fast.")</f>
        <v>Insured for over 30 years with 65% bonus 15% Matmut bonus included I don't have to complain about agency or telephone services. My requests always treated well with a very good welcome. Dimol can be on motorcycle rates for 20 years with a motorcycle over 10 years.
During a very vivid disaster file taken over the charges and the reimbursements are very fast.</v>
      </c>
    </row>
    <row r="415" ht="15.75" customHeight="1">
      <c r="A415" s="2">
        <v>4.0</v>
      </c>
      <c r="B415" s="2" t="s">
        <v>1258</v>
      </c>
      <c r="C415" s="2" t="s">
        <v>1259</v>
      </c>
      <c r="D415" s="2" t="s">
        <v>26</v>
      </c>
      <c r="E415" s="2" t="s">
        <v>27</v>
      </c>
      <c r="F415" s="2" t="s">
        <v>15</v>
      </c>
      <c r="G415" s="2" t="s">
        <v>1260</v>
      </c>
      <c r="H415" s="2" t="s">
        <v>29</v>
      </c>
      <c r="I415" s="2" t="str">
        <f>IFERROR(__xludf.DUMMYFUNCTION("GOOGLETRANSLATE(C415,""fr"",""en"")"),"Simple, very easy and quick to use. The prices are very competitive. Friendly and fast customer service. I conceive without problem")</f>
        <v>Simple, very easy and quick to use. The prices are very competitive. Friendly and fast customer service. I conceive without problem</v>
      </c>
    </row>
    <row r="416" ht="15.75" customHeight="1">
      <c r="A416" s="2">
        <v>4.0</v>
      </c>
      <c r="B416" s="2" t="s">
        <v>1261</v>
      </c>
      <c r="C416" s="2" t="s">
        <v>1262</v>
      </c>
      <c r="D416" s="2" t="s">
        <v>26</v>
      </c>
      <c r="E416" s="2" t="s">
        <v>27</v>
      </c>
      <c r="F416" s="2" t="s">
        <v>15</v>
      </c>
      <c r="G416" s="2" t="s">
        <v>1263</v>
      </c>
      <c r="H416" s="2" t="s">
        <v>134</v>
      </c>
      <c r="I416" s="2" t="str">
        <f>IFERROR(__xludf.DUMMYFUNCTION("GOOGLETRANSLATE(C416,""fr"",""en"")"),"The service is effective and an advantageous price. A second insurance taken with a reduction of 10 percent for the second contract. Everything is done online.")</f>
        <v>The service is effective and an advantageous price. A second insurance taken with a reduction of 10 percent for the second contract. Everything is done online.</v>
      </c>
    </row>
    <row r="417" ht="15.75" customHeight="1">
      <c r="A417" s="2">
        <v>4.0</v>
      </c>
      <c r="B417" s="2" t="s">
        <v>1264</v>
      </c>
      <c r="C417" s="2" t="s">
        <v>1265</v>
      </c>
      <c r="D417" s="2" t="s">
        <v>300</v>
      </c>
      <c r="E417" s="2" t="s">
        <v>27</v>
      </c>
      <c r="F417" s="2" t="s">
        <v>15</v>
      </c>
      <c r="G417" s="2" t="s">
        <v>372</v>
      </c>
      <c r="H417" s="2" t="s">
        <v>112</v>
      </c>
      <c r="I417" s="2" t="str">
        <f>IFERROR(__xludf.DUMMYFUNCTION("GOOGLETRANSLATE(C417,""fr"",""en"")"),"Nothing to say, everything always went well between the GMF and us. Good continuation. Be careful not to increase your prices too much, especially when there is confinement
")</f>
        <v>Nothing to say, everything always went well between the GMF and us. Good continuation. Be careful not to increase your prices too much, especially when there is confinement
</v>
      </c>
    </row>
    <row r="418" ht="15.75" customHeight="1">
      <c r="A418" s="2">
        <v>2.0</v>
      </c>
      <c r="B418" s="2" t="s">
        <v>1266</v>
      </c>
      <c r="C418" s="2" t="s">
        <v>1267</v>
      </c>
      <c r="D418" s="2" t="s">
        <v>1268</v>
      </c>
      <c r="E418" s="2" t="s">
        <v>120</v>
      </c>
      <c r="F418" s="2" t="s">
        <v>15</v>
      </c>
      <c r="G418" s="2" t="s">
        <v>1269</v>
      </c>
      <c r="H418" s="2" t="s">
        <v>149</v>
      </c>
      <c r="I418" s="2" t="str">
        <f>IFERROR(__xludf.DUMMYFUNCTION("GOOGLETRANSLATE(C418,""fr"",""en"")"),"Hello,
I signed up for the interior mutual due to the services offered. However, I am very disappointed with the provident guarantee. Being on sick leave I sent my file for the compensation request whose reception was confirmed to me by SMS indicating "&amp;"that the management center has received my documents. To date, I have no longer new ones despite my telephone reminders and emails. The situation is sufficiently complicated and stressful like that I find it very unfortunate that the atavism of intermers "&amp;"adds difficulties. The people I have been able to have on the phone are very empathetic and reassuring however, once the phone is hung up there is nothing more ... I would like payment to be made quickly because the financial situation is difficult to man"&amp;"age. Finally, I find it a shame that it is necessary to put a negative opinion so that we care about my situation.
Adhering (in case ...) 4065947")</f>
        <v>Hello,
I signed up for the interior mutual due to the services offered. However, I am very disappointed with the provident guarantee. Being on sick leave I sent my file for the compensation request whose reception was confirmed to me by SMS indicating that the management center has received my documents. To date, I have no longer new ones despite my telephone reminders and emails. The situation is sufficiently complicated and stressful like that I find it very unfortunate that the atavism of intermers adds difficulties. The people I have been able to have on the phone are very empathetic and reassuring however, once the phone is hung up there is nothing more ... I would like payment to be made quickly because the financial situation is difficult to manage. Finally, I find it a shame that it is necessary to put a negative opinion so that we care about my situation.
Adhering (in case ...) 4065947</v>
      </c>
    </row>
    <row r="419" ht="15.75" customHeight="1">
      <c r="A419" s="2">
        <v>1.0</v>
      </c>
      <c r="B419" s="2" t="s">
        <v>1270</v>
      </c>
      <c r="C419" s="2" t="s">
        <v>1271</v>
      </c>
      <c r="D419" s="2" t="s">
        <v>167</v>
      </c>
      <c r="E419" s="2" t="s">
        <v>168</v>
      </c>
      <c r="F419" s="2" t="s">
        <v>15</v>
      </c>
      <c r="G419" s="2" t="s">
        <v>1272</v>
      </c>
      <c r="H419" s="2" t="s">
        <v>54</v>
      </c>
      <c r="I419" s="2" t="str">
        <f>IFERROR(__xludf.DUMMYFUNCTION("GOOGLETRANSLATE(C419,""fr"",""en"")"),"I am extremely disappointed. Customer at home for two years I have always paid without ever asking for any refund (or even vermifuge or anti Parisian vaccine which are nevertheless included in my formula).
I send an invoice on July 18 with care sheets an"&amp;"d prescription (therefore all documents) in order to receive a refund. Today on July 28 still nothing. I call in order to know how long it will take! They answered my word for word: we took delay on the files we only deal with the requests of July 13. You"&amp;"r file will be processed in mid-August. I find this inadmissible without speaking of deplorable customer service.
I count, for September to terminate my contract if the requirement is not done.
")</f>
        <v>I am extremely disappointed. Customer at home for two years I have always paid without ever asking for any refund (or even vermifuge or anti Parisian vaccine which are nevertheless included in my formula).
I send an invoice on July 18 with care sheets and prescription (therefore all documents) in order to receive a refund. Today on July 28 still nothing. I call in order to know how long it will take! They answered my word for word: we took delay on the files we only deal with the requests of July 13. Your file will be processed in mid-August. I find this inadmissible without speaking of deplorable customer service.
I count, for September to terminate my contract if the requirement is not done.
</v>
      </c>
    </row>
    <row r="420" ht="15.75" customHeight="1">
      <c r="A420" s="2">
        <v>5.0</v>
      </c>
      <c r="B420" s="2" t="s">
        <v>1273</v>
      </c>
      <c r="C420" s="2" t="s">
        <v>1274</v>
      </c>
      <c r="D420" s="2" t="s">
        <v>37</v>
      </c>
      <c r="E420" s="2" t="s">
        <v>27</v>
      </c>
      <c r="F420" s="2" t="s">
        <v>15</v>
      </c>
      <c r="G420" s="2" t="s">
        <v>547</v>
      </c>
      <c r="H420" s="2" t="s">
        <v>88</v>
      </c>
      <c r="I420" s="2" t="str">
        <f>IFERROR(__xludf.DUMMYFUNCTION("GOOGLETRANSLATE(C420,""fr"",""en"")"),"Very competitive price for the moment I have taken out 1 car contract in July and another for our second car now,
I hope that in case of claims, everything will be fine
")</f>
        <v>Very competitive price for the moment I have taken out 1 car contract in July and another for our second car now,
I hope that in case of claims, everything will be fine
</v>
      </c>
    </row>
    <row r="421" ht="15.75" customHeight="1">
      <c r="A421" s="2">
        <v>1.0</v>
      </c>
      <c r="B421" s="2" t="s">
        <v>1275</v>
      </c>
      <c r="C421" s="2" t="s">
        <v>1276</v>
      </c>
      <c r="D421" s="2" t="s">
        <v>245</v>
      </c>
      <c r="E421" s="2" t="s">
        <v>21</v>
      </c>
      <c r="F421" s="2" t="s">
        <v>15</v>
      </c>
      <c r="G421" s="2" t="s">
        <v>1277</v>
      </c>
      <c r="H421" s="2" t="s">
        <v>80</v>
      </c>
      <c r="I421" s="2" t="str">
        <f>IFERROR(__xludf.DUMMYFUNCTION("GOOGLETRANSLATE(C421,""fr"",""en"")"),"Catastrophic mutual, to flee urgently.
Thanks to AG2R for blocked my guarantees for 3 months, and as if it were not enough refuse to reimburse me my santed costs. For unpaid contributions. Bravo they understood everything.
(for info: payment method is"&amp;" made by quarterly samples taken automatically)
Mutual that does not even deserve 1 star. 0. TO FLEE.")</f>
        <v>Catastrophic mutual, to flee urgently.
Thanks to AG2R for blocked my guarantees for 3 months, and as if it were not enough refuse to reimburse me my santed costs. For unpaid contributions. Bravo they understood everything.
(for info: payment method is made by quarterly samples taken automatically)
Mutual that does not even deserve 1 star. 0. TO FLEE.</v>
      </c>
    </row>
    <row r="422" ht="15.75" customHeight="1">
      <c r="A422" s="2">
        <v>2.0</v>
      </c>
      <c r="B422" s="2" t="s">
        <v>1278</v>
      </c>
      <c r="C422" s="2" t="s">
        <v>1279</v>
      </c>
      <c r="D422" s="2" t="s">
        <v>32</v>
      </c>
      <c r="E422" s="2" t="s">
        <v>120</v>
      </c>
      <c r="F422" s="2" t="s">
        <v>15</v>
      </c>
      <c r="G422" s="2" t="s">
        <v>1280</v>
      </c>
      <c r="H422" s="2" t="s">
        <v>23</v>
      </c>
      <c r="I422" s="2" t="str">
        <f>IFERROR(__xludf.DUMMYFUNCTION("GOOGLETRANSLATE(C422,""fr"",""en"")"),"Hello the person I had on the phone is super nice is very professional. Thank you for his explanations and his understanding of the customer who is not particularly in good shape if he calls you.
Indeed I have to have an operation and thank you for this "&amp;"super nice and pleasant voice.")</f>
        <v>Hello the person I had on the phone is super nice is very professional. Thank you for his explanations and his understanding of the customer who is not particularly in good shape if he calls you.
Indeed I have to have an operation and thank you for this super nice and pleasant voice.</v>
      </c>
    </row>
    <row r="423" ht="15.75" customHeight="1">
      <c r="A423" s="2">
        <v>5.0</v>
      </c>
      <c r="B423" s="2" t="s">
        <v>1281</v>
      </c>
      <c r="C423" s="2" t="s">
        <v>1282</v>
      </c>
      <c r="D423" s="2" t="s">
        <v>107</v>
      </c>
      <c r="E423" s="2" t="s">
        <v>21</v>
      </c>
      <c r="F423" s="2" t="s">
        <v>15</v>
      </c>
      <c r="G423" s="2" t="s">
        <v>806</v>
      </c>
      <c r="H423" s="2" t="s">
        <v>88</v>
      </c>
      <c r="I423" s="2" t="str">
        <f>IFERROR(__xludf.DUMMYFUNCTION("GOOGLETRANSLATE(C423,""fr"",""en"")"),"I had information to ask, I had Nabil on the phone and I had a very good welcome. A very friendly gentleman;
Cordially
Jouanillou Monique")</f>
        <v>I had information to ask, I had Nabil on the phone and I had a very good welcome. A very friendly gentleman;
Cordially
Jouanillou Monique</v>
      </c>
    </row>
    <row r="424" ht="15.75" customHeight="1">
      <c r="A424" s="2">
        <v>3.0</v>
      </c>
      <c r="B424" s="2" t="s">
        <v>1283</v>
      </c>
      <c r="C424" s="2" t="s">
        <v>1284</v>
      </c>
      <c r="D424" s="2" t="s">
        <v>167</v>
      </c>
      <c r="E424" s="2" t="s">
        <v>168</v>
      </c>
      <c r="F424" s="2" t="s">
        <v>15</v>
      </c>
      <c r="G424" s="2" t="s">
        <v>1285</v>
      </c>
      <c r="H424" s="2" t="s">
        <v>228</v>
      </c>
      <c r="I424" s="2" t="str">
        <f>IFERROR(__xludf.DUMMYFUNCTION("GOOGLETRANSLATE(C424,""fr"",""en"")"),"If you have a young dog everything will be fine, as and when your subscription will increase fairly strongly 5, 8, 12, 15 euros then your dog at 10 years and your subscription takes 50% increase. ... Health vet by this commercial policy brings its custome"&amp;"rs to leave when your more elder dog needs more expensive care, well done !!!")</f>
        <v>If you have a young dog everything will be fine, as and when your subscription will increase fairly strongly 5, 8, 12, 15 euros then your dog at 10 years and your subscription takes 50% increase. ... Health vet by this commercial policy brings its customers to leave when your more elder dog needs more expensive care, well done !!!</v>
      </c>
    </row>
    <row r="425" ht="15.75" customHeight="1">
      <c r="A425" s="2">
        <v>5.0</v>
      </c>
      <c r="B425" s="2" t="s">
        <v>1286</v>
      </c>
      <c r="C425" s="2" t="s">
        <v>1287</v>
      </c>
      <c r="D425" s="2" t="s">
        <v>26</v>
      </c>
      <c r="E425" s="2" t="s">
        <v>27</v>
      </c>
      <c r="F425" s="2" t="s">
        <v>15</v>
      </c>
      <c r="G425" s="2" t="s">
        <v>210</v>
      </c>
      <c r="H425" s="2" t="s">
        <v>134</v>
      </c>
      <c r="I425" s="2" t="str">
        <f>IFERROR(__xludf.DUMMYFUNCTION("GOOGLETRANSLATE(C425,""fr"",""en"")"),"Perfect.
I am very happy with the service that was offered to me, it was fast, efficient and competitive.
The advisers were clear and precise, and the digital procedure, clear.")</f>
        <v>Perfect.
I am very happy with the service that was offered to me, it was fast, efficient and competitive.
The advisers were clear and precise, and the digital procedure, clear.</v>
      </c>
    </row>
    <row r="426" ht="15.75" customHeight="1">
      <c r="A426" s="2">
        <v>2.0</v>
      </c>
      <c r="B426" s="2" t="s">
        <v>1288</v>
      </c>
      <c r="C426" s="2" t="s">
        <v>1289</v>
      </c>
      <c r="D426" s="2" t="s">
        <v>57</v>
      </c>
      <c r="E426" s="2" t="s">
        <v>43</v>
      </c>
      <c r="F426" s="2" t="s">
        <v>15</v>
      </c>
      <c r="G426" s="2" t="s">
        <v>1290</v>
      </c>
      <c r="H426" s="2" t="s">
        <v>188</v>
      </c>
      <c r="I426" s="2" t="str">
        <f>IFERROR(__xludf.DUMMYFUNCTION("GOOGLETRANSLATE(C426,""fr"",""en"")"),"I made on the internet a declaration of civil liability on 06/15. No news from Pacifica. I call on 06/23, the online person informs me that I will be recalled following my declaration, no info is then given on the steps to be taken or the rest of the file"&amp;". 06/29, still without news, I call customer service that sermates me. People with more serious claims wait longer than me to find out about the steps to follow or the rest of their file (!!!!). If you have a Jérémy on the phone, run away! Hautain, and pr"&amp;"obably incompetent: he opened my file by mistake which did not concern him and has also changed the date of declaration of the claim! He dares to tell me that I am impatient. I am not impatient, just in ignorance! He allows himself to tell me that he does"&amp;" not understand that I have so many questions: I have only had 2: what should I do for my declaration and how is the continuation ...")</f>
        <v>I made on the internet a declaration of civil liability on 06/15. No news from Pacifica. I call on 06/23, the online person informs me that I will be recalled following my declaration, no info is then given on the steps to be taken or the rest of the file. 06/29, still without news, I call customer service that sermates me. People with more serious claims wait longer than me to find out about the steps to follow or the rest of their file (!!!!). If you have a Jérémy on the phone, run away! Hautain, and probably incompetent: he opened my file by mistake which did not concern him and has also changed the date of declaration of the claim! He dares to tell me that I am impatient. I am not impatient, just in ignorance! He allows himself to tell me that he does not understand that I have so many questions: I have only had 2: what should I do for my declaration and how is the continuation ...</v>
      </c>
    </row>
    <row r="427" ht="15.75" customHeight="1">
      <c r="A427" s="2">
        <v>1.0</v>
      </c>
      <c r="B427" s="2" t="s">
        <v>1291</v>
      </c>
      <c r="C427" s="2" t="s">
        <v>1292</v>
      </c>
      <c r="D427" s="2" t="s">
        <v>355</v>
      </c>
      <c r="E427" s="2" t="s">
        <v>27</v>
      </c>
      <c r="F427" s="2" t="s">
        <v>15</v>
      </c>
      <c r="G427" s="2" t="s">
        <v>1293</v>
      </c>
      <c r="H427" s="2" t="s">
        <v>1112</v>
      </c>
      <c r="I427" s="2" t="str">
        <f>IFERROR(__xludf.DUMMYFUNCTION("GOOGLETRANSLATE(C427,""fr"",""en"")"),"Very expensive insurance to ultimately have problems without solution.
They are not professional")</f>
        <v>Very expensive insurance to ultimately have problems without solution.
They are not professional</v>
      </c>
    </row>
    <row r="428" ht="15.75" customHeight="1">
      <c r="A428" s="2">
        <v>1.0</v>
      </c>
      <c r="B428" s="2" t="s">
        <v>1294</v>
      </c>
      <c r="C428" s="2" t="s">
        <v>1295</v>
      </c>
      <c r="D428" s="2" t="s">
        <v>99</v>
      </c>
      <c r="E428" s="2" t="s">
        <v>43</v>
      </c>
      <c r="F428" s="2" t="s">
        <v>15</v>
      </c>
      <c r="G428" s="2" t="s">
        <v>137</v>
      </c>
      <c r="H428" s="2" t="s">
        <v>29</v>
      </c>
      <c r="I428" s="2" t="str">
        <f>IFERROR(__xludf.DUMMYFUNCTION("GOOGLETRANSLATE(C428,""fr"",""en"")"),"Once again problems with Allianz. After being beaten to obtain repair in a water damage, it starts again, it is impossible to obtain the balance of what they owe me (around 4,500 euros ..... anyway) despite presentation of the bills. I am told that we hav"&amp;"e not received the invoices, extremely difficult to reach, there is always a pretext not to answer, on the end of the line always of the people who are responsible for nothing, we tell you that we are reminded But it never happens ..... in short a sequenc"&amp;"e of bad faith, and answer to questions that you do not ask, just to make a diversion. This insurance is great if you don't need them otherwise it is lamentable. To flee urgently. Total lack of seriousness. Ladies gentlemen from Allianz do not use words a"&amp;"s solidarity and confidence, you do not know their values. But moreover, what are your values?")</f>
        <v>Once again problems with Allianz. After being beaten to obtain repair in a water damage, it starts again, it is impossible to obtain the balance of what they owe me (around 4,500 euros ..... anyway) despite presentation of the bills. I am told that we have not received the invoices, extremely difficult to reach, there is always a pretext not to answer, on the end of the line always of the people who are responsible for nothing, we tell you that we are reminded But it never happens ..... in short a sequence of bad faith, and answer to questions that you do not ask, just to make a diversion. This insurance is great if you don't need them otherwise it is lamentable. To flee urgently. Total lack of seriousness. Ladies gentlemen from Allianz do not use words as solidarity and confidence, you do not know their values. But moreover, what are your values?</v>
      </c>
    </row>
    <row r="429" ht="15.75" customHeight="1">
      <c r="A429" s="2">
        <v>1.0</v>
      </c>
      <c r="B429" s="2" t="s">
        <v>1296</v>
      </c>
      <c r="C429" s="2" t="s">
        <v>1297</v>
      </c>
      <c r="D429" s="2" t="s">
        <v>254</v>
      </c>
      <c r="E429" s="2" t="s">
        <v>168</v>
      </c>
      <c r="F429" s="2" t="s">
        <v>15</v>
      </c>
      <c r="G429" s="2" t="s">
        <v>1298</v>
      </c>
      <c r="H429" s="2" t="s">
        <v>840</v>
      </c>
      <c r="I429" s="2" t="str">
        <f>IFERROR(__xludf.DUMMYFUNCTION("GOOGLETRANSLATE(C429,""fr"",""en"")"),"I am handicap I have harass by a lady from home she told me to pay by CB and that I had 1 month to try. After her she promised me lots of things they will never send the contracts of my dogs !!! I sent a letter recommending to terminate their answer is th"&amp;"at it's too late !!!! A woman my appler to tell me to check a box on an email to cancel my letter recommend I do not do it! I have canceled the levies! He harasses me on the phone and by email! I am waiting for the end of the confinement to file a complai"&amp;"nt !!!!! To be fleece from this insurance !!!!!!!")</f>
        <v>I am handicap I have harass by a lady from home she told me to pay by CB and that I had 1 month to try. After her she promised me lots of things they will never send the contracts of my dogs !!! I sent a letter recommending to terminate their answer is that it's too late !!!! A woman my appler to tell me to check a box on an email to cancel my letter recommend I do not do it! I have canceled the levies! He harasses me on the phone and by email! I am waiting for the end of the confinement to file a complaint !!!!! To be fleece from this insurance !!!!!!!</v>
      </c>
    </row>
    <row r="430" ht="15.75" customHeight="1">
      <c r="A430" s="2">
        <v>4.0</v>
      </c>
      <c r="B430" s="2" t="s">
        <v>1299</v>
      </c>
      <c r="C430" s="2" t="s">
        <v>1300</v>
      </c>
      <c r="D430" s="2" t="s">
        <v>37</v>
      </c>
      <c r="E430" s="2" t="s">
        <v>27</v>
      </c>
      <c r="F430" s="2" t="s">
        <v>15</v>
      </c>
      <c r="G430" s="2" t="s">
        <v>1301</v>
      </c>
      <c r="H430" s="2" t="s">
        <v>62</v>
      </c>
      <c r="I430" s="2" t="str">
        <f>IFERROR(__xludf.DUMMYFUNCTION("GOOGLETRANSLATE(C430,""fr"",""en"")"),"The price suits me perfectly one of the lowest on the market, for the same vehicle, I am satisfied with the service, and very easy to subscribe online.")</f>
        <v>The price suits me perfectly one of the lowest on the market, for the same vehicle, I am satisfied with the service, and very easy to subscribe online.</v>
      </c>
    </row>
    <row r="431" ht="15.75" customHeight="1">
      <c r="A431" s="2">
        <v>1.0</v>
      </c>
      <c r="B431" s="2" t="s">
        <v>1302</v>
      </c>
      <c r="C431" s="2" t="s">
        <v>1303</v>
      </c>
      <c r="D431" s="2" t="s">
        <v>57</v>
      </c>
      <c r="E431" s="2" t="s">
        <v>43</v>
      </c>
      <c r="F431" s="2" t="s">
        <v>15</v>
      </c>
      <c r="G431" s="2" t="s">
        <v>1304</v>
      </c>
      <c r="H431" s="2" t="s">
        <v>214</v>
      </c>
      <c r="I431" s="2" t="str">
        <f>IFERROR(__xludf.DUMMYFUNCTION("GOOGLETRANSLATE(C431,""fr"",""en"")"),"I pay for my insurance and I end up with a cabinet mandated by the latter who lies and which made a report that I have never received concerning my claim, so that it is not taken into account by my insurance.
It is dismaying that in 2020 this kind of pra"&amp;"ctice still exists.
So I challenged this expertise by sending the documents that proved my words.
Since sending evidence that shows that I had an infiltration in addition to a roof problem they have closed my file without even informing me but in additi"&amp;"on by shamefully.
Supposedly the expert would have mounted on the roof to note that everything would have happened before my purchase when this expert already had trouble mounting my two floors and had no equipment to get on the roof and that I was with "&amp;"Throughout the maintenance. And at no time has the roof been checked, disgusting")</f>
        <v>I pay for my insurance and I end up with a cabinet mandated by the latter who lies and which made a report that I have never received concerning my claim, so that it is not taken into account by my insurance.
It is dismaying that in 2020 this kind of practice still exists.
So I challenged this expertise by sending the documents that proved my words.
Since sending evidence that shows that I had an infiltration in addition to a roof problem they have closed my file without even informing me but in addition by shamefully.
Supposedly the expert would have mounted on the roof to note that everything would have happened before my purchase when this expert already had trouble mounting my two floors and had no equipment to get on the roof and that I was with Throughout the maintenance. And at no time has the roof been checked, disgusting</v>
      </c>
    </row>
    <row r="432" ht="15.75" customHeight="1">
      <c r="A432" s="2">
        <v>5.0</v>
      </c>
      <c r="B432" s="2" t="s">
        <v>1305</v>
      </c>
      <c r="C432" s="2" t="s">
        <v>1306</v>
      </c>
      <c r="D432" s="2" t="s">
        <v>288</v>
      </c>
      <c r="E432" s="2" t="s">
        <v>289</v>
      </c>
      <c r="F432" s="2" t="s">
        <v>15</v>
      </c>
      <c r="G432" s="2" t="s">
        <v>1031</v>
      </c>
      <c r="H432" s="2" t="s">
        <v>860</v>
      </c>
      <c r="I432" s="2" t="str">
        <f>IFERROR(__xludf.DUMMYFUNCTION("GOOGLETRANSLATE(C432,""fr"",""en"")"),"I am very surprised in the general opinion
For any criticism you must provide factual elements
Personally I do not see any problem that there is a verification of the identity and the domiciliation address in the event of the repurchase of his savings i"&amp;"t is only a matter of security.
I would not like anyone can take on my account of course
For information there is a digital space that can be created (via sending and receiving certain documents by post, security obliges)
 In this digital space it "&amp;"is possible to establish a correlation with your bank account so that you can withdraw, deposit or arbitrate any amount at any time
 You should also know that the value date is set for Wednesday for any operation carried out before the previous Tuesday"&amp;" before 4 p.m.
For example I personally withdrew a sum on January 16 for a value date on January 18 and the deposit on my bank account on January 20 by a simple click of mouse
Perhaps people who criticize should inquire before thinking that everything"&amp;" is possible for a snap. It is their safety we are talking about
Cordially
 A member for 35 years
")</f>
        <v>I am very surprised in the general opinion
For any criticism you must provide factual elements
Personally I do not see any problem that there is a verification of the identity and the domiciliation address in the event of the repurchase of his savings it is only a matter of security.
I would not like anyone can take on my account of course
For information there is a digital space that can be created (via sending and receiving certain documents by post, security obliges)
 In this digital space it is possible to establish a correlation with your bank account so that you can withdraw, deposit or arbitrate any amount at any time
 You should also know that the value date is set for Wednesday for any operation carried out before the previous Tuesday before 4 p.m.
For example I personally withdrew a sum on January 16 for a value date on January 18 and the deposit on my bank account on January 20 by a simple click of mouse
Perhaps people who criticize should inquire before thinking that everything is possible for a snap. It is their safety we are talking about
Cordially
 A member for 35 years
</v>
      </c>
    </row>
    <row r="433" ht="15.75" customHeight="1">
      <c r="A433" s="2">
        <v>1.0</v>
      </c>
      <c r="B433" s="2" t="s">
        <v>1307</v>
      </c>
      <c r="C433" s="2" t="s">
        <v>1308</v>
      </c>
      <c r="D433" s="2" t="s">
        <v>234</v>
      </c>
      <c r="E433" s="2" t="s">
        <v>21</v>
      </c>
      <c r="F433" s="2" t="s">
        <v>15</v>
      </c>
      <c r="G433" s="2" t="s">
        <v>1309</v>
      </c>
      <c r="H433" s="2" t="s">
        <v>503</v>
      </c>
      <c r="I433" s="2" t="str">
        <f>IFERROR(__xludf.DUMMYFUNCTION("GOOGLETRANSLATE(C433,""fr"",""en"")"),"The third-party payment operates, no signal other than this third-party payment card 2 times a year, however the price has gradually doubled in a few years ... + no reimbursement formula provided for paramedical care, while I pay 1700 € per year !!
(once"&amp;" managed to join the sales which responds in an evasive and improper way)
A schedule was sent for the following year, but obviously I receive it after two months before the deadline for the contract, which forced it to renew it ...
The galley to termina"&amp;"te .. before this decree of December 1, 2020 finally applies:
The infra-annual termination will come into force on December 1, 2020.
I will take this opportunity to change my mutual insurance that day.")</f>
        <v>The third-party payment operates, no signal other than this third-party payment card 2 times a year, however the price has gradually doubled in a few years ... + no reimbursement formula provided for paramedical care, while I pay 1700 € per year !!
(once managed to join the sales which responds in an evasive and improper way)
A schedule was sent for the following year, but obviously I receive it after two months before the deadline for the contract, which forced it to renew it ...
The galley to terminate .. before this decree of December 1, 2020 finally applies:
The infra-annual termination will come into force on December 1, 2020.
I will take this opportunity to change my mutual insurance that day.</v>
      </c>
    </row>
    <row r="434" ht="15.75" customHeight="1">
      <c r="A434" s="2">
        <v>1.0</v>
      </c>
      <c r="B434" s="2" t="s">
        <v>1310</v>
      </c>
      <c r="C434" s="2" t="s">
        <v>1311</v>
      </c>
      <c r="D434" s="2" t="s">
        <v>1312</v>
      </c>
      <c r="E434" s="2" t="s">
        <v>1313</v>
      </c>
      <c r="F434" s="2" t="s">
        <v>15</v>
      </c>
      <c r="G434" s="2" t="s">
        <v>1246</v>
      </c>
      <c r="H434" s="2" t="s">
        <v>34</v>
      </c>
      <c r="I434" s="2" t="str">
        <f>IFERROR(__xludf.DUMMYFUNCTION("GOOGLETRANSLATE(C434,""fr"",""en"")"),"MMMA Diphene guarantees:
Who is the insurer for the organization in Silo who prefers to pay several € of expertise rather than € 200 repair?
Who is the insurer who needs almost 18 months to organize 2 basic expertise? (plaster cracks)
Who is the insure"&amp;"r giving the directive to its employees responsible for customers not to communicate their names (we will return for proximity!)
Who is the insurer that we must relaunch regularly to advance a file?
What is the insurer who does not respond to recommende"&amp;"d letters?
MMA, a lot of blah, a lot of hassle ...
")</f>
        <v>MMMA Diphene guarantees:
Who is the insurer for the organization in Silo who prefers to pay several € of expertise rather than € 200 repair?
Who is the insurer who needs almost 18 months to organize 2 basic expertise? (plaster cracks)
Who is the insurer giving the directive to its employees responsible for customers not to communicate their names (we will return for proximity!)
Who is the insurer that we must relaunch regularly to advance a file?
What is the insurer who does not respond to recommended letters?
MMA, a lot of blah, a lot of hassle ...
</v>
      </c>
    </row>
    <row r="435" ht="15.75" customHeight="1">
      <c r="A435" s="2">
        <v>3.0</v>
      </c>
      <c r="B435" s="2" t="s">
        <v>1314</v>
      </c>
      <c r="C435" s="2" t="s">
        <v>1315</v>
      </c>
      <c r="D435" s="2" t="s">
        <v>234</v>
      </c>
      <c r="E435" s="2" t="s">
        <v>21</v>
      </c>
      <c r="F435" s="2" t="s">
        <v>15</v>
      </c>
      <c r="G435" s="2" t="s">
        <v>1316</v>
      </c>
      <c r="H435" s="2" t="s">
        <v>357</v>
      </c>
      <c r="I435" s="2" t="str">
        <f>IFERROR(__xludf.DUMMYFUNCTION("GOOGLETRANSLATE(C435,""fr"",""en"")"),"His steps good insurance in the health service after the sale when you want to terminate it is taking his steps with assurance that I will communicate to you")</f>
        <v>His steps good insurance in the health service after the sale when you want to terminate it is taking his steps with assurance that I will communicate to you</v>
      </c>
    </row>
    <row r="436" ht="15.75" customHeight="1">
      <c r="A436" s="2">
        <v>1.0</v>
      </c>
      <c r="B436" s="2" t="s">
        <v>1317</v>
      </c>
      <c r="C436" s="2" t="s">
        <v>1318</v>
      </c>
      <c r="D436" s="2" t="s">
        <v>37</v>
      </c>
      <c r="E436" s="2" t="s">
        <v>27</v>
      </c>
      <c r="F436" s="2" t="s">
        <v>15</v>
      </c>
      <c r="G436" s="2" t="s">
        <v>466</v>
      </c>
      <c r="H436" s="2" t="s">
        <v>23</v>
      </c>
      <c r="I436" s="2" t="str">
        <f>IFERROR(__xludf.DUMMYFUNCTION("GOOGLETRANSLATE(C436,""fr"",""en"")"),"Very higher from the high level of the price, I think I can terminate my insurance, I now have an electronic car but I pay more expensive than in thermal car!")</f>
        <v>Very higher from the high level of the price, I think I can terminate my insurance, I now have an electronic car but I pay more expensive than in thermal car!</v>
      </c>
    </row>
    <row r="437" ht="15.75" customHeight="1">
      <c r="A437" s="2">
        <v>5.0</v>
      </c>
      <c r="B437" s="2" t="s">
        <v>1319</v>
      </c>
      <c r="C437" s="2" t="s">
        <v>1320</v>
      </c>
      <c r="D437" s="2" t="s">
        <v>32</v>
      </c>
      <c r="E437" s="2" t="s">
        <v>21</v>
      </c>
      <c r="F437" s="2" t="s">
        <v>15</v>
      </c>
      <c r="G437" s="2" t="s">
        <v>1321</v>
      </c>
      <c r="H437" s="2" t="s">
        <v>34</v>
      </c>
      <c r="I437" s="2" t="str">
        <f>IFERROR(__xludf.DUMMYFUNCTION("GOOGLETRANSLATE(C437,""fr"",""en"")"),"Very professional mutual, perfectly suited to the specific requirements of the security forces.
Good availability, even by phone.
Precise information and friendliness of the correspondents.")</f>
        <v>Very professional mutual, perfectly suited to the specific requirements of the security forces.
Good availability, even by phone.
Precise information and friendliness of the correspondents.</v>
      </c>
    </row>
    <row r="438" ht="15.75" customHeight="1">
      <c r="A438" s="2">
        <v>3.0</v>
      </c>
      <c r="B438" s="2" t="s">
        <v>1322</v>
      </c>
      <c r="C438" s="2" t="s">
        <v>1323</v>
      </c>
      <c r="D438" s="2" t="s">
        <v>217</v>
      </c>
      <c r="E438" s="2" t="s">
        <v>289</v>
      </c>
      <c r="F438" s="2" t="s">
        <v>15</v>
      </c>
      <c r="G438" s="2" t="s">
        <v>1324</v>
      </c>
      <c r="H438" s="2" t="s">
        <v>357</v>
      </c>
      <c r="I438" s="2" t="str">
        <f>IFERROR(__xludf.DUMMYFUNCTION("GOOGLETRANSLATE(C438,""fr"",""en"")"),"The Macif is not a bank dixit Mutavie's advisor. The Macif knows how to cross the Atlantic has a super sailboat but does not have the capacity to make a fruit a little fruitful.")</f>
        <v>The Macif is not a bank dixit Mutavie's advisor. The Macif knows how to cross the Atlantic has a super sailboat but does not have the capacity to make a fruit a little fruitful.</v>
      </c>
    </row>
    <row r="439" ht="15.75" customHeight="1">
      <c r="A439" s="2">
        <v>1.0</v>
      </c>
      <c r="B439" s="2" t="s">
        <v>1325</v>
      </c>
      <c r="C439" s="2" t="s">
        <v>1326</v>
      </c>
      <c r="D439" s="2" t="s">
        <v>99</v>
      </c>
      <c r="E439" s="2" t="s">
        <v>27</v>
      </c>
      <c r="F439" s="2" t="s">
        <v>15</v>
      </c>
      <c r="G439" s="2" t="s">
        <v>1327</v>
      </c>
      <c r="H439" s="2" t="s">
        <v>101</v>
      </c>
      <c r="I439" s="2" t="str">
        <f>IFERROR(__xludf.DUMMYFUNCTION("GOOGLETRANSLATE(C439,""fr"",""en"")"),"Ashamed to be fired by insurance because I was struck by my car, 2 years after 2 legendary claims (of the jail) and 1 broken ice, suddenly the frequency is too strong !!! The 2 years of increased contributions they cashed them well and Mtn break you fish "&amp;"!!!
I am disgusted to see that ...")</f>
        <v>Ashamed to be fired by insurance because I was struck by my car, 2 years after 2 legendary claims (of the jail) and 1 broken ice, suddenly the frequency is too strong !!! The 2 years of increased contributions they cashed them well and Mtn break you fish !!!
I am disgusted to see that ...</v>
      </c>
    </row>
    <row r="440" ht="15.75" customHeight="1">
      <c r="A440" s="2">
        <v>1.0</v>
      </c>
      <c r="B440" s="2" t="s">
        <v>1328</v>
      </c>
      <c r="C440" s="2" t="s">
        <v>1329</v>
      </c>
      <c r="D440" s="2" t="s">
        <v>42</v>
      </c>
      <c r="E440" s="2" t="s">
        <v>43</v>
      </c>
      <c r="F440" s="2" t="s">
        <v>15</v>
      </c>
      <c r="G440" s="2" t="s">
        <v>1330</v>
      </c>
      <c r="H440" s="2" t="s">
        <v>134</v>
      </c>
      <c r="I440" s="2" t="str">
        <f>IFERROR(__xludf.DUMMYFUNCTION("GOOGLETRANSLATE(C440,""fr"",""en"")"),"MAIF refuses to compensate me they take people for pigeons and illiterate experts passage of photos proving the damage the manager lied
I send recommended to their senior direction no answers received the solidarity letters from the pipeau between Euc
I"&amp;" made all my home cars contracts in November I learned it by chance the branch does not understand the reaction of the seat in Niort for more than 30 years that I was in Maif")</f>
        <v>MAIF refuses to compensate me they take people for pigeons and illiterate experts passage of photos proving the damage the manager lied
I send recommended to their senior direction no answers received the solidarity letters from the pipeau between Euc
I made all my home cars contracts in November I learned it by chance the branch does not understand the reaction of the seat in Niort for more than 30 years that I was in Maif</v>
      </c>
    </row>
    <row r="441" ht="15.75" customHeight="1">
      <c r="A441" s="2">
        <v>2.0</v>
      </c>
      <c r="B441" s="2" t="s">
        <v>1331</v>
      </c>
      <c r="C441" s="2" t="s">
        <v>1332</v>
      </c>
      <c r="D441" s="2" t="s">
        <v>355</v>
      </c>
      <c r="E441" s="2" t="s">
        <v>27</v>
      </c>
      <c r="F441" s="2" t="s">
        <v>15</v>
      </c>
      <c r="G441" s="2" t="s">
        <v>406</v>
      </c>
      <c r="H441" s="2" t="s">
        <v>29</v>
      </c>
      <c r="I441" s="2" t="str">
        <f>IFERROR(__xludf.DUMMYFUNCTION("GOOGLETRANSLATE(C441,""fr"",""en"")"),"Catastrophic insurance. Breakdown car, the convenience store arrives fairly quickly then everything stops, you have to find a garage yourself, the reserved car rental agency (since of course the emergency vehicle option is subscribed and paid each year) n"&amp;" ' has no vehicles available and prevents 20 minutes before the agencies closed. In any case, insurance sends the taxi to the bad address (20km too far, damage, etc.). We remember, we are asked to stay close to the phone and then radio silence. Of course "&amp;"spent 6 p.m. impossible to contact anyone. The quintessence of insurance: pay all year round and have to go on D -Day. To flee absolutely.
Thank you again for your help !")</f>
        <v>Catastrophic insurance. Breakdown car, the convenience store arrives fairly quickly then everything stops, you have to find a garage yourself, the reserved car rental agency (since of course the emergency vehicle option is subscribed and paid each year) n ' has no vehicles available and prevents 20 minutes before the agencies closed. In any case, insurance sends the taxi to the bad address (20km too far, damage, etc.). We remember, we are asked to stay close to the phone and then radio silence. Of course spent 6 p.m. impossible to contact anyone. The quintessence of insurance: pay all year round and have to go on D -Day. To flee absolutely.
Thank you again for your help !</v>
      </c>
    </row>
    <row r="442" ht="15.75" customHeight="1">
      <c r="A442" s="2">
        <v>5.0</v>
      </c>
      <c r="B442" s="2" t="s">
        <v>1333</v>
      </c>
      <c r="C442" s="2" t="s">
        <v>1334</v>
      </c>
      <c r="D442" s="2" t="s">
        <v>37</v>
      </c>
      <c r="E442" s="2" t="s">
        <v>27</v>
      </c>
      <c r="F442" s="2" t="s">
        <v>15</v>
      </c>
      <c r="G442" s="2" t="s">
        <v>1212</v>
      </c>
      <c r="H442" s="2" t="s">
        <v>134</v>
      </c>
      <c r="I442" s="2" t="str">
        <f>IFERROR(__xludf.DUMMYFUNCTION("GOOGLETRANSLATE(C442,""fr"",""en"")"),"Very satisfied with your services and your prices. I will gladly recommend your formula if I have the opportunity.
Continue like this for the greatest satisfaction of your customers
")</f>
        <v>Very satisfied with your services and your prices. I will gladly recommend your formula if I have the opportunity.
Continue like this for the greatest satisfaction of your customers
</v>
      </c>
    </row>
    <row r="443" ht="15.75" customHeight="1">
      <c r="A443" s="2">
        <v>2.0</v>
      </c>
      <c r="B443" s="2" t="s">
        <v>1335</v>
      </c>
      <c r="C443" s="2" t="s">
        <v>1336</v>
      </c>
      <c r="D443" s="2" t="s">
        <v>67</v>
      </c>
      <c r="E443" s="2" t="s">
        <v>68</v>
      </c>
      <c r="F443" s="2" t="s">
        <v>15</v>
      </c>
      <c r="G443" s="2" t="s">
        <v>1337</v>
      </c>
      <c r="H443" s="2" t="s">
        <v>50</v>
      </c>
      <c r="I443" s="2" t="str">
        <f>IFERROR(__xludf.DUMMYFUNCTION("GOOGLETRANSLATE(C443,""fr"",""en"")"),"Insured more than 2 years, I asked several times why my 50% car bonus was not applied to my scooter insurance.
After several reminders, they answer me. In parallel, I note that my insurance has been terminated without my knowledge, without having been no"&amp;"tified and without reason defined in a legal framework (reason invoked: terminated at maturity, but I did not ask for anything and I was up to date with my contributions)
To flee…")</f>
        <v>Insured more than 2 years, I asked several times why my 50% car bonus was not applied to my scooter insurance.
After several reminders, they answer me. In parallel, I note that my insurance has been terminated without my knowledge, without having been notified and without reason defined in a legal framework (reason invoked: terminated at maturity, but I did not ask for anything and I was up to date with my contributions)
To flee…</v>
      </c>
    </row>
    <row r="444" ht="15.75" customHeight="1">
      <c r="A444" s="2">
        <v>1.0</v>
      </c>
      <c r="B444" s="2" t="s">
        <v>1338</v>
      </c>
      <c r="C444" s="2" t="s">
        <v>1339</v>
      </c>
      <c r="D444" s="2" t="s">
        <v>355</v>
      </c>
      <c r="E444" s="2" t="s">
        <v>289</v>
      </c>
      <c r="F444" s="2" t="s">
        <v>15</v>
      </c>
      <c r="G444" s="2" t="s">
        <v>795</v>
      </c>
      <c r="H444" s="2" t="s">
        <v>141</v>
      </c>
      <c r="I444" s="2" t="str">
        <f>IFERROR(__xludf.DUMMYFUNCTION("GOOGLETRANSLATE(C444,""fr"",""en"")"),"Go your way.
Nothing to save at AXA VIE
Ultra -loaded very expensive heavy products, which are not very successful.
Advisors to the 200% hunter profile recruited in generalist trade networks (Norauto, Darty, Carrefour etc ...)
")</f>
        <v>Go your way.
Nothing to save at AXA VIE
Ultra -loaded very expensive heavy products, which are not very successful.
Advisors to the 200% hunter profile recruited in generalist trade networks (Norauto, Darty, Carrefour etc ...)
</v>
      </c>
    </row>
    <row r="445" ht="15.75" customHeight="1">
      <c r="A445" s="2">
        <v>4.0</v>
      </c>
      <c r="B445" s="2" t="s">
        <v>1340</v>
      </c>
      <c r="C445" s="2" t="s">
        <v>1341</v>
      </c>
      <c r="D445" s="2" t="s">
        <v>234</v>
      </c>
      <c r="E445" s="2" t="s">
        <v>21</v>
      </c>
      <c r="F445" s="2" t="s">
        <v>15</v>
      </c>
      <c r="G445" s="2" t="s">
        <v>1342</v>
      </c>
      <c r="H445" s="2" t="s">
        <v>554</v>
      </c>
      <c r="I445" s="2" t="str">
        <f>IFERROR(__xludf.DUMMYFUNCTION("GOOGLETRANSLATE(C445,""fr"",""en"")"),"EXCELLENT VALUE. Excellent advice")</f>
        <v>EXCELLENT VALUE. Excellent advice</v>
      </c>
    </row>
    <row r="446" ht="15.75" customHeight="1">
      <c r="A446" s="2">
        <v>1.0</v>
      </c>
      <c r="B446" s="2" t="s">
        <v>1343</v>
      </c>
      <c r="C446" s="2" t="s">
        <v>1344</v>
      </c>
      <c r="D446" s="2" t="s">
        <v>57</v>
      </c>
      <c r="E446" s="2" t="s">
        <v>27</v>
      </c>
      <c r="F446" s="2" t="s">
        <v>15</v>
      </c>
      <c r="G446" s="2" t="s">
        <v>1345</v>
      </c>
      <c r="H446" s="2" t="s">
        <v>274</v>
      </c>
      <c r="I446" s="2" t="str">
        <f>IFERROR(__xludf.DUMMYFUNCTION("GOOGLETRANSLATE(C446,""fr"",""en"")"),"Insurer who enabled himself to modify my husband's bonus without reason, 2 years of procedure, call once a week, LR, Mail, Mediator, to be able to recover our just information statement and obtain the reimbursement of the sums taken to Tord. I do not reco"&amp;"mmend this insurer at all, which makes the deaf in the event of a problem with an insured.
Run away !
")</f>
        <v>Insurer who enabled himself to modify my husband's bonus without reason, 2 years of procedure, call once a week, LR, Mail, Mediator, to be able to recover our just information statement and obtain the reimbursement of the sums taken to Tord. I do not recommend this insurer at all, which makes the deaf in the event of a problem with an insured.
Run away !
</v>
      </c>
    </row>
    <row r="447" ht="15.75" customHeight="1">
      <c r="A447" s="2">
        <v>2.0</v>
      </c>
      <c r="B447" s="2" t="s">
        <v>1346</v>
      </c>
      <c r="C447" s="2" t="s">
        <v>1347</v>
      </c>
      <c r="D447" s="2" t="s">
        <v>448</v>
      </c>
      <c r="E447" s="2" t="s">
        <v>27</v>
      </c>
      <c r="F447" s="2" t="s">
        <v>15</v>
      </c>
      <c r="G447" s="2" t="s">
        <v>1348</v>
      </c>
      <c r="H447" s="2" t="s">
        <v>101</v>
      </c>
      <c r="I447" s="2" t="str">
        <f>IFERROR(__xludf.DUMMYFUNCTION("GOOGLETRANSLATE(C447,""fr"",""en"")"),"The bad luck of an ice cream, the following year an unhappy reverse and this year a drunk driver without a driving license on the left so unstoppable shock and we are fired (after more than 40 years with up to 6 vehicles + the house and multi -risk privac"&amp;"y and bonus for life ??) in 1 year the maff zape 40 years of good contributor bravo")</f>
        <v>The bad luck of an ice cream, the following year an unhappy reverse and this year a drunk driver without a driving license on the left so unstoppable shock and we are fired (after more than 40 years with up to 6 vehicles + the house and multi -risk privacy and bonus for life ??) in 1 year the maff zape 40 years of good contributor bravo</v>
      </c>
    </row>
    <row r="448" ht="15.75" customHeight="1">
      <c r="A448" s="2">
        <v>5.0</v>
      </c>
      <c r="B448" s="2" t="s">
        <v>1349</v>
      </c>
      <c r="C448" s="2" t="s">
        <v>1350</v>
      </c>
      <c r="D448" s="2" t="s">
        <v>37</v>
      </c>
      <c r="E448" s="2" t="s">
        <v>27</v>
      </c>
      <c r="F448" s="2" t="s">
        <v>15</v>
      </c>
      <c r="G448" s="2" t="s">
        <v>361</v>
      </c>
      <c r="H448" s="2" t="s">
        <v>62</v>
      </c>
      <c r="I448" s="2" t="str">
        <f>IFERROR(__xludf.DUMMYFUNCTION("GOOGLETRANSLATE(C448,""fr"",""en"")"),"Quote that exactly meets my expectations.
The prices suit me perfectly.
The service is simple and very practical for all people according to their level of understanding.")</f>
        <v>Quote that exactly meets my expectations.
The prices suit me perfectly.
The service is simple and very practical for all people according to their level of understanding.</v>
      </c>
    </row>
    <row r="449" ht="15.75" customHeight="1">
      <c r="A449" s="2">
        <v>1.0</v>
      </c>
      <c r="B449" s="2" t="s">
        <v>1351</v>
      </c>
      <c r="C449" s="2" t="s">
        <v>1352</v>
      </c>
      <c r="D449" s="2" t="s">
        <v>490</v>
      </c>
      <c r="E449" s="2" t="s">
        <v>27</v>
      </c>
      <c r="F449" s="2" t="s">
        <v>15</v>
      </c>
      <c r="G449" s="2" t="s">
        <v>1353</v>
      </c>
      <c r="H449" s="2" t="s">
        <v>222</v>
      </c>
      <c r="I449" s="2" t="str">
        <f>IFERROR(__xludf.DUMMYFUNCTION("GOOGLETRANSLATE(C449,""fr"",""en"")"),"Hello, Flight of my vehicle dated 09/10/2019. Request for eccentric supporting documents. Very unpleasant personnel on the condescending limit. And the height at all I was terminated. I do not recommend it strongly and of course not compensated.")</f>
        <v>Hello, Flight of my vehicle dated 09/10/2019. Request for eccentric supporting documents. Very unpleasant personnel on the condescending limit. And the height at all I was terminated. I do not recommend it strongly and of course not compensated.</v>
      </c>
    </row>
    <row r="450" ht="15.75" customHeight="1">
      <c r="A450" s="2">
        <v>5.0</v>
      </c>
      <c r="B450" s="2" t="s">
        <v>1354</v>
      </c>
      <c r="C450" s="2" t="s">
        <v>1355</v>
      </c>
      <c r="D450" s="2" t="s">
        <v>107</v>
      </c>
      <c r="E450" s="2" t="s">
        <v>21</v>
      </c>
      <c r="F450" s="2" t="s">
        <v>15</v>
      </c>
      <c r="G450" s="2" t="s">
        <v>251</v>
      </c>
      <c r="H450" s="2" t="s">
        <v>23</v>
      </c>
      <c r="I450" s="2" t="str">
        <f>IFERROR(__xludf.DUMMYFUNCTION("GOOGLETRANSLATE(C450,""fr"",""en"")"),"Lamia gave me courtesy and kindness all the information I needed I am extremely satisfied with this telephone exchange and very happy so far of my mutual health")</f>
        <v>Lamia gave me courtesy and kindness all the information I needed I am extremely satisfied with this telephone exchange and very happy so far of my mutual health</v>
      </c>
    </row>
    <row r="451" ht="15.75" customHeight="1">
      <c r="A451" s="2">
        <v>4.0</v>
      </c>
      <c r="B451" s="2" t="s">
        <v>1356</v>
      </c>
      <c r="C451" s="2" t="s">
        <v>1357</v>
      </c>
      <c r="D451" s="2" t="s">
        <v>37</v>
      </c>
      <c r="E451" s="2" t="s">
        <v>27</v>
      </c>
      <c r="F451" s="2" t="s">
        <v>15</v>
      </c>
      <c r="G451" s="2" t="s">
        <v>191</v>
      </c>
      <c r="H451" s="2" t="s">
        <v>23</v>
      </c>
      <c r="I451" s="2" t="str">
        <f>IFERROR(__xludf.DUMMYFUNCTION("GOOGLETRANSLATE(C451,""fr"",""en"")"),"I am satisfied with the service and the speed of ensuring a vehicle The prices are affordable and the transfer of simplified file recommended to my loved one")</f>
        <v>I am satisfied with the service and the speed of ensuring a vehicle The prices are affordable and the transfer of simplified file recommended to my loved one</v>
      </c>
    </row>
    <row r="452" ht="15.75" customHeight="1">
      <c r="A452" s="2">
        <v>4.0</v>
      </c>
      <c r="B452" s="2" t="s">
        <v>1358</v>
      </c>
      <c r="C452" s="2" t="s">
        <v>1359</v>
      </c>
      <c r="D452" s="2" t="s">
        <v>37</v>
      </c>
      <c r="E452" s="2" t="s">
        <v>27</v>
      </c>
      <c r="F452" s="2" t="s">
        <v>15</v>
      </c>
      <c r="G452" s="2" t="s">
        <v>740</v>
      </c>
      <c r="H452" s="2" t="s">
        <v>23</v>
      </c>
      <c r="I452" s="2" t="str">
        <f>IFERROR(__xludf.DUMMYFUNCTION("GOOGLETRANSLATE(C452,""fr"",""en"")"),"I am satisfied with the service.
Thank you
Your prices are among the most attractive of the Internet. Continue in this dynamic. Everyone will find their happiness there.
")</f>
        <v>I am satisfied with the service.
Thank you
Your prices are among the most attractive of the Internet. Continue in this dynamic. Everyone will find their happiness there.
</v>
      </c>
    </row>
    <row r="453" ht="15.75" customHeight="1">
      <c r="A453" s="2">
        <v>4.0</v>
      </c>
      <c r="B453" s="2" t="s">
        <v>1360</v>
      </c>
      <c r="C453" s="2" t="s">
        <v>1361</v>
      </c>
      <c r="D453" s="2" t="s">
        <v>26</v>
      </c>
      <c r="E453" s="2" t="s">
        <v>27</v>
      </c>
      <c r="F453" s="2" t="s">
        <v>15</v>
      </c>
      <c r="G453" s="2" t="s">
        <v>757</v>
      </c>
      <c r="H453" s="2" t="s">
        <v>310</v>
      </c>
      <c r="I453" s="2" t="str">
        <f>IFERROR(__xludf.DUMMYFUNCTION("GOOGLETRANSLATE(C453,""fr"",""en"")"),"Speed ​​of registration and subscription. Kindness during telephone interviews. Simplicity of the website and interface of the simple and effective personal space.")</f>
        <v>Speed ​​of registration and subscription. Kindness during telephone interviews. Simplicity of the website and interface of the simple and effective personal space.</v>
      </c>
    </row>
    <row r="454" ht="15.75" customHeight="1">
      <c r="A454" s="2">
        <v>2.0</v>
      </c>
      <c r="B454" s="2" t="s">
        <v>1362</v>
      </c>
      <c r="C454" s="2" t="s">
        <v>1363</v>
      </c>
      <c r="D454" s="2" t="s">
        <v>402</v>
      </c>
      <c r="E454" s="2" t="s">
        <v>68</v>
      </c>
      <c r="F454" s="2" t="s">
        <v>15</v>
      </c>
      <c r="G454" s="2" t="s">
        <v>1364</v>
      </c>
      <c r="H454" s="2" t="s">
        <v>860</v>
      </c>
      <c r="I454" s="2" t="str">
        <f>IFERROR(__xludf.DUMMYFUNCTION("GOOGLETRANSLATE(C454,""fr"",""en"")"),"This insurance company is to be flee like the plague.
The price is certainly interesting, but in the event of a claim you have to do everything yourself.
Below the comments on the shabby treatment of my disaster.
The quality of customer service is de"&amp;"plorable.
The day of the claim - endangering the life of others
In shock after my accident, I did not contact the good telephone service.
Instead of redirecting myself to the teams that take care of the towing, the online person told me that it was n"&amp;"ot his problem and advised me to go home with my rugged vehicle.
Vehicle towing
After finally having managed to organize this, I went on vacation.
When I returned two weeks later, I call to find out where the expertise is.
I am told that nothing was"&amp;" done because no one knows where my vehicle is, which has been towed by the company of your choice.
I am then asked to find him and contact the expert myself.
This is the service for which I pay
Continuation of the file
I have no particular reproach"&amp;"es to make the telephone service which provides clear and precise information within a reasonable time.
Nevertheless, without my reminders, managers who deal with cases do not take any actions on my file, which is however their work.
CURRENT SITUATION"&amp;"
Today, more than three months after my accident, the disaster is still not closed.
On the phone, I am told that the situation is the same as last week because my request was not processed.
Are you finally going to take actions to close this dossier "&amp;"over three months old?")</f>
        <v>This insurance company is to be flee like the plague.
The price is certainly interesting, but in the event of a claim you have to do everything yourself.
Below the comments on the shabby treatment of my disaster.
The quality of customer service is deplorable.
The day of the claim - endangering the life of others
In shock after my accident, I did not contact the good telephone service.
Instead of redirecting myself to the teams that take care of the towing, the online person told me that it was not his problem and advised me to go home with my rugged vehicle.
Vehicle towing
After finally having managed to organize this, I went on vacation.
When I returned two weeks later, I call to find out where the expertise is.
I am told that nothing was done because no one knows where my vehicle is, which has been towed by the company of your choice.
I am then asked to find him and contact the expert myself.
This is the service for which I pay
Continuation of the file
I have no particular reproaches to make the telephone service which provides clear and precise information within a reasonable time.
Nevertheless, without my reminders, managers who deal with cases do not take any actions on my file, which is however their work.
CURRENT SITUATION
Today, more than three months after my accident, the disaster is still not closed.
On the phone, I am told that the situation is the same as last week because my request was not processed.
Are you finally going to take actions to close this dossier over three months old?</v>
      </c>
    </row>
    <row r="455" ht="15.75" customHeight="1">
      <c r="A455" s="2">
        <v>5.0</v>
      </c>
      <c r="B455" s="2" t="s">
        <v>1365</v>
      </c>
      <c r="C455" s="2" t="s">
        <v>1366</v>
      </c>
      <c r="D455" s="2" t="s">
        <v>37</v>
      </c>
      <c r="E455" s="2" t="s">
        <v>27</v>
      </c>
      <c r="F455" s="2" t="s">
        <v>15</v>
      </c>
      <c r="G455" s="2" t="s">
        <v>261</v>
      </c>
      <c r="H455" s="2" t="s">
        <v>23</v>
      </c>
      <c r="I455" s="2" t="str">
        <f>IFERROR(__xludf.DUMMYFUNCTION("GOOGLETRANSLATE(C455,""fr"",""en"")")," Following your request, please find, attached, I inform you that I am satisfied with the service and the price, I recommend direct insurance.")</f>
        <v> Following your request, please find, attached, I inform you that I am satisfied with the service and the price, I recommend direct insurance.</v>
      </c>
    </row>
    <row r="456" ht="15.75" customHeight="1">
      <c r="A456" s="2">
        <v>3.0</v>
      </c>
      <c r="B456" s="2" t="s">
        <v>1367</v>
      </c>
      <c r="C456" s="2" t="s">
        <v>1368</v>
      </c>
      <c r="D456" s="2" t="s">
        <v>368</v>
      </c>
      <c r="E456" s="2" t="s">
        <v>68</v>
      </c>
      <c r="F456" s="2" t="s">
        <v>15</v>
      </c>
      <c r="G456" s="2" t="s">
        <v>1369</v>
      </c>
      <c r="H456" s="2" t="s">
        <v>45</v>
      </c>
      <c r="I456" s="2" t="str">
        <f>IFERROR(__xludf.DUMMYFUNCTION("GOOGLETRANSLATE(C456,""fr"",""en"")"),"I saw several negative notice and it scares me because I stole my motorcycle last Saturday in less than 10 min I sent my file quickly. I hope it will be treated properly and rapid because my motorcycle was my means of transport for work. For the moment I "&amp;"remain neutral I am waiting to see. Because my motorcycle is new out of the dealer at the end of July so I have the balls")</f>
        <v>I saw several negative notice and it scares me because I stole my motorcycle last Saturday in less than 10 min I sent my file quickly. I hope it will be treated properly and rapid because my motorcycle was my means of transport for work. For the moment I remain neutral I am waiting to see. Because my motorcycle is new out of the dealer at the end of July so I have the balls</v>
      </c>
    </row>
    <row r="457" ht="15.75" customHeight="1">
      <c r="A457" s="2">
        <v>5.0</v>
      </c>
      <c r="B457" s="2" t="s">
        <v>1370</v>
      </c>
      <c r="C457" s="2" t="s">
        <v>1371</v>
      </c>
      <c r="D457" s="2" t="s">
        <v>26</v>
      </c>
      <c r="E457" s="2" t="s">
        <v>27</v>
      </c>
      <c r="F457" s="2" t="s">
        <v>15</v>
      </c>
      <c r="G457" s="2" t="s">
        <v>651</v>
      </c>
      <c r="H457" s="2" t="s">
        <v>112</v>
      </c>
      <c r="I457" s="2" t="str">
        <f>IFERROR(__xludf.DUMMYFUNCTION("GOOGLETRANSLATE(C457,""fr"",""en"")"),"Very satisfied, the prices are more than correct, efficiency and speed.
Very good information by phone and fast support, I recommend")</f>
        <v>Very satisfied, the prices are more than correct, efficiency and speed.
Very good information by phone and fast support, I recommend</v>
      </c>
    </row>
    <row r="458" ht="15.75" customHeight="1">
      <c r="A458" s="2">
        <v>1.0</v>
      </c>
      <c r="B458" s="2" t="s">
        <v>1372</v>
      </c>
      <c r="C458" s="2" t="s">
        <v>1373</v>
      </c>
      <c r="D458" s="2" t="s">
        <v>217</v>
      </c>
      <c r="E458" s="2" t="s">
        <v>27</v>
      </c>
      <c r="F458" s="2" t="s">
        <v>15</v>
      </c>
      <c r="G458" s="2" t="s">
        <v>1100</v>
      </c>
      <c r="H458" s="2" t="s">
        <v>34</v>
      </c>
      <c r="I458" s="2" t="str">
        <f>IFERROR(__xludf.DUMMYFUNCTION("GOOGLETRANSLATE(C458,""fr"",""en"")"),"Very expensive (€ 510/year), a good bunch of incapable. On a sinister: I have the video, we see the vehicle that comes into me, with its plate: for them, there is no identified third party and it is up to me to pay the deductible of 250 €. I have 50% bonu"&amp;"s, never accident. They are unable to manage anything ... We are in January the claim took place in October. Go your way, unless you are a pigeon.")</f>
        <v>Very expensive (€ 510/year), a good bunch of incapable. On a sinister: I have the video, we see the vehicle that comes into me, with its plate: for them, there is no identified third party and it is up to me to pay the deductible of 250 €. I have 50% bonus, never accident. They are unable to manage anything ... We are in January the claim took place in October. Go your way, unless you are a pigeon.</v>
      </c>
    </row>
    <row r="459" ht="15.75" customHeight="1">
      <c r="A459" s="2">
        <v>3.0</v>
      </c>
      <c r="B459" s="2" t="s">
        <v>1374</v>
      </c>
      <c r="C459" s="2" t="s">
        <v>1375</v>
      </c>
      <c r="D459" s="2" t="s">
        <v>26</v>
      </c>
      <c r="E459" s="2" t="s">
        <v>27</v>
      </c>
      <c r="F459" s="2" t="s">
        <v>15</v>
      </c>
      <c r="G459" s="2" t="s">
        <v>1376</v>
      </c>
      <c r="H459" s="2" t="s">
        <v>141</v>
      </c>
      <c r="I459" s="2" t="str">
        <f>IFERROR(__xludf.DUMMYFUNCTION("GOOGLETRANSLATE(C459,""fr"",""en"")"),"satisfied with the service. Speed ​​for obtaining the contract. Easy registration and quote.
Clarity of the contract and conditions, easy online signature")</f>
        <v>satisfied with the service. Speed ​​for obtaining the contract. Easy registration and quote.
Clarity of the contract and conditions, easy online signature</v>
      </c>
    </row>
    <row r="460" ht="15.75" customHeight="1">
      <c r="A460" s="2">
        <v>5.0</v>
      </c>
      <c r="B460" s="2" t="s">
        <v>1377</v>
      </c>
      <c r="C460" s="2" t="s">
        <v>1378</v>
      </c>
      <c r="D460" s="2" t="s">
        <v>37</v>
      </c>
      <c r="E460" s="2" t="s">
        <v>27</v>
      </c>
      <c r="F460" s="2" t="s">
        <v>15</v>
      </c>
      <c r="G460" s="2" t="s">
        <v>792</v>
      </c>
      <c r="H460" s="2" t="s">
        <v>88</v>
      </c>
      <c r="I460" s="2" t="str">
        <f>IFERROR(__xludf.DUMMYFUNCTION("GOOGLETRANSLATE(C460,""fr"",""en"")"),"Very correct price level, ultra fast service :)
2nd car insured at home and it's always a pleasure! The salespeople are always available and reachable, it changes from some companys;)!
THANK YOU :)")</f>
        <v>Very correct price level, ultra fast service :)
2nd car insured at home and it's always a pleasure! The salespeople are always available and reachable, it changes from some companys;)!
THANK YOU :)</v>
      </c>
    </row>
    <row r="461" ht="15.75" customHeight="1">
      <c r="A461" s="2">
        <v>4.0</v>
      </c>
      <c r="B461" s="2" t="s">
        <v>1379</v>
      </c>
      <c r="C461" s="2" t="s">
        <v>1380</v>
      </c>
      <c r="D461" s="2" t="s">
        <v>32</v>
      </c>
      <c r="E461" s="2" t="s">
        <v>21</v>
      </c>
      <c r="F461" s="2" t="s">
        <v>15</v>
      </c>
      <c r="G461" s="2" t="s">
        <v>544</v>
      </c>
      <c r="H461" s="2" t="s">
        <v>310</v>
      </c>
      <c r="I461" s="2" t="str">
        <f>IFERROR(__xludf.DUMMYFUNCTION("GOOGLETRANSLATE(C461,""fr"",""en"")"),"I am very satisfied with my mutual. Both in telephone intelligence and by post.
My contract covers the non -refunded share of social security.")</f>
        <v>I am very satisfied with my mutual. Both in telephone intelligence and by post.
My contract covers the non -refunded share of social security.</v>
      </c>
    </row>
    <row r="462" ht="15.75" customHeight="1">
      <c r="A462" s="2">
        <v>5.0</v>
      </c>
      <c r="B462" s="2" t="s">
        <v>1381</v>
      </c>
      <c r="C462" s="2" t="s">
        <v>1382</v>
      </c>
      <c r="D462" s="2" t="s">
        <v>37</v>
      </c>
      <c r="E462" s="2" t="s">
        <v>27</v>
      </c>
      <c r="F462" s="2" t="s">
        <v>15</v>
      </c>
      <c r="G462" s="2" t="s">
        <v>743</v>
      </c>
      <c r="H462" s="2" t="s">
        <v>228</v>
      </c>
      <c r="I462" s="2" t="str">
        <f>IFERROR(__xludf.DUMMYFUNCTION("GOOGLETRANSLATE(C462,""fr"",""en"")"),"I am satisfied with the customer service hyper fast quote is super quickly and if problem with car fast reaction team at the top nothing to complain about it")</f>
        <v>I am satisfied with the customer service hyper fast quote is super quickly and if problem with car fast reaction team at the top nothing to complain about it</v>
      </c>
    </row>
    <row r="463" ht="15.75" customHeight="1">
      <c r="A463" s="2">
        <v>3.0</v>
      </c>
      <c r="B463" s="2" t="s">
        <v>1383</v>
      </c>
      <c r="C463" s="2" t="s">
        <v>1384</v>
      </c>
      <c r="D463" s="2" t="s">
        <v>26</v>
      </c>
      <c r="E463" s="2" t="s">
        <v>27</v>
      </c>
      <c r="F463" s="2" t="s">
        <v>15</v>
      </c>
      <c r="G463" s="2" t="s">
        <v>1301</v>
      </c>
      <c r="H463" s="2" t="s">
        <v>62</v>
      </c>
      <c r="I463" s="2" t="str">
        <f>IFERROR(__xludf.DUMMYFUNCTION("GOOGLETRANSLATE(C463,""fr"",""en"")"),"I am satisfied with my contract. I hope to remove the penalty soon.
I remain at your disposal for any information
Mail: brunel.faustin@gmail.com")</f>
        <v>I am satisfied with my contract. I hope to remove the penalty soon.
I remain at your disposal for any information
Mail: brunel.faustin@gmail.com</v>
      </c>
    </row>
    <row r="464" ht="15.75" customHeight="1">
      <c r="A464" s="2">
        <v>3.0</v>
      </c>
      <c r="B464" s="2" t="s">
        <v>1385</v>
      </c>
      <c r="C464" s="2" t="s">
        <v>1386</v>
      </c>
      <c r="D464" s="2" t="s">
        <v>26</v>
      </c>
      <c r="E464" s="2" t="s">
        <v>27</v>
      </c>
      <c r="F464" s="2" t="s">
        <v>15</v>
      </c>
      <c r="G464" s="2" t="s">
        <v>1063</v>
      </c>
      <c r="H464" s="2" t="s">
        <v>141</v>
      </c>
      <c r="I464" s="2" t="str">
        <f>IFERROR(__xludf.DUMMYFUNCTION("GOOGLETRANSLATE(C464,""fr"",""en"")"),"Rather satisfied with the services at the levels of the prices and the services offered by your company.
Delighted with your telephone reception. Thank you very much")</f>
        <v>Rather satisfied with the services at the levels of the prices and the services offered by your company.
Delighted with your telephone reception. Thank you very much</v>
      </c>
    </row>
    <row r="465" ht="15.75" customHeight="1">
      <c r="A465" s="2">
        <v>1.0</v>
      </c>
      <c r="B465" s="2" t="s">
        <v>1387</v>
      </c>
      <c r="C465" s="2" t="s">
        <v>1388</v>
      </c>
      <c r="D465" s="2" t="s">
        <v>355</v>
      </c>
      <c r="E465" s="2" t="s">
        <v>27</v>
      </c>
      <c r="F465" s="2" t="s">
        <v>15</v>
      </c>
      <c r="G465" s="2" t="s">
        <v>1389</v>
      </c>
      <c r="H465" s="2" t="s">
        <v>145</v>
      </c>
      <c r="I465" s="2" t="str">
        <f>IFERROR(__xludf.DUMMYFUNCTION("GOOGLETRANSLATE(C465,""fr"",""en"")"),"Pitiful, refuses second driver my concubine, refuses my motorcycle bonuses. Very expensive, unpleasant, Nation Paris agency to avoid. Ashamed at this price.")</f>
        <v>Pitiful, refuses second driver my concubine, refuses my motorcycle bonuses. Very expensive, unpleasant, Nation Paris agency to avoid. Ashamed at this price.</v>
      </c>
    </row>
    <row r="466" ht="15.75" customHeight="1">
      <c r="A466" s="2">
        <v>1.0</v>
      </c>
      <c r="B466" s="2" t="s">
        <v>1390</v>
      </c>
      <c r="C466" s="2" t="s">
        <v>1391</v>
      </c>
      <c r="D466" s="2" t="s">
        <v>490</v>
      </c>
      <c r="E466" s="2" t="s">
        <v>27</v>
      </c>
      <c r="F466" s="2" t="s">
        <v>15</v>
      </c>
      <c r="G466" s="2" t="s">
        <v>1392</v>
      </c>
      <c r="H466" s="2" t="s">
        <v>121</v>
      </c>
      <c r="I466" s="2" t="str">
        <f>IFERROR(__xludf.DUMMYFUNCTION("GOOGLETRANSLATE(C466,""fr"",""en"")"),"Hello frankly do not make sure at Matmut no service, it's been 10 years that I am at home no problem with my zero cars concern housing, he never made a commercial gesture level reception zero on asnières a coldness I have never seen his world turns upside"&amp;" down we are a customer he is talking to you badly I am on Asnières sur Seine, I had a problem with my account for the sampling I just explain to them to redo the discount he refuses me he asks for me to pay all of 6 months of insurance, I understood noth"&amp;"ing 10 years of seniority he treats my died rat I advise you not to make sure you at Matmut, my mother was at Macif for 30 years nothing to say at the top at reception And on the phone I'm not there to advertise but now I will make sure at Macif, if you w"&amp;"ant to contact me Mtmut no worries")</f>
        <v>Hello frankly do not make sure at Matmut no service, it's been 10 years that I am at home no problem with my zero cars concern housing, he never made a commercial gesture level reception zero on asnières a coldness I have never seen his world turns upside down we are a customer he is talking to you badly I am on Asnières sur Seine, I had a problem with my account for the sampling I just explain to them to redo the discount he refuses me he asks for me to pay all of 6 months of insurance, I understood nothing 10 years of seniority he treats my died rat I advise you not to make sure you at Matmut, my mother was at Macif for 30 years nothing to say at the top at reception And on the phone I'm not there to advertise but now I will make sure at Macif, if you want to contact me Mtmut no worries</v>
      </c>
    </row>
    <row r="467" ht="15.75" customHeight="1">
      <c r="A467" s="2">
        <v>3.0</v>
      </c>
      <c r="B467" s="2" t="s">
        <v>1393</v>
      </c>
      <c r="C467" s="2" t="s">
        <v>1394</v>
      </c>
      <c r="D467" s="2" t="s">
        <v>264</v>
      </c>
      <c r="E467" s="2" t="s">
        <v>27</v>
      </c>
      <c r="F467" s="2" t="s">
        <v>15</v>
      </c>
      <c r="G467" s="2" t="s">
        <v>1395</v>
      </c>
      <c r="H467" s="2" t="s">
        <v>222</v>
      </c>
      <c r="I467" s="2" t="str">
        <f>IFERROR(__xludf.DUMMYFUNCTION("GOOGLETRANSLATE(C467,""fr"",""en"")"),"I DE CONSONSEILS IS Insurers They answer you like robots they don't care about you the essential for them is to take costs they are just there for that. No constructive dialogue I do not find normal that we can leave insurers like that which benefits from"&amp;" people. I regret not having looked at the opinions before I paid for the year and as I had problems with papers. ..Therangs me and reimburse me a junk because lots of costs that hold you. IDADNIMBIBLE !!! Yet I called them several times to explain to the"&amp;"m, it's not their problem.")</f>
        <v>I DE CONSONSEILS IS Insurers They answer you like robots they don't care about you the essential for them is to take costs they are just there for that. No constructive dialogue I do not find normal that we can leave insurers like that which benefits from people. I regret not having looked at the opinions before I paid for the year and as I had problems with papers. ..Therangs me and reimburse me a junk because lots of costs that hold you. IDADNIMBIBLE !!! Yet I called them several times to explain to them, it's not their problem.</v>
      </c>
    </row>
    <row r="468" ht="15.75" customHeight="1">
      <c r="A468" s="2">
        <v>1.0</v>
      </c>
      <c r="B468" s="2" t="s">
        <v>1396</v>
      </c>
      <c r="C468" s="2" t="s">
        <v>1397</v>
      </c>
      <c r="D468" s="2" t="s">
        <v>37</v>
      </c>
      <c r="E468" s="2" t="s">
        <v>27</v>
      </c>
      <c r="F468" s="2" t="s">
        <v>15</v>
      </c>
      <c r="G468" s="2" t="s">
        <v>1290</v>
      </c>
      <c r="H468" s="2" t="s">
        <v>188</v>
      </c>
      <c r="I468" s="2" t="str">
        <f>IFERROR(__xludf.DUMMYFUNCTION("GOOGLETRANSLATE(C468,""fr"",""en"")"),"Prices are a bit expensive for a vehicle parked in an enclosed garden with gate.
Having only 5 fiscal and 105hp ... I will surely turn to another insurers")</f>
        <v>Prices are a bit expensive for a vehicle parked in an enclosed garden with gate.
Having only 5 fiscal and 105hp ... I will surely turn to another insurers</v>
      </c>
    </row>
    <row r="469" ht="15.75" customHeight="1">
      <c r="A469" s="2">
        <v>1.0</v>
      </c>
      <c r="B469" s="2" t="s">
        <v>1398</v>
      </c>
      <c r="C469" s="2" t="s">
        <v>1399</v>
      </c>
      <c r="D469" s="2" t="s">
        <v>448</v>
      </c>
      <c r="E469" s="2" t="s">
        <v>43</v>
      </c>
      <c r="F469" s="2" t="s">
        <v>15</v>
      </c>
      <c r="G469" s="2" t="s">
        <v>1400</v>
      </c>
      <c r="H469" s="2" t="s">
        <v>39</v>
      </c>
      <c r="I469" s="2" t="str">
        <f>IFERROR(__xludf.DUMMYFUNCTION("GOOGLETRANSLATE(C469,""fr"",""en"")"),"No but we do not guarantee ... This is what I hear every time I need this insurer. Even with the highest contracts.")</f>
        <v>No but we do not guarantee ... This is what I hear every time I need this insurer. Even with the highest contracts.</v>
      </c>
    </row>
    <row r="470" ht="15.75" customHeight="1">
      <c r="A470" s="2">
        <v>1.0</v>
      </c>
      <c r="B470" s="2" t="s">
        <v>1401</v>
      </c>
      <c r="C470" s="2" t="s">
        <v>1402</v>
      </c>
      <c r="D470" s="2" t="s">
        <v>437</v>
      </c>
      <c r="E470" s="2" t="s">
        <v>43</v>
      </c>
      <c r="F470" s="2" t="s">
        <v>15</v>
      </c>
      <c r="G470" s="2" t="s">
        <v>1403</v>
      </c>
      <c r="H470" s="2" t="s">
        <v>29</v>
      </c>
      <c r="I470" s="2" t="str">
        <f>IFERROR(__xludf.DUMMYFUNCTION("GOOGLETRANSLATE(C470,""fr"",""en"")"),"Each year the Crédit Mutuel increases the rate of my home insurance. The law allows it on condition to notify me this increase 2 months in advance in order to allow me to terminate my contract.
Except that each year, Crédit Mutuel does not send me any no"&amp;"tification.
No post. The height is that I every year the Crédit Mutuel affirms the opposite. He claims that a letter was sent by post and that it did not reach me. I have lived in my accommodation for 22 years and I receive all my letters. I have never l"&amp;"ost anything except these opinions of pricing for mutual credit once a year. Weird ...
Of course the credit does not provide any elements to prove these imaginary shipments: no mail reference and even less a postal tracking number.
Each year I complain "&amp;"and I am released the same explanation.
Another argument just as bogus as Crédit Mutuel uses to prove that I have been notified of these increases, it is the fact that a document was filed in my customer area to warn new prices in the regulatory time.
E"&amp;"xcept that I never receive any notification by email to get me the provision of the document in question. So every year I only realize the increase too late.
What is strange is that I systematically receive such notifications as soon as a document concer"&amp;"ning my bank account is deposited in my customer area but never when the famous documents which announce an increase in my insurance are deposited there. Re bizarre ...
When I explain this to Crédit Mutuel, he pretends not to see the difference between f"&amp;"iling a document in a customer area and sending a notification. It is however this principle that all service providers use for the Internet, telephony, and even the Bank of Crédit Mutuel (!)
It is most seriously in the world that I am invited ""to consu"&amp;"lt my personal space regularly"" ...
I left the best for the end: when I connect to my customer area, it is impossible, I say impossible to find the document from the different menus and sections that are available. I tried everything and I can't do it.
"&amp;"
On this point, Crédit Mutuel never answered me. He pretends not to understand the question. Anyway, a paper letter was also sent by post ...
After dozens of emails exchanged with my advisor, my conclusion is that this is no longer a problem of technical"&amp;" or organizational failure at the level of the home insurance of Crédit Mutuel but goes beyond that. The image that Crédit Mutuel gives is that of a poorly organized company, with unheeded processes, not in accordance with the legislation. A company in wh"&amp;"ich customer advisers do not have correct and verified information and have no room for maneuver to find or validate them. These poor advisers find themselves obliged to give false, incomplete explanations and alongside the plaque to their customers. Ther"&amp;"e is no point in insisting, the customer is immediately considered to be at fault and in bad faith. You will have exactly the same response each year so incongruous and especially not in accordance with the law be them.")</f>
        <v>Each year the Crédit Mutuel increases the rate of my home insurance. The law allows it on condition to notify me this increase 2 months in advance in order to allow me to terminate my contract.
Except that each year, Crédit Mutuel does not send me any notification.
No post. The height is that I every year the Crédit Mutuel affirms the opposite. He claims that a letter was sent by post and that it did not reach me. I have lived in my accommodation for 22 years and I receive all my letters. I have never lost anything except these opinions of pricing for mutual credit once a year. Weird ...
Of course the credit does not provide any elements to prove these imaginary shipments: no mail reference and even less a postal tracking number.
Each year I complain and I am released the same explanation.
Another argument just as bogus as Crédit Mutuel uses to prove that I have been notified of these increases, it is the fact that a document was filed in my customer area to warn new prices in the regulatory time.
Except that I never receive any notification by email to get me the provision of the document in question. So every year I only realize the increase too late.
What is strange is that I systematically receive such notifications as soon as a document concerning my bank account is deposited in my customer area but never when the famous documents which announce an increase in my insurance are deposited there. Re bizarre ...
When I explain this to Crédit Mutuel, he pretends not to see the difference between filing a document in a customer area and sending a notification. It is however this principle that all service providers use for the Internet, telephony, and even the Bank of Crédit Mutuel (!)
It is most seriously in the world that I am invited "to consult my personal space regularly" ...
I left the best for the end: when I connect to my customer area, it is impossible, I say impossible to find the document from the different menus and sections that are available. I tried everything and I can't do it.
On this point, Crédit Mutuel never answered me. He pretends not to understand the question. Anyway, a paper letter was also sent by post ...
After dozens of emails exchanged with my advisor, my conclusion is that this is no longer a problem of technical or organizational failure at the level of the home insurance of Crédit Mutuel but goes beyond that. The image that Crédit Mutuel gives is that of a poorly organized company, with unheeded processes, not in accordance with the legislation. A company in which customer advisers do not have correct and verified information and have no room for maneuver to find or validate them. These poor advisers find themselves obliged to give false, incomplete explanations and alongside the plaque to their customers. There is no point in insisting, the customer is immediately considered to be at fault and in bad faith. You will have exactly the same response each year so incongruous and especially not in accordance with the law be them.</v>
      </c>
    </row>
    <row r="471" ht="15.75" customHeight="1">
      <c r="A471" s="2">
        <v>4.0</v>
      </c>
      <c r="B471" s="2" t="s">
        <v>1404</v>
      </c>
      <c r="C471" s="2" t="s">
        <v>1405</v>
      </c>
      <c r="D471" s="2" t="s">
        <v>26</v>
      </c>
      <c r="E471" s="2" t="s">
        <v>27</v>
      </c>
      <c r="F471" s="2" t="s">
        <v>15</v>
      </c>
      <c r="G471" s="2" t="s">
        <v>1406</v>
      </c>
      <c r="H471" s="2" t="s">
        <v>23</v>
      </c>
      <c r="I471" s="2" t="str">
        <f>IFERROR(__xludf.DUMMYFUNCTION("GOOGLETRANSLATE(C471,""fr"",""en"")"),"I am satisfied with the very well placed price I would recommend your site.
I have no doubt that other service will be of the same quality
Regards Mr Eustache")</f>
        <v>I am satisfied with the very well placed price I would recommend your site.
I have no doubt that other service will be of the same quality
Regards Mr Eustache</v>
      </c>
    </row>
    <row r="472" ht="15.75" customHeight="1">
      <c r="A472" s="2">
        <v>5.0</v>
      </c>
      <c r="B472" s="2" t="s">
        <v>1407</v>
      </c>
      <c r="C472" s="2" t="s">
        <v>1408</v>
      </c>
      <c r="D472" s="2" t="s">
        <v>37</v>
      </c>
      <c r="E472" s="2" t="s">
        <v>27</v>
      </c>
      <c r="F472" s="2" t="s">
        <v>15</v>
      </c>
      <c r="G472" s="2" t="s">
        <v>1409</v>
      </c>
      <c r="H472" s="2" t="s">
        <v>62</v>
      </c>
      <c r="I472" s="2" t="str">
        <f>IFERROR(__xludf.DUMMYFUNCTION("GOOGLETRANSLATE(C472,""fr"",""en"")"),"I am satisfied with the product sold, cheap price,
I highly recommend this insurance. It's not expensive and very good quality price I hope to have good service")</f>
        <v>I am satisfied with the product sold, cheap price,
I highly recommend this insurance. It's not expensive and very good quality price I hope to have good service</v>
      </c>
    </row>
    <row r="473" ht="15.75" customHeight="1">
      <c r="A473" s="2">
        <v>5.0</v>
      </c>
      <c r="B473" s="2" t="s">
        <v>1410</v>
      </c>
      <c r="C473" s="2" t="s">
        <v>1411</v>
      </c>
      <c r="D473" s="2" t="s">
        <v>26</v>
      </c>
      <c r="E473" s="2" t="s">
        <v>27</v>
      </c>
      <c r="F473" s="2" t="s">
        <v>15</v>
      </c>
      <c r="G473" s="2" t="s">
        <v>112</v>
      </c>
      <c r="H473" s="2" t="s">
        <v>112</v>
      </c>
      <c r="I473" s="2" t="str">
        <f>IFERROR(__xludf.DUMMYFUNCTION("GOOGLETRANSLATE(C473,""fr"",""en"")"),"Very pleasant, human and caring person on the phone.
An ultra-fast service since I needed insurance for the same day.
Really affordable prices.")</f>
        <v>Very pleasant, human and caring person on the phone.
An ultra-fast service since I needed insurance for the same day.
Really affordable prices.</v>
      </c>
    </row>
    <row r="474" ht="15.75" customHeight="1">
      <c r="A474" s="2">
        <v>4.0</v>
      </c>
      <c r="B474" s="2" t="s">
        <v>1412</v>
      </c>
      <c r="C474" s="2" t="s">
        <v>1413</v>
      </c>
      <c r="D474" s="2" t="s">
        <v>37</v>
      </c>
      <c r="E474" s="2" t="s">
        <v>27</v>
      </c>
      <c r="F474" s="2" t="s">
        <v>15</v>
      </c>
      <c r="G474" s="2" t="s">
        <v>731</v>
      </c>
      <c r="H474" s="2" t="s">
        <v>29</v>
      </c>
      <c r="I474" s="2" t="str">
        <f>IFERROR(__xludf.DUMMYFUNCTION("GOOGLETRANSLATE(C474,""fr"",""en"")"),"I am satisfied with the price, it remains to see how and your service.
Simple to register. I will recommend this service to my loved ones.
I wish to make my son adhere.")</f>
        <v>I am satisfied with the price, it remains to see how and your service.
Simple to register. I will recommend this service to my loved ones.
I wish to make my son adhere.</v>
      </c>
    </row>
    <row r="475" ht="15.75" customHeight="1">
      <c r="A475" s="2">
        <v>1.0</v>
      </c>
      <c r="B475" s="2" t="s">
        <v>1414</v>
      </c>
      <c r="C475" s="2" t="s">
        <v>1415</v>
      </c>
      <c r="D475" s="2" t="s">
        <v>57</v>
      </c>
      <c r="E475" s="2" t="s">
        <v>27</v>
      </c>
      <c r="F475" s="2" t="s">
        <v>15</v>
      </c>
      <c r="G475" s="2" t="s">
        <v>1416</v>
      </c>
      <c r="H475" s="2" t="s">
        <v>134</v>
      </c>
      <c r="I475" s="2" t="str">
        <f>IFERROR(__xludf.DUMMYFUNCTION("GOOGLETRANSLATE(C475,""fr"",""en"")"),"Since March 2020 we have been trying to make it understand a: ""Credit Agricole Assurance Pacifica"" 94 rue Bergson 42100 Saint Etienne that our caravan insurance is terminated on February 19, 2020 but despite the documents that we have provided (Pacifica"&amp;" did not find the originals) The samples have continued and icing on the Pacifica cake puts a covering office on our backs because we have a litigation of € 74 ???????????????
When I phone I feel like I was taken for a remaining
The follow -up of the fi"&amp;"les seems nebulous and random")</f>
        <v>Since March 2020 we have been trying to make it understand a: "Credit Agricole Assurance Pacifica" 94 rue Bergson 42100 Saint Etienne that our caravan insurance is terminated on February 19, 2020 but despite the documents that we have provided (Pacifica did not find the originals) The samples have continued and icing on the Pacifica cake puts a covering office on our backs because we have a litigation of € 74 ???????????????
When I phone I feel like I was taken for a remaining
The follow -up of the files seems nebulous and random</v>
      </c>
    </row>
    <row r="476" ht="15.75" customHeight="1">
      <c r="A476" s="2">
        <v>5.0</v>
      </c>
      <c r="B476" s="2" t="s">
        <v>1417</v>
      </c>
      <c r="C476" s="2" t="s">
        <v>1418</v>
      </c>
      <c r="D476" s="2" t="s">
        <v>26</v>
      </c>
      <c r="E476" s="2" t="s">
        <v>27</v>
      </c>
      <c r="F476" s="2" t="s">
        <v>15</v>
      </c>
      <c r="G476" s="2" t="s">
        <v>1159</v>
      </c>
      <c r="H476" s="2" t="s">
        <v>182</v>
      </c>
      <c r="I476" s="2" t="str">
        <f>IFERROR(__xludf.DUMMYFUNCTION("GOOGLETRANSLATE(C476,""fr"",""en"")"),"I am satisfied with the olive assurance but I did not have a recent disaster to judge. I will therefore only speak of administrative procedures.
The most of the olive tree: the prices proposed is undeniable, the speed of receiving a offers, the ease of r"&amp;"eciprocal sending of the first documents. I received the day from my decision my provisional green card for two months.
The less than the olive tree: too bad for people insured at the olive tree for all new contracts they must refour all the documents (I"&amp;" found it painful). Too bad also you have to pay two months ahead of the signature depending on the vehicle and the moment it can make a large sum. A fractionation over the year of this sum would be welcome I think.
Otherwise nothing to complain about: f"&amp;"ast, serious, effective on the administrative system")</f>
        <v>I am satisfied with the olive assurance but I did not have a recent disaster to judge. I will therefore only speak of administrative procedures.
The most of the olive tree: the prices proposed is undeniable, the speed of receiving a offers, the ease of reciprocal sending of the first documents. I received the day from my decision my provisional green card for two months.
The less than the olive tree: too bad for people insured at the olive tree for all new contracts they must refour all the documents (I found it painful). Too bad also you have to pay two months ahead of the signature depending on the vehicle and the moment it can make a large sum. A fractionation over the year of this sum would be welcome I think.
Otherwise nothing to complain about: fast, serious, effective on the administrative system</v>
      </c>
    </row>
    <row r="477" ht="15.75" customHeight="1">
      <c r="A477" s="2">
        <v>1.0</v>
      </c>
      <c r="B477" s="2" t="s">
        <v>1419</v>
      </c>
      <c r="C477" s="2" t="s">
        <v>1420</v>
      </c>
      <c r="D477" s="2" t="s">
        <v>217</v>
      </c>
      <c r="E477" s="2" t="s">
        <v>27</v>
      </c>
      <c r="F477" s="2" t="s">
        <v>15</v>
      </c>
      <c r="G477" s="2" t="s">
        <v>1421</v>
      </c>
      <c r="H477" s="2" t="s">
        <v>50</v>
      </c>
      <c r="I477" s="2" t="str">
        <f>IFERROR(__xludf.DUMMYFUNCTION("GOOGLETRANSLATE(C477,""fr"",""en"")"),"Very difficult to joint, not the same speech from one hostess to another, the prices do not consider what was agreed, no recall when leaving the contact details on messaging")</f>
        <v>Very difficult to joint, not the same speech from one hostess to another, the prices do not consider what was agreed, no recall when leaving the contact details on messaging</v>
      </c>
    </row>
    <row r="478" ht="15.75" customHeight="1">
      <c r="A478" s="2">
        <v>1.0</v>
      </c>
      <c r="B478" s="2" t="s">
        <v>1422</v>
      </c>
      <c r="C478" s="2" t="s">
        <v>1423</v>
      </c>
      <c r="D478" s="2" t="s">
        <v>48</v>
      </c>
      <c r="E478" s="2" t="s">
        <v>21</v>
      </c>
      <c r="F478" s="2" t="s">
        <v>15</v>
      </c>
      <c r="G478" s="2" t="s">
        <v>33</v>
      </c>
      <c r="H478" s="2" t="s">
        <v>34</v>
      </c>
      <c r="I478" s="2" t="str">
        <f>IFERROR(__xludf.DUMMYFUNCTION("GOOGLETRANSLATE(C478,""fr"",""en"")"),"Too bad not to be able to put zero as a note! My husband and I have been at this mutual insurance company for 10 years (group contract when my husband was retired). At first it worked rather normally, but for 4 years it has deteriorated enormously. I have"&amp;" practically no reimbursement for 1 year, despite my many calls, emails. Never the same person and in addition to the very long deadlines to have an answer. We just tell me ""I go up the information"". I am told that there is no remote transmission with t"&amp;"he CPAM. I have already sent them law certificates 3 times in 2020 and the problem is still relevant. I ask to speak to a manager, there is none ... Yesterday, I was told that I was unknown to the CPAM file, which is absolutely false. So, I contacted the "&amp;"CPAM again yesterday. Answer this day (and not 2 months later as with Harmonie Mutuelle), it is a mutual harmony to activate the remote transmission, only they can intervene.
In short, Harmonie Mutuelle is to be fleeing absolutely. I await my reimburseme"&amp;"nts and after of course I leave them !!! If you have good feedback from other mutuals, please communicate.")</f>
        <v>Too bad not to be able to put zero as a note! My husband and I have been at this mutual insurance company for 10 years (group contract when my husband was retired). At first it worked rather normally, but for 4 years it has deteriorated enormously. I have practically no reimbursement for 1 year, despite my many calls, emails. Never the same person and in addition to the very long deadlines to have an answer. We just tell me "I go up the information". I am told that there is no remote transmission with the CPAM. I have already sent them law certificates 3 times in 2020 and the problem is still relevant. I ask to speak to a manager, there is none ... Yesterday, I was told that I was unknown to the CPAM file, which is absolutely false. So, I contacted the CPAM again yesterday. Answer this day (and not 2 months later as with Harmonie Mutuelle), it is a mutual harmony to activate the remote transmission, only they can intervene.
In short, Harmonie Mutuelle is to be fleeing absolutely. I await my reimbursements and after of course I leave them !!! If you have good feedback from other mutuals, please communicate.</v>
      </c>
    </row>
    <row r="479" ht="15.75" customHeight="1">
      <c r="A479" s="2">
        <v>2.0</v>
      </c>
      <c r="B479" s="2" t="s">
        <v>1424</v>
      </c>
      <c r="C479" s="2" t="s">
        <v>1425</v>
      </c>
      <c r="D479" s="2" t="s">
        <v>26</v>
      </c>
      <c r="E479" s="2" t="s">
        <v>27</v>
      </c>
      <c r="F479" s="2" t="s">
        <v>15</v>
      </c>
      <c r="G479" s="2" t="s">
        <v>1426</v>
      </c>
      <c r="H479" s="2" t="s">
        <v>170</v>
      </c>
      <c r="I479" s="2" t="str">
        <f>IFERROR(__xludf.DUMMYFUNCTION("GOOGLETRANSLATE(C479,""fr"",""en"")"),"Go your way.
Contract signed in February 2017 to date I still do not have a green card.
The olive tree pretext of missing documents (permit photocopy, gray card ...) at each email is a different document. Of course I have already sent them everyone in t"&amp;"riple to the munimum by mail and by email.
New of the day I am asked for 215 euros more to opt for my final green card. But what reason?
In short, he is backing up the deadline when I have paid since February and I still do not know if my vehicle is ins"&amp;"ured.
Forget this insurer.
")</f>
        <v>Go your way.
Contract signed in February 2017 to date I still do not have a green card.
The olive tree pretext of missing documents (permit photocopy, gray card ...) at each email is a different document. Of course I have already sent them everyone in triple to the munimum by mail and by email.
New of the day I am asked for 215 euros more to opt for my final green card. But what reason?
In short, he is backing up the deadline when I have paid since February and I still do not know if my vehicle is insured.
Forget this insurer.
</v>
      </c>
    </row>
    <row r="480" ht="15.75" customHeight="1">
      <c r="A480" s="2">
        <v>1.0</v>
      </c>
      <c r="B480" s="2" t="s">
        <v>1427</v>
      </c>
      <c r="C480" s="2" t="s">
        <v>1428</v>
      </c>
      <c r="D480" s="2" t="s">
        <v>99</v>
      </c>
      <c r="E480" s="2" t="s">
        <v>27</v>
      </c>
      <c r="F480" s="2" t="s">
        <v>15</v>
      </c>
      <c r="G480" s="2" t="s">
        <v>227</v>
      </c>
      <c r="H480" s="2" t="s">
        <v>228</v>
      </c>
      <c r="I480" s="2" t="str">
        <f>IFERROR(__xludf.DUMMYFUNCTION("GOOGLETRANSLATE(C480,""fr"",""en"")"),"To fleerrrrrrrrrrr !!!!! Since subscription on 30/10/2020 than problems. Sending the documents several times, file goes from an advisor to another without follow -up. Interminable waiting on the phone to be able to attach only a worker TV that will transm"&amp;"it the file to the service concerned. Total information. AI paid insurance and 3 months after still no certificate or thumbnail .......... ...")</f>
        <v>To fleerrrrrrrrrrr !!!!! Since subscription on 30/10/2020 than problems. Sending the documents several times, file goes from an advisor to another without follow -up. Interminable waiting on the phone to be able to attach only a worker TV that will transmit the file to the service concerned. Total information. AI paid insurance and 3 months after still no certificate or thumbnail .......... ...</v>
      </c>
    </row>
    <row r="481" ht="15.75" customHeight="1">
      <c r="A481" s="2">
        <v>1.0</v>
      </c>
      <c r="B481" s="2" t="s">
        <v>1429</v>
      </c>
      <c r="C481" s="2" t="s">
        <v>1430</v>
      </c>
      <c r="D481" s="2" t="s">
        <v>78</v>
      </c>
      <c r="E481" s="2" t="s">
        <v>43</v>
      </c>
      <c r="F481" s="2" t="s">
        <v>15</v>
      </c>
      <c r="G481" s="2" t="s">
        <v>1431</v>
      </c>
      <c r="H481" s="2" t="s">
        <v>1432</v>
      </c>
      <c r="I481" s="2" t="str">
        <f>IFERROR(__xludf.DUMMYFUNCTION("GOOGLETRANSLATE(C481,""fr"",""en"")"),"I do not recover Groupama, attractive prices in departure, then every year increase of 10 percent., average guarantee, and the very unpleasant staff ... the worst insurance that I did")</f>
        <v>I do not recover Groupama, attractive prices in departure, then every year increase of 10 percent., average guarantee, and the very unpleasant staff ... the worst insurance that I did</v>
      </c>
    </row>
    <row r="482" ht="15.75" customHeight="1">
      <c r="A482" s="2">
        <v>4.0</v>
      </c>
      <c r="B482" s="2" t="s">
        <v>1433</v>
      </c>
      <c r="C482" s="2" t="s">
        <v>1434</v>
      </c>
      <c r="D482" s="2" t="s">
        <v>37</v>
      </c>
      <c r="E482" s="2" t="s">
        <v>27</v>
      </c>
      <c r="F482" s="2" t="s">
        <v>15</v>
      </c>
      <c r="G482" s="2" t="s">
        <v>1435</v>
      </c>
      <c r="H482" s="2" t="s">
        <v>23</v>
      </c>
      <c r="I482" s="2" t="str">
        <f>IFERROR(__xludf.DUMMYFUNCTION("GOOGLETRANSLATE(C482,""fr"",""en"")"),"Simple and practical. I just make a request for the implementation of my contract and I find that the procedure is quite simple. Direct Insurance takes care of the various steps")</f>
        <v>Simple and practical. I just make a request for the implementation of my contract and I find that the procedure is quite simple. Direct Insurance takes care of the various steps</v>
      </c>
    </row>
    <row r="483" ht="15.75" customHeight="1">
      <c r="A483" s="2">
        <v>4.0</v>
      </c>
      <c r="B483" s="2" t="s">
        <v>1436</v>
      </c>
      <c r="C483" s="2" t="s">
        <v>1437</v>
      </c>
      <c r="D483" s="2" t="s">
        <v>368</v>
      </c>
      <c r="E483" s="2" t="s">
        <v>68</v>
      </c>
      <c r="F483" s="2" t="s">
        <v>15</v>
      </c>
      <c r="G483" s="2" t="s">
        <v>1075</v>
      </c>
      <c r="H483" s="2" t="s">
        <v>365</v>
      </c>
      <c r="I483" s="2" t="str">
        <f>IFERROR(__xludf.DUMMYFUNCTION("GOOGLETRANSLATE(C483,""fr"",""en"")"),"Very good insurance very angating and more human than certain having a storefront! The service is fast and especially easy. Just with the free line to join them is a bit long to answer but it remains reasonable.")</f>
        <v>Very good insurance very angating and more human than certain having a storefront! The service is fast and especially easy. Just with the free line to join them is a bit long to answer but it remains reasonable.</v>
      </c>
    </row>
    <row r="484" ht="15.75" customHeight="1">
      <c r="A484" s="2">
        <v>5.0</v>
      </c>
      <c r="B484" s="2" t="s">
        <v>1438</v>
      </c>
      <c r="C484" s="2" t="s">
        <v>1439</v>
      </c>
      <c r="D484" s="2" t="s">
        <v>26</v>
      </c>
      <c r="E484" s="2" t="s">
        <v>27</v>
      </c>
      <c r="F484" s="2" t="s">
        <v>15</v>
      </c>
      <c r="G484" s="2" t="s">
        <v>1440</v>
      </c>
      <c r="H484" s="2" t="s">
        <v>228</v>
      </c>
      <c r="I484" s="2" t="str">
        <f>IFERROR(__xludf.DUMMYFUNCTION("GOOGLETRANSLATE(C484,""fr"",""en"")"),"I am satisfied with the service and the prices suit me. On the other hand, having to write the comment is somewhat annoying but nothing serious")</f>
        <v>I am satisfied with the service and the prices suit me. On the other hand, having to write the comment is somewhat annoying but nothing serious</v>
      </c>
    </row>
    <row r="485" ht="15.75" customHeight="1">
      <c r="A485" s="2">
        <v>1.0</v>
      </c>
      <c r="B485" s="2" t="s">
        <v>1441</v>
      </c>
      <c r="C485" s="2" t="s">
        <v>1442</v>
      </c>
      <c r="D485" s="2" t="s">
        <v>20</v>
      </c>
      <c r="E485" s="2" t="s">
        <v>21</v>
      </c>
      <c r="F485" s="2" t="s">
        <v>15</v>
      </c>
      <c r="G485" s="2" t="s">
        <v>1443</v>
      </c>
      <c r="H485" s="2" t="s">
        <v>274</v>
      </c>
      <c r="I485" s="2" t="str">
        <f>IFERROR(__xludf.DUMMYFUNCTION("GOOGLETRANSLATE(C485,""fr"",""en"")"),"Impossible to reach them by phone, more than 30 minutes of waiting and nothing
Website does not work, where the special number?
Absolutely does not recommend. Ashamed")</f>
        <v>Impossible to reach them by phone, more than 30 minutes of waiting and nothing
Website does not work, where the special number?
Absolutely does not recommend. Ashamed</v>
      </c>
    </row>
    <row r="486" ht="15.75" customHeight="1">
      <c r="A486" s="2">
        <v>5.0</v>
      </c>
      <c r="B486" s="2" t="s">
        <v>1444</v>
      </c>
      <c r="C486" s="2" t="s">
        <v>1445</v>
      </c>
      <c r="D486" s="2" t="s">
        <v>26</v>
      </c>
      <c r="E486" s="2" t="s">
        <v>27</v>
      </c>
      <c r="F486" s="2" t="s">
        <v>15</v>
      </c>
      <c r="G486" s="2" t="s">
        <v>58</v>
      </c>
      <c r="H486" s="2" t="s">
        <v>23</v>
      </c>
      <c r="I486" s="2" t="str">
        <f>IFERROR(__xludf.DUMMYFUNCTION("GOOGLETRANSLATE(C486,""fr"",""en"")"),"5 stars to everything, perfect I recommend very well informed professional, I will contact him as agreed for other vehicles, thanks to Suleiman")</f>
        <v>5 stars to everything, perfect I recommend very well informed professional, I will contact him as agreed for other vehicles, thanks to Suleiman</v>
      </c>
    </row>
    <row r="487" ht="15.75" customHeight="1">
      <c r="A487" s="2">
        <v>2.0</v>
      </c>
      <c r="B487" s="2" t="s">
        <v>1446</v>
      </c>
      <c r="C487" s="2" t="s">
        <v>1447</v>
      </c>
      <c r="D487" s="2" t="s">
        <v>107</v>
      </c>
      <c r="E487" s="2" t="s">
        <v>21</v>
      </c>
      <c r="F487" s="2" t="s">
        <v>15</v>
      </c>
      <c r="G487" s="2" t="s">
        <v>1448</v>
      </c>
      <c r="H487" s="2" t="s">
        <v>630</v>
      </c>
      <c r="I487" s="2" t="str">
        <f>IFERROR(__xludf.DUMMYFUNCTION("GOOGLETRANSLATE(C487,""fr"",""en"")"),"I subscribed to Santiane on 02/12/19 ... and quickly terminated while there was still time (withdrawal period of 14 days) they seek to coax you with a price that corresponds to you even if the guarantees of Do not match exactly (full of blablas and beauti"&amp;"ful promises) following that, I contacted my car insurer who resumed their contract (guarantees) he told me that they were lower than what I really wanted and made me find that they had made me subscribe to health providents, something I never asked for. "&amp;"When I asked Santiane's salesperson, he was no longer clear and I was made in the precipitation, well yes, it was necessary to sign the contract quickly quickly.")</f>
        <v>I subscribed to Santiane on 02/12/19 ... and quickly terminated while there was still time (withdrawal period of 14 days) they seek to coax you with a price that corresponds to you even if the guarantees of Do not match exactly (full of blablas and beautiful promises) following that, I contacted my car insurer who resumed their contract (guarantees) he told me that they were lower than what I really wanted and made me find that they had made me subscribe to health providents, something I never asked for. When I asked Santiane's salesperson, he was no longer clear and I was made in the precipitation, well yes, it was necessary to sign the contract quickly quickly.</v>
      </c>
    </row>
    <row r="488" ht="15.75" customHeight="1">
      <c r="A488" s="2">
        <v>1.0</v>
      </c>
      <c r="B488" s="2" t="s">
        <v>1449</v>
      </c>
      <c r="C488" s="2" t="s">
        <v>1450</v>
      </c>
      <c r="D488" s="2" t="s">
        <v>160</v>
      </c>
      <c r="E488" s="2" t="s">
        <v>21</v>
      </c>
      <c r="F488" s="2" t="s">
        <v>15</v>
      </c>
      <c r="G488" s="2" t="s">
        <v>1451</v>
      </c>
      <c r="H488" s="2" t="s">
        <v>228</v>
      </c>
      <c r="I488" s="2" t="str">
        <f>IFERROR(__xludf.DUMMYFUNCTION("GOOGLETRANSLATE(C488,""fr"",""en"")"),"I have been waiting for 2 months 2 reimbursements of 30 euros each impossible to reach them to the phone, it is a shame in March 2021 I change the mutual for another more competent Cecema ...... to flee")</f>
        <v>I have been waiting for 2 months 2 reimbursements of 30 euros each impossible to reach them to the phone, it is a shame in March 2021 I change the mutual for another more competent Cecema ...... to flee</v>
      </c>
    </row>
    <row r="489" ht="15.75" customHeight="1">
      <c r="A489" s="2">
        <v>4.0</v>
      </c>
      <c r="B489" s="2" t="s">
        <v>1452</v>
      </c>
      <c r="C489" s="2" t="s">
        <v>1453</v>
      </c>
      <c r="D489" s="2" t="s">
        <v>37</v>
      </c>
      <c r="E489" s="2" t="s">
        <v>27</v>
      </c>
      <c r="F489" s="2" t="s">
        <v>15</v>
      </c>
      <c r="G489" s="2" t="s">
        <v>886</v>
      </c>
      <c r="H489" s="2" t="s">
        <v>62</v>
      </c>
      <c r="I489" s="2" t="str">
        <f>IFERROR(__xludf.DUMMYFUNCTION("GOOGLETRANSLATE(C489,""fr"",""en"")"),"I am satisfied with the service quality, I recommend direct assurance of closed eyes quality and prices at very attractive prices. !!!!!!!!!!!!!!")</f>
        <v>I am satisfied with the service quality, I recommend direct assurance of closed eyes quality and prices at very attractive prices. !!!!!!!!!!!!!!</v>
      </c>
    </row>
    <row r="490" ht="15.75" customHeight="1">
      <c r="A490" s="2">
        <v>4.0</v>
      </c>
      <c r="B490" s="2" t="s">
        <v>1454</v>
      </c>
      <c r="C490" s="2" t="s">
        <v>1455</v>
      </c>
      <c r="D490" s="2" t="s">
        <v>26</v>
      </c>
      <c r="E490" s="2" t="s">
        <v>27</v>
      </c>
      <c r="F490" s="2" t="s">
        <v>15</v>
      </c>
      <c r="G490" s="2" t="s">
        <v>1456</v>
      </c>
      <c r="H490" s="2" t="s">
        <v>112</v>
      </c>
      <c r="I490" s="2" t="str">
        <f>IFERROR(__xludf.DUMMYFUNCTION("GOOGLETRANSLATE(C490,""fr"",""en"")"),"I am satisfied with customer relations; My interlocutor was very clear and precise; he answered my questions and helped me make the right choices, price in the average")</f>
        <v>I am satisfied with customer relations; My interlocutor was very clear and precise; he answered my questions and helped me make the right choices, price in the average</v>
      </c>
    </row>
    <row r="491" ht="15.75" customHeight="1">
      <c r="A491" s="2">
        <v>4.0</v>
      </c>
      <c r="B491" s="2" t="s">
        <v>1457</v>
      </c>
      <c r="C491" s="2" t="s">
        <v>1458</v>
      </c>
      <c r="D491" s="2" t="s">
        <v>67</v>
      </c>
      <c r="E491" s="2" t="s">
        <v>68</v>
      </c>
      <c r="F491" s="2" t="s">
        <v>15</v>
      </c>
      <c r="G491" s="2" t="s">
        <v>667</v>
      </c>
      <c r="H491" s="2" t="s">
        <v>112</v>
      </c>
      <c r="I491" s="2" t="str">
        <f>IFERROR(__xludf.DUMMYFUNCTION("GOOGLETRANSLATE(C491,""fr"",""en"")"),"Clear net and precise, quality site, numerous options offered, quote and very fast subscription, I am very satisfied with this transaction. Thank you.")</f>
        <v>Clear net and precise, quality site, numerous options offered, quote and very fast subscription, I am very satisfied with this transaction. Thank you.</v>
      </c>
    </row>
    <row r="492" ht="15.75" customHeight="1">
      <c r="A492" s="2">
        <v>2.0</v>
      </c>
      <c r="B492" s="2" t="s">
        <v>1459</v>
      </c>
      <c r="C492" s="2" t="s">
        <v>1460</v>
      </c>
      <c r="D492" s="2" t="s">
        <v>217</v>
      </c>
      <c r="E492" s="2" t="s">
        <v>43</v>
      </c>
      <c r="F492" s="2" t="s">
        <v>15</v>
      </c>
      <c r="G492" s="2" t="s">
        <v>1461</v>
      </c>
      <c r="H492" s="2" t="s">
        <v>336</v>
      </c>
      <c r="I492" s="2" t="str">
        <f>IFERROR(__xludf.DUMMYFUNCTION("GOOGLETRANSLATE(C492,""fr"",""en"")"),"I am very disappointed with the Macif (my insurer for 20 years, auto, housing ...). I took an option last year to ensure my mobile devices, and today they refuse the compensation of a flight on the pretext of an exclusion clause under the specific conditi"&amp;"ons, which are constant only ... in agency! (while I have subscribed to this insurance on the phone, and on their website are only available the general conditions, with already very precise exclusions.) It is limited of dishonesty ...")</f>
        <v>I am very disappointed with the Macif (my insurer for 20 years, auto, housing ...). I took an option last year to ensure my mobile devices, and today they refuse the compensation of a flight on the pretext of an exclusion clause under the specific conditions, which are constant only ... in agency! (while I have subscribed to this insurance on the phone, and on their website are only available the general conditions, with already very precise exclusions.) It is limited of dishonesty ...</v>
      </c>
    </row>
    <row r="493" ht="15.75" customHeight="1">
      <c r="A493" s="2">
        <v>1.0</v>
      </c>
      <c r="B493" s="2" t="s">
        <v>1462</v>
      </c>
      <c r="C493" s="2" t="s">
        <v>1463</v>
      </c>
      <c r="D493" s="2" t="s">
        <v>180</v>
      </c>
      <c r="E493" s="2" t="s">
        <v>21</v>
      </c>
      <c r="F493" s="2" t="s">
        <v>15</v>
      </c>
      <c r="G493" s="2" t="s">
        <v>1464</v>
      </c>
      <c r="H493" s="2" t="s">
        <v>445</v>
      </c>
      <c r="I493" s="2" t="str">
        <f>IFERROR(__xludf.DUMMYFUNCTION("GOOGLETRANSLATE(C493,""fr"",""en"")"),"Today I receive an email that tells me that I have to reimburse them by 34.70 euros, more than 7 months after my termination following a change of pro status! I have never received any letter from them upstream explaining the why of how I had this sum and"&amp;" when I try to reach their hotline after -sales service, I am hung on the nose systematically after more than 3 min of overtaxy waiting ! WE WALK ON THE HEAD ! To flee !")</f>
        <v>Today I receive an email that tells me that I have to reimburse them by 34.70 euros, more than 7 months after my termination following a change of pro status! I have never received any letter from them upstream explaining the why of how I had this sum and when I try to reach their hotline after -sales service, I am hung on the nose systematically after more than 3 min of overtaxy waiting ! WE WALK ON THE HEAD ! To flee !</v>
      </c>
    </row>
    <row r="494" ht="15.75" customHeight="1">
      <c r="A494" s="2">
        <v>3.0</v>
      </c>
      <c r="B494" s="2" t="s">
        <v>1465</v>
      </c>
      <c r="C494" s="2" t="s">
        <v>1466</v>
      </c>
      <c r="D494" s="2" t="s">
        <v>37</v>
      </c>
      <c r="E494" s="2" t="s">
        <v>27</v>
      </c>
      <c r="F494" s="2" t="s">
        <v>15</v>
      </c>
      <c r="G494" s="2" t="s">
        <v>1467</v>
      </c>
      <c r="H494" s="2" t="s">
        <v>62</v>
      </c>
      <c r="I494" s="2" t="str">
        <f>IFERROR(__xludf.DUMMYFUNCTION("GOOGLETRANSLATE(C494,""fr"",""en"")"),"I'm happy thank you I hope to pay cheaper over the temple
I would then like to take out RC Pro insurance at home because I will set up a transport company")</f>
        <v>I'm happy thank you I hope to pay cheaper over the temple
I would then like to take out RC Pro insurance at home because I will set up a transport company</v>
      </c>
    </row>
    <row r="495" ht="15.75" customHeight="1">
      <c r="A495" s="2">
        <v>4.0</v>
      </c>
      <c r="B495" s="2" t="s">
        <v>1468</v>
      </c>
      <c r="C495" s="2" t="s">
        <v>1469</v>
      </c>
      <c r="D495" s="2" t="s">
        <v>194</v>
      </c>
      <c r="E495" s="2" t="s">
        <v>14</v>
      </c>
      <c r="F495" s="2" t="s">
        <v>15</v>
      </c>
      <c r="G495" s="2" t="s">
        <v>1470</v>
      </c>
      <c r="H495" s="2" t="s">
        <v>34</v>
      </c>
      <c r="I495" s="2" t="str">
        <f>IFERROR(__xludf.DUMMYFUNCTION("GOOGLETRANSLATE(C495,""fr"",""en"")"),"efficiency and speed of result. Our price goal is respectful what we wanted above all. Thank you for your work. We let it know around us.")</f>
        <v>efficiency and speed of result. Our price goal is respectful what we wanted above all. Thank you for your work. We let it know around us.</v>
      </c>
    </row>
    <row r="496" ht="15.75" customHeight="1">
      <c r="A496" s="2">
        <v>1.0</v>
      </c>
      <c r="B496" s="2" t="s">
        <v>1471</v>
      </c>
      <c r="C496" s="2" t="s">
        <v>1472</v>
      </c>
      <c r="D496" s="2" t="s">
        <v>264</v>
      </c>
      <c r="E496" s="2" t="s">
        <v>27</v>
      </c>
      <c r="F496" s="2" t="s">
        <v>15</v>
      </c>
      <c r="G496" s="2" t="s">
        <v>1473</v>
      </c>
      <c r="H496" s="2" t="s">
        <v>596</v>
      </c>
      <c r="I496" s="2" t="str">
        <f>IFERROR(__xludf.DUMMYFUNCTION("GOOGLETRANSLATE(C496,""fr"",""en"")"),"Hello,
I made a subscription to you and I communicated to you all the requested documents.
I paid by bank card directly online and the payment has gone well.
On the other hand, I still have not received the final green card despite all these elements. "&amp;"My old insurance even contacted you to answer your questions because you didn't want to do it.
During my last telephone exchange with you 2 days ago, you told me that the file could now be finalized following their call, and that we were going to return "&amp;"to me to finalize the file.
I still can't find it normal to run afterwards when I am a new customer at home.
In addition, I can no longer even access my customer area on the Active Assurances site. Indeed, I have an error message which stipulates that t"&amp;"he customer number does not exist!
Customer service gives me a different answer each time and I admit that I am completely lost!")</f>
        <v>Hello,
I made a subscription to you and I communicated to you all the requested documents.
I paid by bank card directly online and the payment has gone well.
On the other hand, I still have not received the final green card despite all these elements. My old insurance even contacted you to answer your questions because you didn't want to do it.
During my last telephone exchange with you 2 days ago, you told me that the file could now be finalized following their call, and that we were going to return to me to finalize the file.
I still can't find it normal to run afterwards when I am a new customer at home.
In addition, I can no longer even access my customer area on the Active Assurances site. Indeed, I have an error message which stipulates that the customer number does not exist!
Customer service gives me a different answer each time and I admit that I am completely lost!</v>
      </c>
    </row>
    <row r="497" ht="15.75" customHeight="1">
      <c r="A497" s="2">
        <v>3.0</v>
      </c>
      <c r="B497" s="2" t="s">
        <v>1474</v>
      </c>
      <c r="C497" s="2" t="s">
        <v>1475</v>
      </c>
      <c r="D497" s="2" t="s">
        <v>448</v>
      </c>
      <c r="E497" s="2" t="s">
        <v>43</v>
      </c>
      <c r="F497" s="2" t="s">
        <v>15</v>
      </c>
      <c r="G497" s="2" t="s">
        <v>1476</v>
      </c>
      <c r="H497" s="2" t="s">
        <v>84</v>
      </c>
      <c r="I497" s="2" t="str">
        <f>IFERROR(__xludf.DUMMYFUNCTION("GOOGLETRANSLATE(C497,""fr"",""en"")"),"Following a degate of the waters in December 2017 the maaf deborder to entrust to a third of Gere these sinister quotes refuse craftsman who works for them ex -laying glass at 3 euros from the m? On a quote at 1950th estimated by them at 700th")</f>
        <v>Following a degate of the waters in December 2017 the maaf deborder to entrust to a third of Gere these sinister quotes refuse craftsman who works for them ex -laying glass at 3 euros from the m? On a quote at 1950th estimated by them at 700th</v>
      </c>
    </row>
    <row r="498" ht="15.75" customHeight="1">
      <c r="A498" s="2">
        <v>3.0</v>
      </c>
      <c r="B498" s="2" t="s">
        <v>1477</v>
      </c>
      <c r="C498" s="2" t="s">
        <v>1478</v>
      </c>
      <c r="D498" s="2" t="s">
        <v>37</v>
      </c>
      <c r="E498" s="2" t="s">
        <v>27</v>
      </c>
      <c r="F498" s="2" t="s">
        <v>15</v>
      </c>
      <c r="G498" s="2" t="s">
        <v>72</v>
      </c>
      <c r="H498" s="2" t="s">
        <v>23</v>
      </c>
      <c r="I498" s="2" t="str">
        <f>IFERROR(__xludf.DUMMYFUNCTION("GOOGLETRANSLATE(C498,""fr"",""en"")"),"Prices suit me.
PB in the interface: how do you sell your car?
Pb in the cat: we pretend that it is ""live"" and we answer you ""ya nobody""")</f>
        <v>Prices suit me.
PB in the interface: how do you sell your car?
Pb in the cat: we pretend that it is "live" and we answer you "ya nobody"</v>
      </c>
    </row>
    <row r="499" ht="15.75" customHeight="1">
      <c r="A499" s="2">
        <v>5.0</v>
      </c>
      <c r="B499" s="2" t="s">
        <v>1479</v>
      </c>
      <c r="C499" s="2" t="s">
        <v>1480</v>
      </c>
      <c r="D499" s="2" t="s">
        <v>26</v>
      </c>
      <c r="E499" s="2" t="s">
        <v>27</v>
      </c>
      <c r="F499" s="2" t="s">
        <v>15</v>
      </c>
      <c r="G499" s="2" t="s">
        <v>434</v>
      </c>
      <c r="H499" s="2" t="s">
        <v>112</v>
      </c>
      <c r="I499" s="2" t="str">
        <f>IFERROR(__xludf.DUMMYFUNCTION("GOOGLETRANSLATE(C499,""fr"",""en"")"),"I am satisfied with the service Oliver Insurance as well as their prices which are unbeatable and in agreement with my Renault Modus which allowed me to save.")</f>
        <v>I am satisfied with the service Oliver Insurance as well as their prices which are unbeatable and in agreement with my Renault Modus which allowed me to save.</v>
      </c>
    </row>
    <row r="500" ht="15.75" customHeight="1">
      <c r="A500" s="2">
        <v>4.0</v>
      </c>
      <c r="B500" s="2" t="s">
        <v>1481</v>
      </c>
      <c r="C500" s="2" t="s">
        <v>1482</v>
      </c>
      <c r="D500" s="2" t="s">
        <v>37</v>
      </c>
      <c r="E500" s="2" t="s">
        <v>27</v>
      </c>
      <c r="F500" s="2" t="s">
        <v>15</v>
      </c>
      <c r="G500" s="2" t="s">
        <v>1409</v>
      </c>
      <c r="H500" s="2" t="s">
        <v>62</v>
      </c>
      <c r="I500" s="2" t="str">
        <f>IFERROR(__xludf.DUMMYFUNCTION("GOOGLETRANSLATE(C500,""fr"",""en"")"),"I am delighted with the insurance contract that I received very good welcome from the person U to offer me the contract I thank you very much")</f>
        <v>I am delighted with the insurance contract that I received very good welcome from the person U to offer me the contract I thank you very much</v>
      </c>
    </row>
    <row r="501" ht="15.75" customHeight="1">
      <c r="A501" s="2">
        <v>5.0</v>
      </c>
      <c r="B501" s="2" t="s">
        <v>1483</v>
      </c>
      <c r="C501" s="2" t="s">
        <v>1484</v>
      </c>
      <c r="D501" s="2" t="s">
        <v>37</v>
      </c>
      <c r="E501" s="2" t="s">
        <v>27</v>
      </c>
      <c r="F501" s="2" t="s">
        <v>15</v>
      </c>
      <c r="G501" s="2" t="s">
        <v>1485</v>
      </c>
      <c r="H501" s="2" t="s">
        <v>62</v>
      </c>
      <c r="I501" s="2" t="str">
        <f>IFERROR(__xludf.DUMMYFUNCTION("GOOGLETRANSLATE(C501,""fr"",""en"")"),"Very satisfied with the service The price suits me. You can subscribe very easily. You got online she receives our provisional paper directly by email. Thank you")</f>
        <v>Very satisfied with the service The price suits me. You can subscribe very easily. You got online she receives our provisional paper directly by email. Thank you</v>
      </c>
    </row>
    <row r="502" ht="15.75" customHeight="1">
      <c r="A502" s="2">
        <v>4.0</v>
      </c>
      <c r="B502" s="2" t="s">
        <v>1486</v>
      </c>
      <c r="C502" s="2" t="s">
        <v>1487</v>
      </c>
      <c r="D502" s="2" t="s">
        <v>107</v>
      </c>
      <c r="E502" s="2" t="s">
        <v>21</v>
      </c>
      <c r="F502" s="2" t="s">
        <v>15</v>
      </c>
      <c r="G502" s="2" t="s">
        <v>1488</v>
      </c>
      <c r="H502" s="2" t="s">
        <v>149</v>
      </c>
      <c r="I502" s="2" t="str">
        <f>IFERROR(__xludf.DUMMYFUNCTION("GOOGLETRANSLATE(C502,""fr"",""en"")"),"A good listening with my interlocutor on the phone, performance price price is for me,")</f>
        <v>A good listening with my interlocutor on the phone, performance price price is for me,</v>
      </c>
    </row>
    <row r="503" ht="15.75" customHeight="1">
      <c r="A503" s="2">
        <v>1.0</v>
      </c>
      <c r="B503" s="2" t="s">
        <v>1489</v>
      </c>
      <c r="C503" s="2" t="s">
        <v>1490</v>
      </c>
      <c r="D503" s="2" t="s">
        <v>37</v>
      </c>
      <c r="E503" s="2" t="s">
        <v>27</v>
      </c>
      <c r="F503" s="2" t="s">
        <v>15</v>
      </c>
      <c r="G503" s="2" t="s">
        <v>1491</v>
      </c>
      <c r="H503" s="2" t="s">
        <v>50</v>
      </c>
      <c r="I503" s="2" t="str">
        <f>IFERROR(__xludf.DUMMYFUNCTION("GOOGLETRANSLATE(C503,""fr"",""en"")"),"To avoid I was insured as a young driver at Direct Insurance With Connected Insurance Youdrive supposedly It is worth winning up to 50% reduction, this is completely false during the containment I did not drive and they did not reimburse me that € 5 on in"&amp;"surance that cost me € 650 on the pretext that I took a turn too quickly, to avoid")</f>
        <v>To avoid I was insured as a young driver at Direct Insurance With Connected Insurance Youdrive supposedly It is worth winning up to 50% reduction, this is completely false during the containment I did not drive and they did not reimburse me that € 5 on insurance that cost me € 650 on the pretext that I took a turn too quickly, to avoid</v>
      </c>
    </row>
    <row r="504" ht="15.75" customHeight="1">
      <c r="A504" s="2">
        <v>4.0</v>
      </c>
      <c r="B504" s="2" t="s">
        <v>1492</v>
      </c>
      <c r="C504" s="2" t="s">
        <v>1493</v>
      </c>
      <c r="D504" s="2" t="s">
        <v>67</v>
      </c>
      <c r="E504" s="2" t="s">
        <v>68</v>
      </c>
      <c r="F504" s="2" t="s">
        <v>15</v>
      </c>
      <c r="G504" s="2" t="s">
        <v>1494</v>
      </c>
      <c r="H504" s="2" t="s">
        <v>62</v>
      </c>
      <c r="I504" s="2" t="str">
        <f>IFERROR(__xludf.DUMMYFUNCTION("GOOGLETRANSLATE(C504,""fr"",""en"")"),"The site goes quickly, it's cool impeccable easy to navigate easy to ensure a vehicle I advise strongly in 10 minutes it is cordially adjusting Mr. Pichard Guillaume")</f>
        <v>The site goes quickly, it's cool impeccable easy to navigate easy to ensure a vehicle I advise strongly in 10 minutes it is cordially adjusting Mr. Pichard Guillaume</v>
      </c>
    </row>
    <row r="505" ht="15.75" customHeight="1">
      <c r="A505" s="2">
        <v>4.0</v>
      </c>
      <c r="B505" s="2" t="s">
        <v>1495</v>
      </c>
      <c r="C505" s="2" t="s">
        <v>1496</v>
      </c>
      <c r="D505" s="2" t="s">
        <v>1497</v>
      </c>
      <c r="E505" s="2" t="s">
        <v>1498</v>
      </c>
      <c r="F505" s="2" t="s">
        <v>15</v>
      </c>
      <c r="G505" s="2" t="s">
        <v>681</v>
      </c>
      <c r="H505" s="2" t="s">
        <v>62</v>
      </c>
      <c r="I505" s="2" t="str">
        <f>IFERROR(__xludf.DUMMYFUNCTION("GOOGLETRANSLATE(C505,""fr"",""en"")"),"Good responsiveness moves to your home to insure you with all the guarantee they need.
Total confidence.
I highly recommend Mapa.
Thank you
")</f>
        <v>Good responsiveness moves to your home to insure you with all the guarantee they need.
Total confidence.
I highly recommend Mapa.
Thank you
</v>
      </c>
    </row>
    <row r="506" ht="15.75" customHeight="1">
      <c r="A506" s="2">
        <v>1.0</v>
      </c>
      <c r="B506" s="2" t="s">
        <v>1499</v>
      </c>
      <c r="C506" s="2" t="s">
        <v>1500</v>
      </c>
      <c r="D506" s="2" t="s">
        <v>26</v>
      </c>
      <c r="E506" s="2" t="s">
        <v>27</v>
      </c>
      <c r="F506" s="2" t="s">
        <v>15</v>
      </c>
      <c r="G506" s="2" t="s">
        <v>1501</v>
      </c>
      <c r="H506" s="2" t="s">
        <v>1177</v>
      </c>
      <c r="I506" s="2" t="str">
        <f>IFERROR(__xludf.DUMMYFUNCTION("GOOGLETRANSLATE(C506,""fr"",""en"")"),"Really disappointed, more than 10 days to answer an email, struggling to have them on the phone (30 min minimum waiting), an increasingly expensive insurance, I have been waiting for my information statement for 15 days. It was time that I went to see els"&amp;"ewhere")</f>
        <v>Really disappointed, more than 10 days to answer an email, struggling to have them on the phone (30 min minimum waiting), an increasingly expensive insurance, I have been waiting for my information statement for 15 days. It was time that I went to see elsewhere</v>
      </c>
    </row>
    <row r="507" ht="15.75" customHeight="1">
      <c r="A507" s="2">
        <v>4.0</v>
      </c>
      <c r="B507" s="2" t="s">
        <v>1502</v>
      </c>
      <c r="C507" s="2" t="s">
        <v>1503</v>
      </c>
      <c r="D507" s="2" t="s">
        <v>26</v>
      </c>
      <c r="E507" s="2" t="s">
        <v>27</v>
      </c>
      <c r="F507" s="2" t="s">
        <v>15</v>
      </c>
      <c r="G507" s="2" t="s">
        <v>332</v>
      </c>
      <c r="H507" s="2" t="s">
        <v>29</v>
      </c>
      <c r="I507" s="2" t="str">
        <f>IFERROR(__xludf.DUMMYFUNCTION("GOOGLETRANSLATE(C507,""fr"",""en"")"),"I heard a friend at work to sell the quality of your services.
Neither one nor two I did not think long to come to you when buying my new car")</f>
        <v>I heard a friend at work to sell the quality of your services.
Neither one nor two I did not think long to come to you when buying my new car</v>
      </c>
    </row>
    <row r="508" ht="15.75" customHeight="1">
      <c r="A508" s="2">
        <v>5.0</v>
      </c>
      <c r="B508" s="2" t="s">
        <v>1504</v>
      </c>
      <c r="C508" s="2" t="s">
        <v>1505</v>
      </c>
      <c r="D508" s="2" t="s">
        <v>37</v>
      </c>
      <c r="E508" s="2" t="s">
        <v>27</v>
      </c>
      <c r="F508" s="2" t="s">
        <v>15</v>
      </c>
      <c r="G508" s="2" t="s">
        <v>646</v>
      </c>
      <c r="H508" s="2" t="s">
        <v>62</v>
      </c>
      <c r="I508" s="2" t="str">
        <f>IFERROR(__xludf.DUMMYFUNCTION("GOOGLETRANSLATE(C508,""fr"",""en"")"),"I am satisfied with the price offered on the website. Any risk with tranquility pack and a top telephone service. I highly recommend")</f>
        <v>I am satisfied with the price offered on the website. Any risk with tranquility pack and a top telephone service. I highly recommend</v>
      </c>
    </row>
    <row r="509" ht="15.75" customHeight="1">
      <c r="A509" s="2">
        <v>3.0</v>
      </c>
      <c r="B509" s="2" t="s">
        <v>1506</v>
      </c>
      <c r="C509" s="2" t="s">
        <v>1507</v>
      </c>
      <c r="D509" s="2" t="s">
        <v>234</v>
      </c>
      <c r="E509" s="2" t="s">
        <v>21</v>
      </c>
      <c r="F509" s="2" t="s">
        <v>15</v>
      </c>
      <c r="G509" s="2" t="s">
        <v>476</v>
      </c>
      <c r="H509" s="2" t="s">
        <v>62</v>
      </c>
      <c r="I509" s="2" t="str">
        <f>IFERROR(__xludf.DUMMYFUNCTION("GOOGLETRANSLATE(C509,""fr"",""en"")"),"On the price side, it changed my life (we are 4 to be insured), side conventional reimbursements (pharmacy, consultations ..) perfect, fast. Side specific reimbursements is a battle. The only way to communicate, emails (must send several recalls) and the "&amp;"phone, their site is absolutely not useful for any complaint or sends documents to be reimbursed, just useful for whether a refund is in progress or not or if it took place.
Today, I had Georges at Tel for a hard sample concern, very kind, attentive and "&amp;"was able to respond to my requests.")</f>
        <v>On the price side, it changed my life (we are 4 to be insured), side conventional reimbursements (pharmacy, consultations ..) perfect, fast. Side specific reimbursements is a battle. The only way to communicate, emails (must send several recalls) and the phone, their site is absolutely not useful for any complaint or sends documents to be reimbursed, just useful for whether a refund is in progress or not or if it took place.
Today, I had Georges at Tel for a hard sample concern, very kind, attentive and was able to respond to my requests.</v>
      </c>
    </row>
    <row r="510" ht="15.75" customHeight="1">
      <c r="A510" s="2">
        <v>1.0</v>
      </c>
      <c r="B510" s="2" t="s">
        <v>1508</v>
      </c>
      <c r="C510" s="2" t="s">
        <v>1509</v>
      </c>
      <c r="D510" s="2" t="s">
        <v>42</v>
      </c>
      <c r="E510" s="2" t="s">
        <v>43</v>
      </c>
      <c r="F510" s="2" t="s">
        <v>15</v>
      </c>
      <c r="G510" s="2" t="s">
        <v>1510</v>
      </c>
      <c r="H510" s="2" t="s">
        <v>630</v>
      </c>
      <c r="I510" s="2" t="str">
        <f>IFERROR(__xludf.DUMMYFUNCTION("GOOGLETRANSLATE(C510,""fr"",""en"")")," I had repaired in October 2018. A water damage that to last can be 6 months a year or more how to know, located behind a hatch. This damage to the originates the water arrival hose
which to cause many mold. Located under a hatch behind a partition so di"&amp;"fficult to perceive. The MAIF brings an expert in February 2019 which disputes that molds are due to water damage and are older for 20 years that my home is assured at MAIF. And they want to resume the miracular and extraordinary amount of 125 euros that "&amp;"they have advanced me
  Really militant and the maif but with whom")</f>
        <v> I had repaired in October 2018. A water damage that to last can be 6 months a year or more how to know, located behind a hatch. This damage to the originates the water arrival hose
which to cause many mold. Located under a hatch behind a partition so difficult to perceive. The MAIF brings an expert in February 2019 which disputes that molds are due to water damage and are older for 20 years that my home is assured at MAIF. And they want to resume the miracular and extraordinary amount of 125 euros that they have advanced me
  Really militant and the maif but with whom</v>
      </c>
    </row>
    <row r="511" ht="15.75" customHeight="1">
      <c r="A511" s="2">
        <v>3.0</v>
      </c>
      <c r="B511" s="2" t="s">
        <v>1511</v>
      </c>
      <c r="C511" s="2" t="s">
        <v>1512</v>
      </c>
      <c r="D511" s="2" t="s">
        <v>37</v>
      </c>
      <c r="E511" s="2" t="s">
        <v>27</v>
      </c>
      <c r="F511" s="2" t="s">
        <v>15</v>
      </c>
      <c r="G511" s="2" t="s">
        <v>1092</v>
      </c>
      <c r="H511" s="2" t="s">
        <v>112</v>
      </c>
      <c r="I511" s="2" t="str">
        <f>IFERROR(__xludf.DUMMYFUNCTION("GOOGLETRANSLATE(C511,""fr"",""en"")"),"The prices yes but I am still waiting for my reduction for sponsorship ,,,,,,,,
Well yes I sponsored my daughter in April 2020 and nothing nada wahlou!")</f>
        <v>The prices yes but I am still waiting for my reduction for sponsorship ,,,,,,,,
Well yes I sponsored my daughter in April 2020 and nothing nada wahlou!</v>
      </c>
    </row>
    <row r="512" ht="15.75" customHeight="1">
      <c r="A512" s="2">
        <v>3.0</v>
      </c>
      <c r="B512" s="2" t="s">
        <v>1513</v>
      </c>
      <c r="C512" s="2" t="s">
        <v>1514</v>
      </c>
      <c r="D512" s="2" t="s">
        <v>26</v>
      </c>
      <c r="E512" s="2" t="s">
        <v>27</v>
      </c>
      <c r="F512" s="2" t="s">
        <v>15</v>
      </c>
      <c r="G512" s="2" t="s">
        <v>418</v>
      </c>
      <c r="H512" s="2" t="s">
        <v>23</v>
      </c>
      <c r="I512" s="2" t="str">
        <f>IFERROR(__xludf.DUMMYFUNCTION("GOOGLETRANSLATE(C512,""fr"",""en"")"),"I am satisfied because this method is simple and practical. The prices of automotive insurance are rather attractive with reactive and competent people.")</f>
        <v>I am satisfied because this method is simple and practical. The prices of automotive insurance are rather attractive with reactive and competent people.</v>
      </c>
    </row>
    <row r="513" ht="15.75" customHeight="1">
      <c r="A513" s="2">
        <v>1.0</v>
      </c>
      <c r="B513" s="2" t="s">
        <v>573</v>
      </c>
      <c r="C513" s="2" t="s">
        <v>1515</v>
      </c>
      <c r="D513" s="2" t="s">
        <v>437</v>
      </c>
      <c r="E513" s="2" t="s">
        <v>14</v>
      </c>
      <c r="F513" s="2" t="s">
        <v>15</v>
      </c>
      <c r="G513" s="2" t="s">
        <v>1516</v>
      </c>
      <c r="H513" s="2" t="s">
        <v>121</v>
      </c>
      <c r="I513" s="2" t="str">
        <f>IFERROR(__xludf.DUMMYFUNCTION("GOOGLETRANSLATE(C513,""fr"",""en"")"),"A shame. A law without law or law.
Following a sinister housing that the bank refuses to recognize, they also refuse in fact borrower insurance. The situation degenerates day by day. We lose everything. They do not react
Mr. Director General Region Cent"&amp;"er.
As expected, and logically, the situation degenerates from hour to hour.
On the street therefore additional fresh,
In depression, therefore more work.
No more work, no more possibility of filling the account.
Credit samples are no longer charged."&amp;"
We had the right idea to centralize everything with a mutual credit.
All our accounts including Pro block as you go, no more leviations go. So the EDF will come and remove the meters.
AXA is no longer paid either, so no more cars, nothing more is insu"&amp;"red,
The shop either. So we'll have to close it.
The local agent Axa tries to us, with other traders.
In fact, we are in the process of being smothered every day a little more.
And you?
No news.")</f>
        <v>A shame. A law without law or law.
Following a sinister housing that the bank refuses to recognize, they also refuse in fact borrower insurance. The situation degenerates day by day. We lose everything. They do not react
Mr. Director General Region Center.
As expected, and logically, the situation degenerates from hour to hour.
On the street therefore additional fresh,
In depression, therefore more work.
No more work, no more possibility of filling the account.
Credit samples are no longer charged.
We had the right idea to centralize everything with a mutual credit.
All our accounts including Pro block as you go, no more leviations go. So the EDF will come and remove the meters.
AXA is no longer paid either, so no more cars, nothing more is insured,
The shop either. So we'll have to close it.
The local agent Axa tries to us, with other traders.
In fact, we are in the process of being smothered every day a little more.
And you?
No news.</v>
      </c>
    </row>
    <row r="514" ht="15.75" customHeight="1">
      <c r="A514" s="2">
        <v>4.0</v>
      </c>
      <c r="B514" s="2" t="s">
        <v>1517</v>
      </c>
      <c r="C514" s="2" t="s">
        <v>1518</v>
      </c>
      <c r="D514" s="2" t="s">
        <v>37</v>
      </c>
      <c r="E514" s="2" t="s">
        <v>27</v>
      </c>
      <c r="F514" s="2" t="s">
        <v>15</v>
      </c>
      <c r="G514" s="2" t="s">
        <v>1519</v>
      </c>
      <c r="H514" s="2" t="s">
        <v>182</v>
      </c>
      <c r="I514" s="2" t="str">
        <f>IFERROR(__xludf.DUMMYFUNCTION("GOOGLETRANSLATE(C514,""fr"",""en"")"),"Direct insurance specialized in automotive. Correct and competitive value for some vehicles, less interesting on some other contracts.")</f>
        <v>Direct insurance specialized in automotive. Correct and competitive value for some vehicles, less interesting on some other contracts.</v>
      </c>
    </row>
    <row r="515" ht="15.75" customHeight="1">
      <c r="A515" s="2">
        <v>3.0</v>
      </c>
      <c r="B515" s="2" t="s">
        <v>1520</v>
      </c>
      <c r="C515" s="2" t="s">
        <v>1521</v>
      </c>
      <c r="D515" s="2" t="s">
        <v>234</v>
      </c>
      <c r="E515" s="2" t="s">
        <v>21</v>
      </c>
      <c r="F515" s="2" t="s">
        <v>15</v>
      </c>
      <c r="G515" s="2" t="s">
        <v>762</v>
      </c>
      <c r="H515" s="2" t="s">
        <v>141</v>
      </c>
      <c r="I515" s="2" t="str">
        <f>IFERROR(__xludf.DUMMYFUNCTION("GOOGLETRANSLATE(C515,""fr"",""en"")"),"Following a connection problem,
 I had ""abo"" on the phone and solved my problem in a few minutes
Effective and very polite")</f>
        <v>Following a connection problem,
 I had "abo" on the phone and solved my problem in a few minutes
Effective and very polite</v>
      </c>
    </row>
    <row r="516" ht="15.75" customHeight="1">
      <c r="A516" s="2">
        <v>5.0</v>
      </c>
      <c r="B516" s="2" t="s">
        <v>1522</v>
      </c>
      <c r="C516" s="2" t="s">
        <v>1523</v>
      </c>
      <c r="D516" s="2" t="s">
        <v>26</v>
      </c>
      <c r="E516" s="2" t="s">
        <v>27</v>
      </c>
      <c r="F516" s="2" t="s">
        <v>15</v>
      </c>
      <c r="G516" s="2" t="s">
        <v>1406</v>
      </c>
      <c r="H516" s="2" t="s">
        <v>23</v>
      </c>
      <c r="I516" s="2" t="str">
        <f>IFERROR(__xludf.DUMMYFUNCTION("GOOGLETRANSLATE(C516,""fr"",""en"")"),"I am very well served thank you to you is to your team I hope that it will continue and that we would all be satisfied cordially Mr. Mammeri Ali")</f>
        <v>I am very well served thank you to you is to your team I hope that it will continue and that we would all be satisfied cordially Mr. Mammeri Ali</v>
      </c>
    </row>
    <row r="517" ht="15.75" customHeight="1">
      <c r="A517" s="2">
        <v>1.0</v>
      </c>
      <c r="B517" s="2" t="s">
        <v>1524</v>
      </c>
      <c r="C517" s="2" t="s">
        <v>1525</v>
      </c>
      <c r="D517" s="2" t="s">
        <v>57</v>
      </c>
      <c r="E517" s="2" t="s">
        <v>27</v>
      </c>
      <c r="F517" s="2" t="s">
        <v>15</v>
      </c>
      <c r="G517" s="2" t="s">
        <v>1526</v>
      </c>
      <c r="H517" s="2" t="s">
        <v>592</v>
      </c>
      <c r="I517" s="2" t="str">
        <f>IFERROR(__xludf.DUMMYFUNCTION("GOOGLETRANSLATE(C517,""fr"",""en"")"),"Incompetent advisers, contract modifications not taken into account, one week of delay to add a secondary driver to the contract (for another vehicle insured with another company it was immediate!) In short I stop there the list of grievances. Flee this c"&amp;"ompany.")</f>
        <v>Incompetent advisers, contract modifications not taken into account, one week of delay to add a secondary driver to the contract (for another vehicle insured with another company it was immediate!) In short I stop there the list of grievances. Flee this company.</v>
      </c>
    </row>
    <row r="518" ht="15.75" customHeight="1">
      <c r="A518" s="2">
        <v>2.0</v>
      </c>
      <c r="B518" s="2" t="s">
        <v>1527</v>
      </c>
      <c r="C518" s="2" t="s">
        <v>1528</v>
      </c>
      <c r="D518" s="2" t="s">
        <v>57</v>
      </c>
      <c r="E518" s="2" t="s">
        <v>27</v>
      </c>
      <c r="F518" s="2" t="s">
        <v>15</v>
      </c>
      <c r="G518" s="2" t="s">
        <v>1529</v>
      </c>
      <c r="H518" s="2" t="s">
        <v>182</v>
      </c>
      <c r="I518" s="2" t="str">
        <f>IFERROR(__xludf.DUMMYFUNCTION("GOOGLETRANSLATE(C518,""fr"",""en"")"),"Chaotic disaster management: incompetent expertise cabinet (mixture of files) of the big anything. Unreachable advisers ...
Unworthy of insurance worthy of the name.")</f>
        <v>Chaotic disaster management: incompetent expertise cabinet (mixture of files) of the big anything. Unreachable advisers ...
Unworthy of insurance worthy of the name.</v>
      </c>
    </row>
    <row r="519" ht="15.75" customHeight="1">
      <c r="A519" s="2">
        <v>1.0</v>
      </c>
      <c r="B519" s="2" t="s">
        <v>1530</v>
      </c>
      <c r="C519" s="2" t="s">
        <v>1531</v>
      </c>
      <c r="D519" s="2" t="s">
        <v>57</v>
      </c>
      <c r="E519" s="2" t="s">
        <v>27</v>
      </c>
      <c r="F519" s="2" t="s">
        <v>15</v>
      </c>
      <c r="G519" s="2" t="s">
        <v>1532</v>
      </c>
      <c r="H519" s="2" t="s">
        <v>236</v>
      </c>
      <c r="I519" s="2" t="str">
        <f>IFERROR(__xludf.DUMMYFUNCTION("GOOGLETRANSLATE(C519,""fr"",""en"")"),"I strongly recommend this insurance.
We had on advice from our bank open two insurance at Pacifica, Housing and Auto, we decide last October to terminate our home contract. Then started all our problems.
Pacifica stops taking without reason and in Janua"&amp;"ry informs us that if we do not pay € 400 they are solving the contract. We pay. Before the end of the month we have an accident, we contact Pacifica and there they inform us that our contract was terminated because we had not paid the € 400. Despite all "&amp;"the Pacifica evidence refuses to ensure us. In the process they send us a letter of termination.
We contact our bank which assures us again at Pacifica, but this time according to the bank, we should anticipate each time 3 months.
New surprise, during t"&amp;"he first levy, Pacifica takes us 6 months instead of 3, we contact them but they say that it is like that and even if it is written in the contract that they had to take three months, they do not can do nothing.
We only have to denounce them wherever we "&amp;"can.")</f>
        <v>I strongly recommend this insurance.
We had on advice from our bank open two insurance at Pacifica, Housing and Auto, we decide last October to terminate our home contract. Then started all our problems.
Pacifica stops taking without reason and in January informs us that if we do not pay € 400 they are solving the contract. We pay. Before the end of the month we have an accident, we contact Pacifica and there they inform us that our contract was terminated because we had not paid the € 400. Despite all the Pacifica evidence refuses to ensure us. In the process they send us a letter of termination.
We contact our bank which assures us again at Pacifica, but this time according to the bank, we should anticipate each time 3 months.
New surprise, during the first levy, Pacifica takes us 6 months instead of 3, we contact them but they say that it is like that and even if it is written in the contract that they had to take three months, they do not can do nothing.
We only have to denounce them wherever we can.</v>
      </c>
    </row>
    <row r="520" ht="15.75" customHeight="1">
      <c r="A520" s="2">
        <v>1.0</v>
      </c>
      <c r="B520" s="2" t="s">
        <v>1533</v>
      </c>
      <c r="C520" s="2" t="s">
        <v>1534</v>
      </c>
      <c r="D520" s="2" t="s">
        <v>99</v>
      </c>
      <c r="E520" s="2" t="s">
        <v>289</v>
      </c>
      <c r="F520" s="2" t="s">
        <v>15</v>
      </c>
      <c r="G520" s="2" t="s">
        <v>1535</v>
      </c>
      <c r="H520" s="2" t="s">
        <v>497</v>
      </c>
      <c r="I520" s="2" t="str">
        <f>IFERROR(__xludf.DUMMYFUNCTION("GOOGLETRANSLATE(C520,""fr"",""en"")"),"Last November I subscribed an A.V. ""rent4life"" with guaranteed annuities. The insurer removes shares without any explanations. In addition to the quarterly fees they take me monthly costs of € 1307 for a capital paid of € 170,000. I have no response to "&amp;"my request for an explanation on this monthly levy. In addition I think I was very badly advised, we insisted on the lifetime guaranteed annuities but much less on what it was going to cost me. Is anyone in the same case?")</f>
        <v>Last November I subscribed an A.V. "rent4life" with guaranteed annuities. The insurer removes shares without any explanations. In addition to the quarterly fees they take me monthly costs of € 1307 for a capital paid of € 170,000. I have no response to my request for an explanation on this monthly levy. In addition I think I was very badly advised, we insisted on the lifetime guaranteed annuities but much less on what it was going to cost me. Is anyone in the same case?</v>
      </c>
    </row>
    <row r="521" ht="15.75" customHeight="1">
      <c r="A521" s="2">
        <v>5.0</v>
      </c>
      <c r="B521" s="2" t="s">
        <v>1536</v>
      </c>
      <c r="C521" s="2" t="s">
        <v>1537</v>
      </c>
      <c r="D521" s="2" t="s">
        <v>26</v>
      </c>
      <c r="E521" s="2" t="s">
        <v>27</v>
      </c>
      <c r="F521" s="2" t="s">
        <v>15</v>
      </c>
      <c r="G521" s="2" t="s">
        <v>87</v>
      </c>
      <c r="H521" s="2" t="s">
        <v>88</v>
      </c>
      <c r="I521" s="2" t="str">
        <f>IFERROR(__xludf.DUMMYFUNCTION("GOOGLETRANSLATE(C521,""fr"",""en"")"),"A payment in two or three times by bank card would be a plus for annual formulas when imposed
Very very good sales service on the phone! Reassuring!")</f>
        <v>A payment in two or three times by bank card would be a plus for annual formulas when imposed
Very very good sales service on the phone! Reassuring!</v>
      </c>
    </row>
    <row r="522" ht="15.75" customHeight="1">
      <c r="A522" s="2">
        <v>1.0</v>
      </c>
      <c r="B522" s="2" t="s">
        <v>1538</v>
      </c>
      <c r="C522" s="2" t="s">
        <v>1539</v>
      </c>
      <c r="D522" s="2" t="s">
        <v>355</v>
      </c>
      <c r="E522" s="2" t="s">
        <v>43</v>
      </c>
      <c r="F522" s="2" t="s">
        <v>15</v>
      </c>
      <c r="G522" s="2" t="s">
        <v>1540</v>
      </c>
      <c r="H522" s="2" t="s">
        <v>141</v>
      </c>
      <c r="I522" s="2" t="str">
        <f>IFERROR(__xludf.DUMMYFUNCTION("GOOGLETRANSLATE(C522,""fr"",""en"")"),"Never covered when the disaster occurs.
This is always falling next to it and you are never compensated. And yet we pay, we pay, we pay our bonuses for nothing after all or just to be in good standing with the law.
I will therefore transfer all my contr"&amp;"acts subscribed to AXA to another insurer.")</f>
        <v>Never covered when the disaster occurs.
This is always falling next to it and you are never compensated. And yet we pay, we pay, we pay our bonuses for nothing after all or just to be in good standing with the law.
I will therefore transfer all my contracts subscribed to AXA to another insurer.</v>
      </c>
    </row>
    <row r="523" ht="15.75" customHeight="1">
      <c r="A523" s="2">
        <v>5.0</v>
      </c>
      <c r="B523" s="2" t="s">
        <v>1541</v>
      </c>
      <c r="C523" s="2" t="s">
        <v>1542</v>
      </c>
      <c r="D523" s="2" t="s">
        <v>300</v>
      </c>
      <c r="E523" s="2" t="s">
        <v>27</v>
      </c>
      <c r="F523" s="2" t="s">
        <v>15</v>
      </c>
      <c r="G523" s="2" t="s">
        <v>29</v>
      </c>
      <c r="H523" s="2" t="s">
        <v>29</v>
      </c>
      <c r="I523" s="2" t="str">
        <f>IFERROR(__xludf.DUMMYFUNCTION("GOOGLETRANSLATE(C523,""fr"",""en"")"),"I am satisfied with the services of the GMF, I, I, an in progress which I did not have an answer: forcing a door lock at my son at Maisons Alfort. (Agent for his business)")</f>
        <v>I am satisfied with the services of the GMF, I, I, an in progress which I did not have an answer: forcing a door lock at my son at Maisons Alfort. (Agent for his business)</v>
      </c>
    </row>
    <row r="524" ht="15.75" customHeight="1">
      <c r="A524" s="2">
        <v>3.0</v>
      </c>
      <c r="B524" s="2" t="s">
        <v>1543</v>
      </c>
      <c r="C524" s="2" t="s">
        <v>1544</v>
      </c>
      <c r="D524" s="2" t="s">
        <v>26</v>
      </c>
      <c r="E524" s="2" t="s">
        <v>27</v>
      </c>
      <c r="F524" s="2" t="s">
        <v>15</v>
      </c>
      <c r="G524" s="2" t="s">
        <v>1545</v>
      </c>
      <c r="H524" s="2" t="s">
        <v>228</v>
      </c>
      <c r="I524" s="2" t="str">
        <f>IFERROR(__xludf.DUMMYFUNCTION("GOOGLETRANSLATE(C524,""fr"",""en"")"),"I am satisfied for registration. Fast and effective. All that remains is to wait for the final green card impatiently in order to be covered and roll the free mind.")</f>
        <v>I am satisfied for registration. Fast and effective. All that remains is to wait for the final green card impatiently in order to be covered and roll the free mind.</v>
      </c>
    </row>
    <row r="525" ht="15.75" customHeight="1">
      <c r="A525" s="2">
        <v>4.0</v>
      </c>
      <c r="B525" s="2" t="s">
        <v>1546</v>
      </c>
      <c r="C525" s="2" t="s">
        <v>1547</v>
      </c>
      <c r="D525" s="2" t="s">
        <v>368</v>
      </c>
      <c r="E525" s="2" t="s">
        <v>68</v>
      </c>
      <c r="F525" s="2" t="s">
        <v>15</v>
      </c>
      <c r="G525" s="2" t="s">
        <v>806</v>
      </c>
      <c r="H525" s="2" t="s">
        <v>88</v>
      </c>
      <c r="I525" s="2" t="str">
        <f>IFERROR(__xludf.DUMMYFUNCTION("GOOGLETRANSLATE(C525,""fr"",""en"")"),"Excellent customer service, attentive, fast and efficient. The answers provided are useful and correspond to the need. I also recommend AMV for its completely correct prices")</f>
        <v>Excellent customer service, attentive, fast and efficient. The answers provided are useful and correspond to the need. I also recommend AMV for its completely correct prices</v>
      </c>
    </row>
    <row r="526" ht="15.75" customHeight="1">
      <c r="A526" s="2">
        <v>2.0</v>
      </c>
      <c r="B526" s="2" t="s">
        <v>1548</v>
      </c>
      <c r="C526" s="2" t="s">
        <v>1549</v>
      </c>
      <c r="D526" s="2" t="s">
        <v>288</v>
      </c>
      <c r="E526" s="2" t="s">
        <v>289</v>
      </c>
      <c r="F526" s="2" t="s">
        <v>15</v>
      </c>
      <c r="G526" s="2" t="s">
        <v>1249</v>
      </c>
      <c r="H526" s="2" t="s">
        <v>54</v>
      </c>
      <c r="I526" s="2" t="str">
        <f>IFERROR(__xludf.DUMMYFUNCTION("GOOGLETRANSLATE(C526,""fr"",""en"")"),"Very difficult to obtain your life insurance for my part I have been struggling for 13 months since the death of my mother, my brothers too.")</f>
        <v>Very difficult to obtain your life insurance for my part I have been struggling for 13 months since the death of my mother, my brothers too.</v>
      </c>
    </row>
    <row r="527" ht="15.75" customHeight="1">
      <c r="A527" s="2">
        <v>5.0</v>
      </c>
      <c r="B527" s="2" t="s">
        <v>1550</v>
      </c>
      <c r="C527" s="2" t="s">
        <v>1551</v>
      </c>
      <c r="D527" s="2" t="s">
        <v>26</v>
      </c>
      <c r="E527" s="2" t="s">
        <v>27</v>
      </c>
      <c r="F527" s="2" t="s">
        <v>15</v>
      </c>
      <c r="G527" s="2" t="s">
        <v>1552</v>
      </c>
      <c r="H527" s="2" t="s">
        <v>134</v>
      </c>
      <c r="I527" s="2" t="str">
        <f>IFERROR(__xludf.DUMMYFUNCTION("GOOGLETRANSLATE(C527,""fr"",""en"")"),"I am satisfied with the very fast service is to advise everyone a friend of me advised it is I am not disappointed with this insurance.")</f>
        <v>I am satisfied with the very fast service is to advise everyone a friend of me advised it is I am not disappointed with this insurance.</v>
      </c>
    </row>
    <row r="528" ht="15.75" customHeight="1">
      <c r="A528" s="2">
        <v>5.0</v>
      </c>
      <c r="B528" s="2" t="s">
        <v>1553</v>
      </c>
      <c r="C528" s="2" t="s">
        <v>1554</v>
      </c>
      <c r="D528" s="2" t="s">
        <v>26</v>
      </c>
      <c r="E528" s="2" t="s">
        <v>27</v>
      </c>
      <c r="F528" s="2" t="s">
        <v>15</v>
      </c>
      <c r="G528" s="2" t="s">
        <v>1555</v>
      </c>
      <c r="H528" s="2" t="s">
        <v>840</v>
      </c>
      <c r="I528" s="2" t="str">
        <f>IFERROR(__xludf.DUMMYFUNCTION("GOOGLETRANSLATE(C528,""fr"",""en"")"),"Effective and not expensive, and no, this time it is the olive assurance. In addition, their customer service is super kind.")</f>
        <v>Effective and not expensive, and no, this time it is the olive assurance. In addition, their customer service is super kind.</v>
      </c>
    </row>
    <row r="529" ht="15.75" customHeight="1">
      <c r="A529" s="2">
        <v>1.0</v>
      </c>
      <c r="B529" s="2" t="s">
        <v>1556</v>
      </c>
      <c r="C529" s="2" t="s">
        <v>1557</v>
      </c>
      <c r="D529" s="2" t="s">
        <v>448</v>
      </c>
      <c r="E529" s="2" t="s">
        <v>27</v>
      </c>
      <c r="F529" s="2" t="s">
        <v>15</v>
      </c>
      <c r="G529" s="2" t="s">
        <v>1558</v>
      </c>
      <c r="H529" s="2" t="s">
        <v>34</v>
      </c>
      <c r="I529" s="2" t="str">
        <f>IFERROR(__xludf.DUMMYFUNCTION("GOOGLETRANSLATE(C529,""fr"",""en"")"),"To receive advice ... he preferred TV communication ... but it is not the maaf that I prefer ... with this pretty choré ....")</f>
        <v>To receive advice ... he preferred TV communication ... but it is not the maaf that I prefer ... with this pretty choré ....</v>
      </c>
    </row>
    <row r="530" ht="15.75" customHeight="1">
      <c r="A530" s="2">
        <v>4.0</v>
      </c>
      <c r="B530" s="2" t="s">
        <v>1559</v>
      </c>
      <c r="C530" s="2" t="s">
        <v>1560</v>
      </c>
      <c r="D530" s="2" t="s">
        <v>26</v>
      </c>
      <c r="E530" s="2" t="s">
        <v>27</v>
      </c>
      <c r="F530" s="2" t="s">
        <v>15</v>
      </c>
      <c r="G530" s="2" t="s">
        <v>1561</v>
      </c>
      <c r="H530" s="2" t="s">
        <v>228</v>
      </c>
      <c r="I530" s="2" t="str">
        <f>IFERROR(__xludf.DUMMYFUNCTION("GOOGLETRANSLATE(C530,""fr"",""en"")"),"For a young driver I find that prices and services give by Olivier Insurance are really good. I strongly recommend this asurance to Direct Insurance which offers the same services but more expensive.")</f>
        <v>For a young driver I find that prices and services give by Olivier Insurance are really good. I strongly recommend this asurance to Direct Insurance which offers the same services but more expensive.</v>
      </c>
    </row>
    <row r="531" ht="15.75" customHeight="1">
      <c r="A531" s="2">
        <v>1.0</v>
      </c>
      <c r="B531" s="2" t="s">
        <v>1562</v>
      </c>
      <c r="C531" s="2" t="s">
        <v>1563</v>
      </c>
      <c r="D531" s="2" t="s">
        <v>48</v>
      </c>
      <c r="E531" s="2" t="s">
        <v>21</v>
      </c>
      <c r="F531" s="2" t="s">
        <v>15</v>
      </c>
      <c r="G531" s="2" t="s">
        <v>1564</v>
      </c>
      <c r="H531" s="2" t="s">
        <v>365</v>
      </c>
      <c r="I531" s="2" t="str">
        <f>IFERROR(__xludf.DUMMYFUNCTION("GOOGLETRANSLATE(C531,""fr"",""en"")"),"I thought four years ago found the replacement of my former mutual of my employer, today I am very disappointed increase of 300 euros because we exceed sixties, the site is practical but the answer is long too long and then No effort no humanity profits a"&amp;"t all costs (pub on TV it is we who pay !!!!)
Insipid responses to believe that they do not read our emails, they answer to ask you more docs but when you try to join them to discuss for example the prices and review your contract more nobody !!! I am ve"&amp;"ry angry because I have a dental file in progress and very badly received !!!
I do not leave my contact details because everything I advance has already been said either by email or in my calls (when I have arrived to join them)")</f>
        <v>I thought four years ago found the replacement of my former mutual of my employer, today I am very disappointed increase of 300 euros because we exceed sixties, the site is practical but the answer is long too long and then No effort no humanity profits at all costs (pub on TV it is we who pay !!!!)
Insipid responses to believe that they do not read our emails, they answer to ask you more docs but when you try to join them to discuss for example the prices and review your contract more nobody !!! I am very angry because I have a dental file in progress and very badly received !!!
I do not leave my contact details because everything I advance has already been said either by email or in my calls (when I have arrived to join them)</v>
      </c>
    </row>
    <row r="532" ht="15.75" customHeight="1">
      <c r="A532" s="2">
        <v>5.0</v>
      </c>
      <c r="B532" s="2" t="s">
        <v>1565</v>
      </c>
      <c r="C532" s="2" t="s">
        <v>1566</v>
      </c>
      <c r="D532" s="2" t="s">
        <v>26</v>
      </c>
      <c r="E532" s="2" t="s">
        <v>27</v>
      </c>
      <c r="F532" s="2" t="s">
        <v>15</v>
      </c>
      <c r="G532" s="2" t="s">
        <v>1567</v>
      </c>
      <c r="H532" s="2" t="s">
        <v>228</v>
      </c>
      <c r="I532" s="2" t="str">
        <f>IFERROR(__xludf.DUMMYFUNCTION("GOOGLETRANSLATE(C532,""fr"",""en"")")," Even more than satisfied frankly.
Simple, fast, and efficiency more thank you very much for the service than you bring to us.
The advisers are at our listening and that for me is very important.")</f>
        <v> Even more than satisfied frankly.
Simple, fast, and efficiency more thank you very much for the service than you bring to us.
The advisers are at our listening and that for me is very important.</v>
      </c>
    </row>
    <row r="533" ht="15.75" customHeight="1">
      <c r="A533" s="2">
        <v>3.0</v>
      </c>
      <c r="B533" s="2" t="s">
        <v>1568</v>
      </c>
      <c r="C533" s="2" t="s">
        <v>1569</v>
      </c>
      <c r="D533" s="2" t="s">
        <v>26</v>
      </c>
      <c r="E533" s="2" t="s">
        <v>27</v>
      </c>
      <c r="F533" s="2" t="s">
        <v>15</v>
      </c>
      <c r="G533" s="2" t="s">
        <v>1570</v>
      </c>
      <c r="H533" s="2" t="s">
        <v>661</v>
      </c>
      <c r="I533" s="2" t="str">
        <f>IFERROR(__xludf.DUMMYFUNCTION("GOOGLETRANSLATE(C533,""fr"",""en"")"),"I find that the price a little expensive in view of the two contracts with you, please review your prices for the coming year. Thanks for making the necessary. Cordially")</f>
        <v>I find that the price a little expensive in view of the two contracts with you, please review your prices for the coming year. Thanks for making the necessary. Cordially</v>
      </c>
    </row>
    <row r="534" ht="15.75" customHeight="1">
      <c r="A534" s="2">
        <v>5.0</v>
      </c>
      <c r="B534" s="2" t="s">
        <v>1571</v>
      </c>
      <c r="C534" s="2" t="s">
        <v>1572</v>
      </c>
      <c r="D534" s="2" t="s">
        <v>217</v>
      </c>
      <c r="E534" s="2" t="s">
        <v>27</v>
      </c>
      <c r="F534" s="2" t="s">
        <v>15</v>
      </c>
      <c r="G534" s="2" t="s">
        <v>1573</v>
      </c>
      <c r="H534" s="2" t="s">
        <v>134</v>
      </c>
      <c r="I534" s="2" t="str">
        <f>IFERROR(__xludf.DUMMYFUNCTION("GOOGLETRANSLATE(C534,""fr"",""en"")"),"For more than 30 years very well in all respects (advice, reimbursements, price, availability) 10sur10 for me I recommend! as an insurer (auto, housing, health)")</f>
        <v>For more than 30 years very well in all respects (advice, reimbursements, price, availability) 10sur10 for me I recommend! as an insurer (auto, housing, health)</v>
      </c>
    </row>
    <row r="535" ht="15.75" customHeight="1">
      <c r="A535" s="2">
        <v>4.0</v>
      </c>
      <c r="B535" s="2" t="s">
        <v>1574</v>
      </c>
      <c r="C535" s="2" t="s">
        <v>1575</v>
      </c>
      <c r="D535" s="2" t="s">
        <v>32</v>
      </c>
      <c r="E535" s="2" t="s">
        <v>120</v>
      </c>
      <c r="F535" s="2" t="s">
        <v>15</v>
      </c>
      <c r="G535" s="2" t="s">
        <v>829</v>
      </c>
      <c r="H535" s="2" t="s">
        <v>62</v>
      </c>
      <c r="I535" s="2" t="str">
        <f>IFERROR(__xludf.DUMMYFUNCTION("GOOGLETRANSLATE(C535,""fr"",""en"")"),"I have been a member for over twenty years.
Very good mutual.
Reactive and at the service of its members, during contacts and telephone exchanges.
Continue.
")</f>
        <v>I have been a member for over twenty years.
Very good mutual.
Reactive and at the service of its members, during contacts and telephone exchanges.
Continue.
</v>
      </c>
    </row>
    <row r="536" ht="15.75" customHeight="1">
      <c r="A536" s="2">
        <v>1.0</v>
      </c>
      <c r="B536" s="2" t="s">
        <v>1576</v>
      </c>
      <c r="C536" s="2" t="s">
        <v>1577</v>
      </c>
      <c r="D536" s="2" t="s">
        <v>20</v>
      </c>
      <c r="E536" s="2" t="s">
        <v>21</v>
      </c>
      <c r="F536" s="2" t="s">
        <v>15</v>
      </c>
      <c r="G536" s="2" t="s">
        <v>1578</v>
      </c>
      <c r="H536" s="2" t="s">
        <v>206</v>
      </c>
      <c r="I536" s="2" t="str">
        <f>IFERROR(__xludf.DUMMYFUNCTION("GOOGLETRANSLATE(C536,""fr"",""en"")"),"They are incompetent, lose the documents and refuse to reimburse ... The long minutes of waiting on the phone are added to the nullity of the people who answer you ... in short a lamentable mutual")</f>
        <v>They are incompetent, lose the documents and refuse to reimburse ... The long minutes of waiting on the phone are added to the nullity of the people who answer you ... in short a lamentable mutual</v>
      </c>
    </row>
    <row r="537" ht="15.75" customHeight="1">
      <c r="A537" s="2">
        <v>2.0</v>
      </c>
      <c r="B537" s="2" t="s">
        <v>1579</v>
      </c>
      <c r="C537" s="2" t="s">
        <v>1580</v>
      </c>
      <c r="D537" s="2" t="s">
        <v>37</v>
      </c>
      <c r="E537" s="2" t="s">
        <v>27</v>
      </c>
      <c r="F537" s="2" t="s">
        <v>15</v>
      </c>
      <c r="G537" s="2" t="s">
        <v>1581</v>
      </c>
      <c r="H537" s="2" t="s">
        <v>427</v>
      </c>
      <c r="I537" s="2" t="str">
        <f>IFERROR(__xludf.DUMMYFUNCTION("GOOGLETRANSLATE(C537,""fr"",""en"")"),"I am Azmine Samira, insured at Direct Insurance, on November 27, 2016, I had a car accident, an alcoholic and uninsured person returned to the back causing material damage on my vehicle as At the front (with the shock I was projected). The police forces ("&amp;"the gendarmerie) intervened and established a report. On December 20, 2016 my vehicle passed under the hands of the expert and to establish repairs up to 2066 euros. Phew finally I will be able to repair my vehicle and go to work with it. Hey bin no !!! S"&amp;"ince December my vehicle is non -rolling, in the garage and on the contrary for more than 4 months I have taken my adorable company every month in time. When I have them on the phone to find out what it is, I have the sole answer: ""I understand you but h"&amp;"ave to wait for the opposing company that it answers us"" how long? Bin to wait a month for it to answer us otherwise we relaunch them and wait another month. Knowing that for more than 4 months direct assurance to revive them than twice !!!! To believe t"&amp;"hat it is up to us to do their job. Must imagine it is true that for a company as important as direct insurance unlocking 2066 euros to one of their insured victim would cause them bankrupt! ""I'm sorry and I understand you!"" Former assured for more than"&amp;" 10 years with the Maaf, I bitterly regret this company and what is on is that at present I do not recommend direct insurance to anyone, just to save a few euros, that Really not worth it. Of course, if I had the funds, I would have advanced them even whi"&amp;"le waiting for me to reimburse me .... but being a single mother, a young child, living and working in the Paris region I am unlivable to me. But fortunately for me, I have the understanding of my adorable company, what empathy !!! Let us be serious I am "&amp;"still bewildered by contempt and silence that such an important company can bring to its insured all this in the main objective, not pay! But for samples they are present. Thank you direct insurance !!!")</f>
        <v>I am Azmine Samira, insured at Direct Insurance, on November 27, 2016, I had a car accident, an alcoholic and uninsured person returned to the back causing material damage on my vehicle as At the front (with the shock I was projected). The police forces (the gendarmerie) intervened and established a report. On December 20, 2016 my vehicle passed under the hands of the expert and to establish repairs up to 2066 euros. Phew finally I will be able to repair my vehicle and go to work with it. Hey bin no !!! Since December my vehicle is non -rolling, in the garage and on the contrary for more than 4 months I have taken my adorable company every month in time. When I have them on the phone to find out what it is, I have the sole answer: "I understand you but have to wait for the opposing company that it answers us" how long? Bin to wait a month for it to answer us otherwise we relaunch them and wait another month. Knowing that for more than 4 months direct assurance to revive them than twice !!!! To believe that it is up to us to do their job. Must imagine it is true that for a company as important as direct insurance unlocking 2066 euros to one of their insured victim would cause them bankrupt! "I'm sorry and I understand you!" Former assured for more than 10 years with the Maaf, I bitterly regret this company and what is on is that at present I do not recommend direct insurance to anyone, just to save a few euros, that Really not worth it. Of course, if I had the funds, I would have advanced them even while waiting for me to reimburse me .... but being a single mother, a young child, living and working in the Paris region I am unlivable to me. But fortunately for me, I have the understanding of my adorable company, what empathy !!! Let us be serious I am still bewildered by contempt and silence that such an important company can bring to its insured all this in the main objective, not pay! But for samples they are present. Thank you direct insurance !!!</v>
      </c>
    </row>
    <row r="538" ht="15.75" customHeight="1">
      <c r="A538" s="2">
        <v>4.0</v>
      </c>
      <c r="B538" s="2" t="s">
        <v>1582</v>
      </c>
      <c r="C538" s="2" t="s">
        <v>1583</v>
      </c>
      <c r="D538" s="2" t="s">
        <v>37</v>
      </c>
      <c r="E538" s="2" t="s">
        <v>27</v>
      </c>
      <c r="F538" s="2" t="s">
        <v>15</v>
      </c>
      <c r="G538" s="2" t="s">
        <v>1089</v>
      </c>
      <c r="H538" s="2" t="s">
        <v>62</v>
      </c>
      <c r="I538" s="2" t="str">
        <f>IFERROR(__xludf.DUMMYFUNCTION("GOOGLETRANSLATE(C538,""fr"",""en"")"),"The price is very interesting but I would like to be contacting because I replaced a vehicle but having already paid last month and that my vehicle and state sold at the start of the month, and that I am paid for 2 months in advance I don't understand")</f>
        <v>The price is very interesting but I would like to be contacting because I replaced a vehicle but having already paid last month and that my vehicle and state sold at the start of the month, and that I am paid for 2 months in advance I don't understand</v>
      </c>
    </row>
    <row r="539" ht="15.75" customHeight="1">
      <c r="A539" s="2">
        <v>1.0</v>
      </c>
      <c r="B539" s="2" t="s">
        <v>1584</v>
      </c>
      <c r="C539" s="2" t="s">
        <v>1585</v>
      </c>
      <c r="D539" s="2" t="s">
        <v>264</v>
      </c>
      <c r="E539" s="2" t="s">
        <v>27</v>
      </c>
      <c r="F539" s="2" t="s">
        <v>15</v>
      </c>
      <c r="G539" s="2" t="s">
        <v>1586</v>
      </c>
      <c r="H539" s="2" t="s">
        <v>116</v>
      </c>
      <c r="I539" s="2" t="str">
        <f>IFERROR(__xludf.DUMMYFUNCTION("GOOGLETRANSLATE(C539,""fr"",""en"")"),"I have signed an automotive insurance contract with them. I have returned all the necessary documents except my driving license because I was in the process of reducing it, proof of submitting file to the prefecture.
They relaunch me several times and ea"&amp;"ch time I answer them, proof of email, that as soon as I have the permit in my possession I will send them.
Last week I am the victim of a road accident, after 10 minutes of waiting on the phone, my interlocutor tells me that my contract has been termina"&amp;"ted for 3 weeks. I have received neither email nor recommended to signify this termination. The insurance premium has been collected by Active Insurance. I have an appointment tomorrow with my lawyer. If several people are in my case and want to join me. "&amp;"Contact me.")</f>
        <v>I have signed an automotive insurance contract with them. I have returned all the necessary documents except my driving license because I was in the process of reducing it, proof of submitting file to the prefecture.
They relaunch me several times and each time I answer them, proof of email, that as soon as I have the permit in my possession I will send them.
Last week I am the victim of a road accident, after 10 minutes of waiting on the phone, my interlocutor tells me that my contract has been terminated for 3 weeks. I have received neither email nor recommended to signify this termination. The insurance premium has been collected by Active Insurance. I have an appointment tomorrow with my lawyer. If several people are in my case and want to join me. Contact me.</v>
      </c>
    </row>
    <row r="540" ht="15.75" customHeight="1">
      <c r="A540" s="2">
        <v>5.0</v>
      </c>
      <c r="B540" s="2" t="s">
        <v>1587</v>
      </c>
      <c r="C540" s="2" t="s">
        <v>1588</v>
      </c>
      <c r="D540" s="2" t="s">
        <v>26</v>
      </c>
      <c r="E540" s="2" t="s">
        <v>27</v>
      </c>
      <c r="F540" s="2" t="s">
        <v>15</v>
      </c>
      <c r="G540" s="2" t="s">
        <v>646</v>
      </c>
      <c r="H540" s="2" t="s">
        <v>62</v>
      </c>
      <c r="I540" s="2" t="str">
        <f>IFERROR(__xludf.DUMMYFUNCTION("GOOGLETRANSLATE(C540,""fr"",""en"")"),"I am very happy to have met Olivier Insurance, always at the top nothing to say, the insurance is cheap, superb welcome, on the phone great")</f>
        <v>I am very happy to have met Olivier Insurance, always at the top nothing to say, the insurance is cheap, superb welcome, on the phone great</v>
      </c>
    </row>
    <row r="541" ht="15.75" customHeight="1">
      <c r="A541" s="2">
        <v>1.0</v>
      </c>
      <c r="B541" s="2" t="s">
        <v>1589</v>
      </c>
      <c r="C541" s="2" t="s">
        <v>1590</v>
      </c>
      <c r="D541" s="2" t="s">
        <v>180</v>
      </c>
      <c r="E541" s="2" t="s">
        <v>21</v>
      </c>
      <c r="F541" s="2" t="s">
        <v>15</v>
      </c>
      <c r="G541" s="2" t="s">
        <v>1591</v>
      </c>
      <c r="H541" s="2" t="s">
        <v>214</v>
      </c>
      <c r="I541" s="2" t="str">
        <f>IFERROR(__xludf.DUMMYFUNCTION("GOOGLETRANSLATE(C541,""fr"",""en"")"),"Cocoon has struck me on the day of my subscription without my knowledge. I realize it by chance two weeks later. Complaint for 1 week, I call several but even speech it will be treated, endless and always postponed delays. File still not updated. Still no"&amp;"t access to reimbursements for 3 weeks.")</f>
        <v>Cocoon has struck me on the day of my subscription without my knowledge. I realize it by chance two weeks later. Complaint for 1 week, I call several but even speech it will be treated, endless and always postponed delays. File still not updated. Still not access to reimbursements for 3 weeks.</v>
      </c>
    </row>
    <row r="542" ht="15.75" customHeight="1">
      <c r="A542" s="2">
        <v>5.0</v>
      </c>
      <c r="B542" s="2" t="s">
        <v>1592</v>
      </c>
      <c r="C542" s="2" t="s">
        <v>1593</v>
      </c>
      <c r="D542" s="2" t="s">
        <v>26</v>
      </c>
      <c r="E542" s="2" t="s">
        <v>27</v>
      </c>
      <c r="F542" s="2" t="s">
        <v>15</v>
      </c>
      <c r="G542" s="2" t="s">
        <v>892</v>
      </c>
      <c r="H542" s="2" t="s">
        <v>88</v>
      </c>
      <c r="I542" s="2" t="str">
        <f>IFERROR(__xludf.DUMMYFUNCTION("GOOGLETRANSLATE(C542,""fr"",""en"")"),"Quick quote and signature, now we can take advantage of this insurance, hope that we do not need, easy to subscribe fast and efficient")</f>
        <v>Quick quote and signature, now we can take advantage of this insurance, hope that we do not need, easy to subscribe fast and efficient</v>
      </c>
    </row>
    <row r="543" ht="15.75" customHeight="1">
      <c r="A543" s="2">
        <v>1.0</v>
      </c>
      <c r="B543" s="2" t="s">
        <v>1594</v>
      </c>
      <c r="C543" s="2" t="s">
        <v>1595</v>
      </c>
      <c r="D543" s="2" t="s">
        <v>37</v>
      </c>
      <c r="E543" s="2" t="s">
        <v>27</v>
      </c>
      <c r="F543" s="2" t="s">
        <v>15</v>
      </c>
      <c r="G543" s="2" t="s">
        <v>877</v>
      </c>
      <c r="H543" s="2" t="s">
        <v>23</v>
      </c>
      <c r="I543" s="2" t="str">
        <f>IFERROR(__xludf.DUMMYFUNCTION("GOOGLETRANSLATE(C543,""fr"",""en"")"),"I had 2 claims or I was not implicated and no file follow -up, I change insurance from the next contract renewal!
The first time the advisor tells me not to file a complaint that it will not give any continuation, and the second time I had 1 call and the"&amp;"n never contacted, and each time I try to contact them I put 20min Wait without having an answer!")</f>
        <v>I had 2 claims or I was not implicated and no file follow -up, I change insurance from the next contract renewal!
The first time the advisor tells me not to file a complaint that it will not give any continuation, and the second time I had 1 call and then never contacted, and each time I try to contact them I put 20min Wait without having an answer!</v>
      </c>
    </row>
    <row r="544" ht="15.75" customHeight="1">
      <c r="A544" s="2">
        <v>4.0</v>
      </c>
      <c r="B544" s="2" t="s">
        <v>1596</v>
      </c>
      <c r="C544" s="2" t="s">
        <v>1597</v>
      </c>
      <c r="D544" s="2" t="s">
        <v>180</v>
      </c>
      <c r="E544" s="2" t="s">
        <v>21</v>
      </c>
      <c r="F544" s="2" t="s">
        <v>15</v>
      </c>
      <c r="G544" s="2" t="s">
        <v>1598</v>
      </c>
      <c r="H544" s="2" t="s">
        <v>236</v>
      </c>
      <c r="I544" s="2" t="str">
        <f>IFERROR(__xludf.DUMMYFUNCTION("GOOGLETRANSLATE(C544,""fr"",""en"")"),"My business mutual ended on March 31 and Axa immediately took over, but generation is slow to denot the CPAM fund and all my reimbursements are blocked. I did the steps via their online form ... Still no news. Still blocked at the CPAM and AXA level ... L"&amp;"ike what, it is necessarily the brothel to change mutual even when you do it ahead, it's serious.")</f>
        <v>My business mutual ended on March 31 and Axa immediately took over, but generation is slow to denot the CPAM fund and all my reimbursements are blocked. I did the steps via their online form ... Still no news. Still blocked at the CPAM and AXA level ... Like what, it is necessarily the brothel to change mutual even when you do it ahead, it's serious.</v>
      </c>
    </row>
    <row r="545" ht="15.75" customHeight="1">
      <c r="A545" s="2">
        <v>1.0</v>
      </c>
      <c r="B545" s="2" t="s">
        <v>1599</v>
      </c>
      <c r="C545" s="2" t="s">
        <v>1600</v>
      </c>
      <c r="D545" s="2" t="s">
        <v>245</v>
      </c>
      <c r="E545" s="2" t="s">
        <v>21</v>
      </c>
      <c r="F545" s="2" t="s">
        <v>15</v>
      </c>
      <c r="G545" s="2" t="s">
        <v>1601</v>
      </c>
      <c r="H545" s="2" t="s">
        <v>39</v>
      </c>
      <c r="I545" s="2" t="str">
        <f>IFERROR(__xludf.DUMMYFUNCTION("GOOGLETRANSLATE(C545,""fr"",""en"")"),"In complaint for almost a month on the invoice of adult orthodontics refused by the Secu, I finally managed to have someone to inform me that I had not sent an invoice. And this despite the fact that the letter AR with it was received by them on 06/03/20,"&amp;" 3 emails via the site were also received (I have the accused of receipt) and 3 calls where the advisers confirm to have transferred the invoice to the service concerned. A vicious circle, they ask me, I send it back and they say that not. I do not advise"&amp;", absolutely to avoid. Insurance competition being very tough, you can find a better deal. The price is not too expensive for the absence of the service behind.")</f>
        <v>In complaint for almost a month on the invoice of adult orthodontics refused by the Secu, I finally managed to have someone to inform me that I had not sent an invoice. And this despite the fact that the letter AR with it was received by them on 06/03/20, 3 emails via the site were also received (I have the accused of receipt) and 3 calls where the advisers confirm to have transferred the invoice to the service concerned. A vicious circle, they ask me, I send it back and they say that not. I do not advise, absolutely to avoid. Insurance competition being very tough, you can find a better deal. The price is not too expensive for the absence of the service behind.</v>
      </c>
    </row>
    <row r="546" ht="15.75" customHeight="1">
      <c r="A546" s="2">
        <v>4.0</v>
      </c>
      <c r="B546" s="2" t="s">
        <v>1602</v>
      </c>
      <c r="C546" s="2" t="s">
        <v>1603</v>
      </c>
      <c r="D546" s="2" t="s">
        <v>37</v>
      </c>
      <c r="E546" s="2" t="s">
        <v>27</v>
      </c>
      <c r="F546" s="2" t="s">
        <v>15</v>
      </c>
      <c r="G546" s="2" t="s">
        <v>1039</v>
      </c>
      <c r="H546" s="2" t="s">
        <v>29</v>
      </c>
      <c r="I546" s="2" t="str">
        <f>IFERROR(__xludf.DUMMYFUNCTION("GOOGLETRANSLATE(C546,""fr"",""en"")"),"fast, practical
interesting price
No tedious searches and they take care of everything, I highly recommend direct insurance for housing and vehicle")</f>
        <v>fast, practical
interesting price
No tedious searches and they take care of everything, I highly recommend direct insurance for housing and vehicle</v>
      </c>
    </row>
    <row r="547" ht="15.75" customHeight="1">
      <c r="A547" s="2">
        <v>2.0</v>
      </c>
      <c r="B547" s="2" t="s">
        <v>1604</v>
      </c>
      <c r="C547" s="2" t="s">
        <v>1605</v>
      </c>
      <c r="D547" s="2" t="s">
        <v>180</v>
      </c>
      <c r="E547" s="2" t="s">
        <v>21</v>
      </c>
      <c r="F547" s="2" t="s">
        <v>15</v>
      </c>
      <c r="G547" s="2" t="s">
        <v>1606</v>
      </c>
      <c r="H547" s="2" t="s">
        <v>1607</v>
      </c>
      <c r="I547" s="2" t="str">
        <f>IFERROR(__xludf.DUMMYFUNCTION("GOOGLETRANSLATE(C547,""fr"",""en"")"),"Very mauve service, since 2015 that we have been customers and no refund for the 7 people included, double charge, the monthly payment of Mutuel plus medical costs, what is it for?")</f>
        <v>Very mauve service, since 2015 that we have been customers and no refund for the 7 people included, double charge, the monthly payment of Mutuel plus medical costs, what is it for?</v>
      </c>
    </row>
    <row r="548" ht="15.75" customHeight="1">
      <c r="A548" s="2">
        <v>3.0</v>
      </c>
      <c r="B548" s="2" t="s">
        <v>1608</v>
      </c>
      <c r="C548" s="2" t="s">
        <v>1609</v>
      </c>
      <c r="D548" s="2" t="s">
        <v>48</v>
      </c>
      <c r="E548" s="2" t="s">
        <v>21</v>
      </c>
      <c r="F548" s="2" t="s">
        <v>15</v>
      </c>
      <c r="G548" s="2" t="s">
        <v>1610</v>
      </c>
      <c r="H548" s="2" t="s">
        <v>336</v>
      </c>
      <c r="I548" s="2" t="str">
        <f>IFERROR(__xludf.DUMMYFUNCTION("GOOGLETRANSLATE(C548,""fr"",""en"")"),"I'm looking for a senior mutual. The salesperson sent me a non -senior formula! The proposed couple price is more expensive of € 5 because two years older. The explanations are not given on the phone and when I ask I am answered in an exasperated tone. I "&amp;"was hung up at the nose at 6 p.m. last Thursday after 19 minutes of waiting instead of 5 minutes announced. Is it odious ???? My salesperson does not remind me of.")</f>
        <v>I'm looking for a senior mutual. The salesperson sent me a non -senior formula! The proposed couple price is more expensive of € 5 because two years older. The explanations are not given on the phone and when I ask I am answered in an exasperated tone. I was hung up at the nose at 6 p.m. last Thursday after 19 minutes of waiting instead of 5 minutes announced. Is it odious ???? My salesperson does not remind me of.</v>
      </c>
    </row>
    <row r="549" ht="15.75" customHeight="1">
      <c r="A549" s="2">
        <v>4.0</v>
      </c>
      <c r="B549" s="2" t="s">
        <v>1611</v>
      </c>
      <c r="C549" s="2" t="s">
        <v>1612</v>
      </c>
      <c r="D549" s="2" t="s">
        <v>32</v>
      </c>
      <c r="E549" s="2" t="s">
        <v>21</v>
      </c>
      <c r="F549" s="2" t="s">
        <v>15</v>
      </c>
      <c r="G549" s="2" t="s">
        <v>261</v>
      </c>
      <c r="H549" s="2" t="s">
        <v>23</v>
      </c>
      <c r="I549" s="2" t="str">
        <f>IFERROR(__xludf.DUMMYFUNCTION("GOOGLETRANSLATE(C549,""fr"",""en"")"),"Good mutual insurance company but which unfortunately does not cover the costs in terms of alternative medicine, psychiatrist ... Optical management is also low even if I raise my level of warranty.")</f>
        <v>Good mutual insurance company but which unfortunately does not cover the costs in terms of alternative medicine, psychiatrist ... Optical management is also low even if I raise my level of warranty.</v>
      </c>
    </row>
    <row r="550" ht="15.75" customHeight="1">
      <c r="A550" s="2">
        <v>4.0</v>
      </c>
      <c r="B550" s="2" t="s">
        <v>1613</v>
      </c>
      <c r="C550" s="2" t="s">
        <v>1614</v>
      </c>
      <c r="D550" s="2" t="s">
        <v>107</v>
      </c>
      <c r="E550" s="2" t="s">
        <v>21</v>
      </c>
      <c r="F550" s="2" t="s">
        <v>15</v>
      </c>
      <c r="G550" s="2" t="s">
        <v>905</v>
      </c>
      <c r="H550" s="2" t="s">
        <v>236</v>
      </c>
      <c r="I550" s="2" t="str">
        <f>IFERROR(__xludf.DUMMYFUNCTION("GOOGLETRANSLATE(C550,""fr"",""en"")"),"Very warm telephone, pleasant staff and good advice ........")</f>
        <v>Very warm telephone, pleasant staff and good advice ........</v>
      </c>
    </row>
    <row r="551" ht="15.75" customHeight="1">
      <c r="A551" s="2">
        <v>3.0</v>
      </c>
      <c r="B551" s="2" t="s">
        <v>1615</v>
      </c>
      <c r="C551" s="2" t="s">
        <v>1616</v>
      </c>
      <c r="D551" s="2" t="s">
        <v>300</v>
      </c>
      <c r="E551" s="2" t="s">
        <v>27</v>
      </c>
      <c r="F551" s="2" t="s">
        <v>15</v>
      </c>
      <c r="G551" s="2" t="s">
        <v>1617</v>
      </c>
      <c r="H551" s="2" t="s">
        <v>116</v>
      </c>
      <c r="I551" s="2" t="str">
        <f>IFERROR(__xludf.DUMMYFUNCTION("GOOGLETRANSLATE(C551,""fr"",""en"")"),"Too bad we only think of new insured people to give them some months of insurance")</f>
        <v>Too bad we only think of new insured people to give them some months of insurance</v>
      </c>
    </row>
    <row r="552" ht="15.75" customHeight="1">
      <c r="A552" s="2">
        <v>5.0</v>
      </c>
      <c r="B552" s="2" t="s">
        <v>1618</v>
      </c>
      <c r="C552" s="2" t="s">
        <v>1619</v>
      </c>
      <c r="D552" s="2" t="s">
        <v>26</v>
      </c>
      <c r="E552" s="2" t="s">
        <v>27</v>
      </c>
      <c r="F552" s="2" t="s">
        <v>15</v>
      </c>
      <c r="G552" s="2" t="s">
        <v>646</v>
      </c>
      <c r="H552" s="2" t="s">
        <v>62</v>
      </c>
      <c r="I552" s="2" t="str">
        <f>IFERROR(__xludf.DUMMYFUNCTION("GOOGLETRANSLATE(C552,""fr"",""en"")"),"I’m satisfied with services at the moment.
Reception and salespeople are pleasant and competent, the prices are affordable. I recommend 100%.")</f>
        <v>I’m satisfied with services at the moment.
Reception and salespeople are pleasant and competent, the prices are affordable. I recommend 100%.</v>
      </c>
    </row>
    <row r="553" ht="15.75" customHeight="1">
      <c r="A553" s="2">
        <v>4.0</v>
      </c>
      <c r="B553" s="2" t="s">
        <v>1620</v>
      </c>
      <c r="C553" s="2" t="s">
        <v>1621</v>
      </c>
      <c r="D553" s="2" t="s">
        <v>26</v>
      </c>
      <c r="E553" s="2" t="s">
        <v>27</v>
      </c>
      <c r="F553" s="2" t="s">
        <v>15</v>
      </c>
      <c r="G553" s="2" t="s">
        <v>195</v>
      </c>
      <c r="H553" s="2" t="s">
        <v>29</v>
      </c>
      <c r="I553" s="2" t="str">
        <f>IFERROR(__xludf.DUMMYFUNCTION("GOOGLETRANSLATE(C553,""fr"",""en"")"),"Very satisfied with this assurance to see if I have a concern one day I hope that everything will pass as in the advertisements that have little seen everywhere.")</f>
        <v>Very satisfied with this assurance to see if I have a concern one day I hope that everything will pass as in the advertisements that have little seen everywhere.</v>
      </c>
    </row>
    <row r="554" ht="15.75" customHeight="1">
      <c r="A554" s="2">
        <v>1.0</v>
      </c>
      <c r="B554" s="2" t="s">
        <v>1622</v>
      </c>
      <c r="C554" s="2" t="s">
        <v>1623</v>
      </c>
      <c r="D554" s="2" t="s">
        <v>1268</v>
      </c>
      <c r="E554" s="2" t="s">
        <v>120</v>
      </c>
      <c r="F554" s="2" t="s">
        <v>15</v>
      </c>
      <c r="G554" s="2" t="s">
        <v>512</v>
      </c>
      <c r="H554" s="2" t="s">
        <v>188</v>
      </c>
      <c r="I554" s="2" t="str">
        <f>IFERROR(__xludf.DUMMYFUNCTION("GOOGLETRANSLATE(C554,""fr"",""en"")"),"Member of interior and state official for 35 years this is what happens to me. For 18 months, I have been on a work stoppage for serious ""pathologies"". On December 12, 2019, my emlponer placed me on automatic availability ""no opinion"" so illegal. Havi"&amp;"ng subscribed to provident and yes 183 euros of subscription, I provided all the requested documents. Since April, nothing is no answer except to put on hold. Today and thanks to this mutual insurance company I am banned, I am the subject of threats of se"&amp;"izures on the part of my creditors and the pompom, I do not touch any cents since everything is taken by my bank to cover the discoveries. Since April, I only eat pasta thanks to this mutual and the worst is that I cannot read it. After many calls and ste"&amp;"rile discussions, I wonder if a complaint towards this mutual insurance company would be likely to make it move?")</f>
        <v>Member of interior and state official for 35 years this is what happens to me. For 18 months, I have been on a work stoppage for serious "pathologies". On December 12, 2019, my emlponer placed me on automatic availability "no opinion" so illegal. Having subscribed to provident and yes 183 euros of subscription, I provided all the requested documents. Since April, nothing is no answer except to put on hold. Today and thanks to this mutual insurance company I am banned, I am the subject of threats of seizures on the part of my creditors and the pompom, I do not touch any cents since everything is taken by my bank to cover the discoveries. Since April, I only eat pasta thanks to this mutual and the worst is that I cannot read it. After many calls and sterile discussions, I wonder if a complaint towards this mutual insurance company would be likely to make it move?</v>
      </c>
    </row>
    <row r="555" ht="15.75" customHeight="1">
      <c r="A555" s="2">
        <v>3.0</v>
      </c>
      <c r="B555" s="2" t="s">
        <v>1624</v>
      </c>
      <c r="C555" s="2" t="s">
        <v>1625</v>
      </c>
      <c r="D555" s="2" t="s">
        <v>26</v>
      </c>
      <c r="E555" s="2" t="s">
        <v>27</v>
      </c>
      <c r="F555" s="2" t="s">
        <v>15</v>
      </c>
      <c r="G555" s="2" t="s">
        <v>242</v>
      </c>
      <c r="H555" s="2" t="s">
        <v>228</v>
      </c>
      <c r="I555" s="2" t="str">
        <f>IFERROR(__xludf.DUMMYFUNCTION("GOOGLETRANSLATE(C555,""fr"",""en"")"),"I am satisfied with insurance. The price and telephone reception. The guarantees offered and the facility finalized my file. I recommend the assssurance olive tree all those who have difficulty ensuring.")</f>
        <v>I am satisfied with insurance. The price and telephone reception. The guarantees offered and the facility finalized my file. I recommend the assssurance olive tree all those who have difficulty ensuring.</v>
      </c>
    </row>
    <row r="556" ht="15.75" customHeight="1">
      <c r="A556" s="2">
        <v>2.0</v>
      </c>
      <c r="B556" s="2" t="s">
        <v>1626</v>
      </c>
      <c r="C556" s="2" t="s">
        <v>1627</v>
      </c>
      <c r="D556" s="2" t="s">
        <v>300</v>
      </c>
      <c r="E556" s="2" t="s">
        <v>43</v>
      </c>
      <c r="F556" s="2" t="s">
        <v>15</v>
      </c>
      <c r="G556" s="2" t="s">
        <v>1628</v>
      </c>
      <c r="H556" s="2" t="s">
        <v>310</v>
      </c>
      <c r="I556" s="2" t="str">
        <f>IFERROR(__xludf.DUMMYFUNCTION("GOOGLETRANSLATE(C556,""fr"",""en"")"),"Total mepris of the insured, no contact by member. I had a non -responsible water damage, in May, it is impossible to obtain the expected compensation and despite numerous calls no information. We have the impression that the insurer is the company's expe"&amp;"rt and that If we dispute his compensation, he ignores you and cannot question his evaluation in question even if the opposing party accepts higher compensation. Only solution, the process")</f>
        <v>Total mepris of the insured, no contact by member. I had a non -responsible water damage, in May, it is impossible to obtain the expected compensation and despite numerous calls no information. We have the impression that the insurer is the company's expert and that If we dispute his compensation, he ignores you and cannot question his evaluation in question even if the opposing party accepts higher compensation. Only solution, the process</v>
      </c>
    </row>
    <row r="557" ht="15.75" customHeight="1">
      <c r="A557" s="2">
        <v>3.0</v>
      </c>
      <c r="B557" s="2" t="s">
        <v>1629</v>
      </c>
      <c r="C557" s="2" t="s">
        <v>1630</v>
      </c>
      <c r="D557" s="2" t="s">
        <v>67</v>
      </c>
      <c r="E557" s="2" t="s">
        <v>68</v>
      </c>
      <c r="F557" s="2" t="s">
        <v>15</v>
      </c>
      <c r="G557" s="2" t="s">
        <v>1631</v>
      </c>
      <c r="H557" s="2" t="s">
        <v>29</v>
      </c>
      <c r="I557" s="2" t="str">
        <f>IFERROR(__xludf.DUMMYFUNCTION("GOOGLETRANSLATE(C557,""fr"",""en"")"),"Good price, to see over time if it is good insurance or not. I hope not to be mistaken and pay hundreds of euros for nothing in nature haha")</f>
        <v>Good price, to see over time if it is good insurance or not. I hope not to be mistaken and pay hundreds of euros for nothing in nature haha</v>
      </c>
    </row>
    <row r="558" ht="15.75" customHeight="1">
      <c r="A558" s="2">
        <v>4.0</v>
      </c>
      <c r="B558" s="2" t="s">
        <v>1632</v>
      </c>
      <c r="C558" s="2" t="s">
        <v>1633</v>
      </c>
      <c r="D558" s="2" t="s">
        <v>234</v>
      </c>
      <c r="E558" s="2" t="s">
        <v>21</v>
      </c>
      <c r="F558" s="2" t="s">
        <v>15</v>
      </c>
      <c r="G558" s="2" t="s">
        <v>1196</v>
      </c>
      <c r="H558" s="2" t="s">
        <v>1197</v>
      </c>
      <c r="I558" s="2" t="str">
        <f>IFERROR(__xludf.DUMMYFUNCTION("GOOGLETRANSLATE(C558,""fr"",""en"")"),"Hello,
I am very satisfied with the services and the quality of customer service, no concerns of reimbursements which are made quickly and which I regularly receive in my mailbox. Online advisers are generally pleasant and good advice.
Cordially")</f>
        <v>Hello,
I am very satisfied with the services and the quality of customer service, no concerns of reimbursements which are made quickly and which I regularly receive in my mailbox. Online advisers are generally pleasant and good advice.
Cordially</v>
      </c>
    </row>
    <row r="559" ht="15.75" customHeight="1">
      <c r="A559" s="2">
        <v>3.0</v>
      </c>
      <c r="B559" s="2" t="s">
        <v>1634</v>
      </c>
      <c r="C559" s="2" t="s">
        <v>1635</v>
      </c>
      <c r="D559" s="2" t="s">
        <v>217</v>
      </c>
      <c r="E559" s="2" t="s">
        <v>68</v>
      </c>
      <c r="F559" s="2" t="s">
        <v>15</v>
      </c>
      <c r="G559" s="2" t="s">
        <v>1127</v>
      </c>
      <c r="H559" s="2" t="s">
        <v>96</v>
      </c>
      <c r="I559" s="2" t="str">
        <f>IFERROR(__xludf.DUMMYFUNCTION("GOOGLETRANSLATE(C559,""fr"",""en"")"),"Does not ensure against the steaper under the pretext of his age.?")</f>
        <v>Does not ensure against the steaper under the pretext of his age.?</v>
      </c>
    </row>
    <row r="560" ht="15.75" customHeight="1">
      <c r="A560" s="2">
        <v>3.0</v>
      </c>
      <c r="B560" s="2" t="s">
        <v>1636</v>
      </c>
      <c r="C560" s="2" t="s">
        <v>1637</v>
      </c>
      <c r="D560" s="2" t="s">
        <v>107</v>
      </c>
      <c r="E560" s="2" t="s">
        <v>21</v>
      </c>
      <c r="F560" s="2" t="s">
        <v>15</v>
      </c>
      <c r="G560" s="2" t="s">
        <v>1638</v>
      </c>
      <c r="H560" s="2" t="s">
        <v>45</v>
      </c>
      <c r="I560" s="2" t="str">
        <f>IFERROR(__xludf.DUMMYFUNCTION("GOOGLETRANSLATE(C560,""fr"",""en"")"),"Very good contact with Gwendal, very well explained.")</f>
        <v>Very good contact with Gwendal, very well explained.</v>
      </c>
    </row>
    <row r="561" ht="15.75" customHeight="1">
      <c r="A561" s="2">
        <v>4.0</v>
      </c>
      <c r="B561" s="2" t="s">
        <v>1639</v>
      </c>
      <c r="C561" s="2" t="s">
        <v>1640</v>
      </c>
      <c r="D561" s="2" t="s">
        <v>26</v>
      </c>
      <c r="E561" s="2" t="s">
        <v>27</v>
      </c>
      <c r="F561" s="2" t="s">
        <v>15</v>
      </c>
      <c r="G561" s="2" t="s">
        <v>789</v>
      </c>
      <c r="H561" s="2" t="s">
        <v>62</v>
      </c>
      <c r="I561" s="2" t="str">
        <f>IFERROR(__xludf.DUMMYFUNCTION("GOOGLETRANSLATE(C561,""fr"",""en"")"),"Satisfied with the ease of use and subscription online. For the moment, I recommend your insurance while waiting to see the responsiveness and the rest of the events")</f>
        <v>Satisfied with the ease of use and subscription online. For the moment, I recommend your insurance while waiting to see the responsiveness and the rest of the events</v>
      </c>
    </row>
    <row r="562" ht="15.75" customHeight="1">
      <c r="A562" s="2">
        <v>1.0</v>
      </c>
      <c r="B562" s="2" t="s">
        <v>1641</v>
      </c>
      <c r="C562" s="2" t="s">
        <v>1642</v>
      </c>
      <c r="D562" s="2" t="s">
        <v>355</v>
      </c>
      <c r="E562" s="2" t="s">
        <v>289</v>
      </c>
      <c r="F562" s="2" t="s">
        <v>15</v>
      </c>
      <c r="G562" s="2" t="s">
        <v>1643</v>
      </c>
      <c r="H562" s="2" t="s">
        <v>182</v>
      </c>
      <c r="I562" s="2" t="str">
        <f>IFERROR(__xludf.DUMMYFUNCTION("GOOGLETRANSLATE(C562,""fr"",""en"")"),"I had life insurance with them which ended in March 2020 ... a few years that I had not paid anymore .... but I tell myself that I can recover a little money .... well. Answer .. no. It was a death insurance .... and unfortunately .. I am not deceased bef"&amp;"ore 2020 ... so. I am entitled to nothing .... and not even details. As I was young at the time of the contract ... 40 years later. I do not remember the amounts paid ... So .... Read well between the comma when you sign at home ...")</f>
        <v>I had life insurance with them which ended in March 2020 ... a few years that I had not paid anymore .... but I tell myself that I can recover a little money .... well. Answer .. no. It was a death insurance .... and unfortunately .. I am not deceased before 2020 ... so. I am entitled to nothing .... and not even details. As I was young at the time of the contract ... 40 years later. I do not remember the amounts paid ... So .... Read well between the comma when you sign at home ...</v>
      </c>
    </row>
    <row r="563" ht="15.75" customHeight="1">
      <c r="A563" s="2">
        <v>4.0</v>
      </c>
      <c r="B563" s="2" t="s">
        <v>1644</v>
      </c>
      <c r="C563" s="2" t="s">
        <v>1645</v>
      </c>
      <c r="D563" s="2" t="s">
        <v>67</v>
      </c>
      <c r="E563" s="2" t="s">
        <v>68</v>
      </c>
      <c r="F563" s="2" t="s">
        <v>15</v>
      </c>
      <c r="G563" s="2" t="s">
        <v>137</v>
      </c>
      <c r="H563" s="2" t="s">
        <v>29</v>
      </c>
      <c r="I563" s="2" t="str">
        <f>IFERROR(__xludf.DUMMYFUNCTION("GOOGLETRANSLATE(C563,""fr"",""en"")"),"Very attentive staff, who reminded me several times when the phone has cut.
Fast and effective. Competitive prices even if I find them in general for scooters.
")</f>
        <v>Very attentive staff, who reminded me several times when the phone has cut.
Fast and effective. Competitive prices even if I find them in general for scooters.
</v>
      </c>
    </row>
    <row r="564" ht="15.75" customHeight="1">
      <c r="A564" s="2">
        <v>5.0</v>
      </c>
      <c r="B564" s="2" t="s">
        <v>1646</v>
      </c>
      <c r="C564" s="2" t="s">
        <v>1647</v>
      </c>
      <c r="D564" s="2" t="s">
        <v>300</v>
      </c>
      <c r="E564" s="2" t="s">
        <v>27</v>
      </c>
      <c r="F564" s="2" t="s">
        <v>15</v>
      </c>
      <c r="G564" s="2" t="s">
        <v>1648</v>
      </c>
      <c r="H564" s="2" t="s">
        <v>228</v>
      </c>
      <c r="I564" s="2" t="str">
        <f>IFERROR(__xludf.DUMMYFUNCTION("GOOGLETRANSLATE(C564,""fr"",""en"")"),"I am always as satisfied by all the services offered by the GMF. Competent people listening to us and our service. Thank you so much.")</f>
        <v>I am always as satisfied by all the services offered by the GMF. Competent people listening to us and our service. Thank you so much.</v>
      </c>
    </row>
    <row r="565" ht="15.75" customHeight="1">
      <c r="A565" s="2">
        <v>5.0</v>
      </c>
      <c r="B565" s="2" t="s">
        <v>1649</v>
      </c>
      <c r="C565" s="2" t="s">
        <v>1650</v>
      </c>
      <c r="D565" s="2" t="s">
        <v>26</v>
      </c>
      <c r="E565" s="2" t="s">
        <v>27</v>
      </c>
      <c r="F565" s="2" t="s">
        <v>15</v>
      </c>
      <c r="G565" s="2" t="s">
        <v>1651</v>
      </c>
      <c r="H565" s="2" t="s">
        <v>29</v>
      </c>
      <c r="I565" s="2" t="str">
        <f>IFERROR(__xludf.DUMMYFUNCTION("GOOGLETRANSLATE(C565,""fr"",""en"")"),"I am satisfied with the price and the conditions of my insurance. I hope I will not need to contact you. In any case, at the quality price level I think I have chosen the best")</f>
        <v>I am satisfied with the price and the conditions of my insurance. I hope I will not need to contact you. In any case, at the quality price level I think I have chosen the best</v>
      </c>
    </row>
    <row r="566" ht="15.75" customHeight="1">
      <c r="A566" s="2">
        <v>3.0</v>
      </c>
      <c r="B566" s="2" t="s">
        <v>1652</v>
      </c>
      <c r="C566" s="2" t="s">
        <v>1653</v>
      </c>
      <c r="D566" s="2" t="s">
        <v>37</v>
      </c>
      <c r="E566" s="2" t="s">
        <v>27</v>
      </c>
      <c r="F566" s="2" t="s">
        <v>15</v>
      </c>
      <c r="G566" s="2" t="s">
        <v>654</v>
      </c>
      <c r="H566" s="2" t="s">
        <v>228</v>
      </c>
      <c r="I566" s="2" t="str">
        <f>IFERROR(__xludf.DUMMYFUNCTION("GOOGLETRANSLATE(C566,""fr"",""en"")"),"The prices does not decrease any claim since I have been with this insurance no commercial gesture on your part in order to keep members")</f>
        <v>The prices does not decrease any claim since I have been with this insurance no commercial gesture on your part in order to keep members</v>
      </c>
    </row>
    <row r="567" ht="15.75" customHeight="1">
      <c r="A567" s="2">
        <v>2.0</v>
      </c>
      <c r="B567" s="2" t="s">
        <v>1654</v>
      </c>
      <c r="C567" s="2" t="s">
        <v>1655</v>
      </c>
      <c r="D567" s="2" t="s">
        <v>217</v>
      </c>
      <c r="E567" s="2" t="s">
        <v>27</v>
      </c>
      <c r="F567" s="2" t="s">
        <v>15</v>
      </c>
      <c r="G567" s="2" t="s">
        <v>1656</v>
      </c>
      <c r="H567" s="2" t="s">
        <v>1197</v>
      </c>
      <c r="I567" s="2" t="str">
        <f>IFERROR(__xludf.DUMMYFUNCTION("GOOGLETRANSLATE(C567,""fr"",""en"")"),"While I pointed out to an advisor on the phone that the Macif was not cheap, he replied, that to the Macif, they were not carpet merchants and that I only had to go At Axa, thank you for the advice that's what I'm going to do")</f>
        <v>While I pointed out to an advisor on the phone that the Macif was not cheap, he replied, that to the Macif, they were not carpet merchants and that I only had to go At Axa, thank you for the advice that's what I'm going to do</v>
      </c>
    </row>
    <row r="568" ht="15.75" customHeight="1">
      <c r="A568" s="2">
        <v>5.0</v>
      </c>
      <c r="B568" s="2" t="s">
        <v>1657</v>
      </c>
      <c r="C568" s="2" t="s">
        <v>1658</v>
      </c>
      <c r="D568" s="2" t="s">
        <v>26</v>
      </c>
      <c r="E568" s="2" t="s">
        <v>27</v>
      </c>
      <c r="F568" s="2" t="s">
        <v>15</v>
      </c>
      <c r="G568" s="2" t="s">
        <v>1659</v>
      </c>
      <c r="H568" s="2" t="s">
        <v>29</v>
      </c>
      <c r="I568" s="2" t="str">
        <f>IFERROR(__xludf.DUMMYFUNCTION("GOOGLETRANSLATE(C568,""fr"",""en"")"),"Very satisfied with the service thank you the pleasant telephone contact and fast service the documents arrive quickly and the signature for the effective contract")</f>
        <v>Very satisfied with the service thank you the pleasant telephone contact and fast service the documents arrive quickly and the signature for the effective contract</v>
      </c>
    </row>
    <row r="569" ht="15.75" customHeight="1">
      <c r="A569" s="2">
        <v>2.0</v>
      </c>
      <c r="B569" s="2" t="s">
        <v>1660</v>
      </c>
      <c r="C569" s="2" t="s">
        <v>1661</v>
      </c>
      <c r="D569" s="2" t="s">
        <v>736</v>
      </c>
      <c r="E569" s="2" t="s">
        <v>27</v>
      </c>
      <c r="F569" s="2" t="s">
        <v>15</v>
      </c>
      <c r="G569" s="2" t="s">
        <v>1662</v>
      </c>
      <c r="H569" s="2" t="s">
        <v>503</v>
      </c>
      <c r="I569" s="2" t="str">
        <f>IFERROR(__xludf.DUMMYFUNCTION("GOOGLETRANSLATE(C569,""fr"",""en"")"),"After 1 accident, when I always paid for my contributions, they saw me and registered on the list will act! They therefore seek to assure only customers who will not have accidents and who do not cost them anything !!! And 1 month before the end of my con"&amp;"tract they blocked access to my internet account when I always pay and I am still a client with them, a shame!")</f>
        <v>After 1 accident, when I always paid for my contributions, they saw me and registered on the list will act! They therefore seek to assure only customers who will not have accidents and who do not cost them anything !!! And 1 month before the end of my contract they blocked access to my internet account when I always pay and I am still a client with them, a shame!</v>
      </c>
    </row>
    <row r="570" ht="15.75" customHeight="1">
      <c r="A570" s="2">
        <v>4.0</v>
      </c>
      <c r="B570" s="2" t="s">
        <v>1663</v>
      </c>
      <c r="C570" s="2" t="s">
        <v>1664</v>
      </c>
      <c r="D570" s="2" t="s">
        <v>26</v>
      </c>
      <c r="E570" s="2" t="s">
        <v>27</v>
      </c>
      <c r="F570" s="2" t="s">
        <v>15</v>
      </c>
      <c r="G570" s="2" t="s">
        <v>1124</v>
      </c>
      <c r="H570" s="2" t="s">
        <v>274</v>
      </c>
      <c r="I570" s="2" t="str">
        <f>IFERROR(__xludf.DUMMYFUNCTION("GOOGLETRANSLATE(C570,""fr"",""en"")"),"I recommend it's fast and efficient
In any clique we are informed and subscribe nothing to say about customer service on the phone it is perfect and understandable.")</f>
        <v>I recommend it's fast and efficient
In any clique we are informed and subscribe nothing to say about customer service on the phone it is perfect and understandable.</v>
      </c>
    </row>
    <row r="571" ht="15.75" customHeight="1">
      <c r="A571" s="2">
        <v>2.0</v>
      </c>
      <c r="B571" s="2" t="s">
        <v>1665</v>
      </c>
      <c r="C571" s="2" t="s">
        <v>1666</v>
      </c>
      <c r="D571" s="2" t="s">
        <v>37</v>
      </c>
      <c r="E571" s="2" t="s">
        <v>27</v>
      </c>
      <c r="F571" s="2" t="s">
        <v>15</v>
      </c>
      <c r="G571" s="2" t="s">
        <v>1667</v>
      </c>
      <c r="H571" s="2" t="s">
        <v>630</v>
      </c>
      <c r="I571" s="2" t="str">
        <f>IFERROR(__xludf.DUMMYFUNCTION("GOOGLETRANSLATE(C571,""fr"",""en"")"),"From the moment we have 50% for life there should no longer be any deductible for insureders any risk. There should not be an increase in annual contributions for the insured with 50% for life.")</f>
        <v>From the moment we have 50% for life there should no longer be any deductible for insureders any risk. There should not be an increase in annual contributions for the insured with 50% for life.</v>
      </c>
    </row>
    <row r="572" ht="15.75" customHeight="1">
      <c r="A572" s="2">
        <v>4.0</v>
      </c>
      <c r="B572" s="2" t="s">
        <v>1668</v>
      </c>
      <c r="C572" s="2" t="s">
        <v>1669</v>
      </c>
      <c r="D572" s="2" t="s">
        <v>26</v>
      </c>
      <c r="E572" s="2" t="s">
        <v>27</v>
      </c>
      <c r="F572" s="2" t="s">
        <v>15</v>
      </c>
      <c r="G572" s="2" t="s">
        <v>313</v>
      </c>
      <c r="H572" s="2" t="s">
        <v>228</v>
      </c>
      <c r="I572" s="2" t="str">
        <f>IFERROR(__xludf.DUMMYFUNCTION("GOOGLETRANSLATE(C572,""fr"",""en"")"),"I am satisfied with the services, it's very fast and safe, a very nice experience to see how it will be from now on, thank you very much for")</f>
        <v>I am satisfied with the services, it's very fast and safe, a very nice experience to see how it will be from now on, thank you very much for</v>
      </c>
    </row>
    <row r="573" ht="15.75" customHeight="1">
      <c r="A573" s="2">
        <v>5.0</v>
      </c>
      <c r="B573" s="2" t="s">
        <v>1670</v>
      </c>
      <c r="C573" s="2" t="s">
        <v>1671</v>
      </c>
      <c r="D573" s="2" t="s">
        <v>26</v>
      </c>
      <c r="E573" s="2" t="s">
        <v>27</v>
      </c>
      <c r="F573" s="2" t="s">
        <v>15</v>
      </c>
      <c r="G573" s="2" t="s">
        <v>1672</v>
      </c>
      <c r="H573" s="2" t="s">
        <v>141</v>
      </c>
      <c r="I573" s="2" t="str">
        <f>IFERROR(__xludf.DUMMYFUNCTION("GOOGLETRANSLATE(C573,""fr"",""en"")"),"Very satisfied with customer service and their responsiveness! Quite competitive prices and good guarantees. I recommend my friends and family!")</f>
        <v>Very satisfied with customer service and their responsiveness! Quite competitive prices and good guarantees. I recommend my friends and family!</v>
      </c>
    </row>
    <row r="574" ht="15.75" customHeight="1">
      <c r="A574" s="2">
        <v>1.0</v>
      </c>
      <c r="B574" s="2" t="s">
        <v>1673</v>
      </c>
      <c r="C574" s="2" t="s">
        <v>1674</v>
      </c>
      <c r="D574" s="2" t="s">
        <v>26</v>
      </c>
      <c r="E574" s="2" t="s">
        <v>27</v>
      </c>
      <c r="F574" s="2" t="s">
        <v>15</v>
      </c>
      <c r="G574" s="2" t="s">
        <v>723</v>
      </c>
      <c r="H574" s="2" t="s">
        <v>630</v>
      </c>
      <c r="I574" s="2" t="str">
        <f>IFERROR(__xludf.DUMMYFUNCTION("GOOGLETRANSLATE(C574,""fr"",""en"")"),"The olive tree makes you sign a contract and then wishes to take the triple from the agreed price without justification
Customer service is deplorable unable to find a solution to repair the errors made by their advisers
All this after 3 years without a"&amp;"ny claim at home
To flee")</f>
        <v>The olive tree makes you sign a contract and then wishes to take the triple from the agreed price without justification
Customer service is deplorable unable to find a solution to repair the errors made by their advisers
All this after 3 years without any claim at home
To flee</v>
      </c>
    </row>
    <row r="575" ht="15.75" customHeight="1">
      <c r="A575" s="2">
        <v>2.0</v>
      </c>
      <c r="B575" s="2" t="s">
        <v>1675</v>
      </c>
      <c r="C575" s="2" t="s">
        <v>1676</v>
      </c>
      <c r="D575" s="2" t="s">
        <v>437</v>
      </c>
      <c r="E575" s="2" t="s">
        <v>43</v>
      </c>
      <c r="F575" s="2" t="s">
        <v>15</v>
      </c>
      <c r="G575" s="2" t="s">
        <v>1677</v>
      </c>
      <c r="H575" s="2" t="s">
        <v>45</v>
      </c>
      <c r="I575" s="2" t="str">
        <f>IFERROR(__xludf.DUMMYFUNCTION("GOOGLETRANSLATE(C575,""fr"",""en"")"),"I declared water damage on July 17. The initial care was fast and I was satisfied. Once the first contact with a partner company, it announces to me that it does not move up to the month because I am too far! I contain the insurance that seems surprised a"&amp;"nd refers to another partner company. After more than a week I have finally contact with the company that explains to me that given the season (summer vacation) the appointment will be possible in early September! Not really the choice so I accept.
10 da"&amp;"ys before the said appointment, the company sends me an email to tell me that ultimately they cannot come and will contact me to set a new appointment. Furious I contact insurance again to know what to do. I am advised to call on a local craftsman. I cont"&amp;"act one who comes very quickly and who saw the extent of the damage advises me to first bring in the insurance expert. I contact the insurance which transmits the contact details of the expert to me who must contact me quickly. After three days without ne"&amp;"ws, I contact the expert and I am told that contact is generally made within 20 days !!!! I just have to wait again.
Finally the expert contact me and we agree for an appointment on November 13 !!!!! Since July, my shower has been unusable. Fortunately w"&amp;"e have 2.
I hope that the appointment with the expert will go well but as soon as this disaster is finished I do not think to stay with ACMS, it is an unacceptable treatment with regard to the rates that we pay")</f>
        <v>I declared water damage on July 17. The initial care was fast and I was satisfied. Once the first contact with a partner company, it announces to me that it does not move up to the month because I am too far! I contain the insurance that seems surprised and refers to another partner company. After more than a week I have finally contact with the company that explains to me that given the season (summer vacation) the appointment will be possible in early September! Not really the choice so I accept.
10 days before the said appointment, the company sends me an email to tell me that ultimately they cannot come and will contact me to set a new appointment. Furious I contact insurance again to know what to do. I am advised to call on a local craftsman. I contact one who comes very quickly and who saw the extent of the damage advises me to first bring in the insurance expert. I contact the insurance which transmits the contact details of the expert to me who must contact me quickly. After three days without news, I contact the expert and I am told that contact is generally made within 20 days !!!! I just have to wait again.
Finally the expert contact me and we agree for an appointment on November 13 !!!!! Since July, my shower has been unusable. Fortunately we have 2.
I hope that the appointment with the expert will go well but as soon as this disaster is finished I do not think to stay with ACMS, it is an unacceptable treatment with regard to the rates that we pay</v>
      </c>
    </row>
    <row r="576" ht="15.75" customHeight="1">
      <c r="A576" s="2">
        <v>4.0</v>
      </c>
      <c r="B576" s="2" t="s">
        <v>1678</v>
      </c>
      <c r="C576" s="2" t="s">
        <v>1679</v>
      </c>
      <c r="D576" s="2" t="s">
        <v>26</v>
      </c>
      <c r="E576" s="2" t="s">
        <v>27</v>
      </c>
      <c r="F576" s="2" t="s">
        <v>15</v>
      </c>
      <c r="G576" s="2" t="s">
        <v>1409</v>
      </c>
      <c r="H576" s="2" t="s">
        <v>62</v>
      </c>
      <c r="I576" s="2" t="str">
        <f>IFERROR(__xludf.DUMMYFUNCTION("GOOGLETRANSLATE(C576,""fr"",""en"")"),"I am satisfied with the prices, I am moderately satisfied with the service because on 3 people had on the phone I had different version on the parts to provide")</f>
        <v>I am satisfied with the prices, I am moderately satisfied with the service because on 3 people had on the phone I had different version on the parts to provide</v>
      </c>
    </row>
    <row r="577" ht="15.75" customHeight="1">
      <c r="A577" s="2">
        <v>5.0</v>
      </c>
      <c r="B577" s="2" t="s">
        <v>1680</v>
      </c>
      <c r="C577" s="2" t="s">
        <v>1681</v>
      </c>
      <c r="D577" s="2" t="s">
        <v>37</v>
      </c>
      <c r="E577" s="2" t="s">
        <v>27</v>
      </c>
      <c r="F577" s="2" t="s">
        <v>15</v>
      </c>
      <c r="G577" s="2" t="s">
        <v>1682</v>
      </c>
      <c r="H577" s="2" t="s">
        <v>88</v>
      </c>
      <c r="I577" s="2" t="str">
        <f>IFERROR(__xludf.DUMMYFUNCTION("GOOGLETRANSLATE(C577,""fr"",""en"")"),"Pleasantly surprised at the price offered for my insurance and the simplicity of online registration.
And speed to register. I highly recommend.")</f>
        <v>Pleasantly surprised at the price offered for my insurance and the simplicity of online registration.
And speed to register. I highly recommend.</v>
      </c>
    </row>
    <row r="578" ht="15.75" customHeight="1">
      <c r="A578" s="2">
        <v>5.0</v>
      </c>
      <c r="B578" s="2" t="s">
        <v>1683</v>
      </c>
      <c r="C578" s="2" t="s">
        <v>1684</v>
      </c>
      <c r="D578" s="2" t="s">
        <v>37</v>
      </c>
      <c r="E578" s="2" t="s">
        <v>27</v>
      </c>
      <c r="F578" s="2" t="s">
        <v>15</v>
      </c>
      <c r="G578" s="2" t="s">
        <v>1685</v>
      </c>
      <c r="H578" s="2" t="s">
        <v>228</v>
      </c>
      <c r="I578" s="2" t="str">
        <f>IFERROR(__xludf.DUMMYFUNCTION("GOOGLETRANSLATE(C578,""fr"",""en"")"),"I am satisfied with my insurance, the quality of the services, the price and correct and the help in my efforts, I recommend it to my top contacts!")</f>
        <v>I am satisfied with my insurance, the quality of the services, the price and correct and the help in my efforts, I recommend it to my top contacts!</v>
      </c>
    </row>
    <row r="579" ht="15.75" customHeight="1">
      <c r="A579" s="2">
        <v>5.0</v>
      </c>
      <c r="B579" s="2" t="s">
        <v>1686</v>
      </c>
      <c r="C579" s="2" t="s">
        <v>1687</v>
      </c>
      <c r="D579" s="2" t="s">
        <v>26</v>
      </c>
      <c r="E579" s="2" t="s">
        <v>27</v>
      </c>
      <c r="F579" s="2" t="s">
        <v>15</v>
      </c>
      <c r="G579" s="2" t="s">
        <v>1688</v>
      </c>
      <c r="H579" s="2" t="s">
        <v>134</v>
      </c>
      <c r="I579" s="2" t="str">
        <f>IFERROR(__xludf.DUMMYFUNCTION("GOOGLETRANSLATE(C579,""fr"",""en"")"),"Very satisfied with what is offered to me, I was referred by an advisor who was very professional. Thank you again for the availability she shows.")</f>
        <v>Very satisfied with what is offered to me, I was referred by an advisor who was very professional. Thank you again for the availability she shows.</v>
      </c>
    </row>
    <row r="580" ht="15.75" customHeight="1">
      <c r="A580" s="2">
        <v>1.0</v>
      </c>
      <c r="B580" s="2" t="s">
        <v>1689</v>
      </c>
      <c r="C580" s="2" t="s">
        <v>1690</v>
      </c>
      <c r="D580" s="2" t="s">
        <v>234</v>
      </c>
      <c r="E580" s="2" t="s">
        <v>21</v>
      </c>
      <c r="F580" s="2" t="s">
        <v>15</v>
      </c>
      <c r="G580" s="2" t="s">
        <v>1691</v>
      </c>
      <c r="H580" s="2" t="s">
        <v>523</v>
      </c>
      <c r="I580" s="2" t="str">
        <f>IFERROR(__xludf.DUMMYFUNCTION("GOOGLETRANSLATE(C580,""fr"",""en"")"),"Unfortunately, I subscribed to them this evening and after seeing all the negative comments, I tried to terminate this said contract by calling all the numbers provided two are online and a said recall later. So I sent emails to break this contract but if"&amp;" I remain unanswered, I will make the necessary arrangements ... This confirms my suspicions but I let myself have thank you ...")</f>
        <v>Unfortunately, I subscribed to them this evening and after seeing all the negative comments, I tried to terminate this said contract by calling all the numbers provided two are online and a said recall later. So I sent emails to break this contract but if I remain unanswered, I will make the necessary arrangements ... This confirms my suspicions but I let myself have thank you ...</v>
      </c>
    </row>
    <row r="581" ht="15.75" customHeight="1">
      <c r="A581" s="2">
        <v>4.0</v>
      </c>
      <c r="B581" s="2" t="s">
        <v>1692</v>
      </c>
      <c r="C581" s="2" t="s">
        <v>1693</v>
      </c>
      <c r="D581" s="2" t="s">
        <v>26</v>
      </c>
      <c r="E581" s="2" t="s">
        <v>27</v>
      </c>
      <c r="F581" s="2" t="s">
        <v>15</v>
      </c>
      <c r="G581" s="2" t="s">
        <v>1694</v>
      </c>
      <c r="H581" s="2" t="s">
        <v>661</v>
      </c>
      <c r="I581" s="2" t="str">
        <f>IFERROR(__xludf.DUMMYFUNCTION("GOOGLETRANSLATE(C581,""fr"",""en"")"),"Satisfied with your services
I highly recommend your services and customer service for their efficiency and kindness to their customers
Thanks very much")</f>
        <v>Satisfied with your services
I highly recommend your services and customer service for their efficiency and kindness to their customers
Thanks very much</v>
      </c>
    </row>
    <row r="582" ht="15.75" customHeight="1">
      <c r="A582" s="2">
        <v>5.0</v>
      </c>
      <c r="B582" s="2" t="s">
        <v>1695</v>
      </c>
      <c r="C582" s="2" t="s">
        <v>1696</v>
      </c>
      <c r="D582" s="2" t="s">
        <v>37</v>
      </c>
      <c r="E582" s="2" t="s">
        <v>43</v>
      </c>
      <c r="F582" s="2" t="s">
        <v>15</v>
      </c>
      <c r="G582" s="2" t="s">
        <v>1697</v>
      </c>
      <c r="H582" s="2" t="s">
        <v>206</v>
      </c>
      <c r="I582" s="2" t="str">
        <f>IFERROR(__xludf.DUMMYFUNCTION("GOOGLETRANSLATE(C582,""fr"",""en"")"),"Disaster managed with professionalism and humanity, nothing to say, I highly recommend direct insurance for the home.")</f>
        <v>Disaster managed with professionalism and humanity, nothing to say, I highly recommend direct insurance for the home.</v>
      </c>
    </row>
    <row r="583" ht="15.75" customHeight="1">
      <c r="A583" s="2">
        <v>1.0</v>
      </c>
      <c r="B583" s="2" t="s">
        <v>1698</v>
      </c>
      <c r="C583" s="2" t="s">
        <v>1699</v>
      </c>
      <c r="D583" s="2" t="s">
        <v>448</v>
      </c>
      <c r="E583" s="2" t="s">
        <v>27</v>
      </c>
      <c r="F583" s="2" t="s">
        <v>15</v>
      </c>
      <c r="G583" s="2" t="s">
        <v>1700</v>
      </c>
      <c r="H583" s="2" t="s">
        <v>874</v>
      </c>
      <c r="I583" s="2" t="str">
        <f>IFERROR(__xludf.DUMMYFUNCTION("GOOGLETRANSLATE(C583,""fr"",""en"")"),". Lack of information or how to ""ferry a client""
My husband changed his car and wanted to extend his old contract. Rather than extending the existing contract, it has made a new contract. Result: she fer the customer for one year: he can no longer ch"&amp;"ange insurer for 1 year!
")</f>
        <v>. Lack of information or how to "ferry a client"
My husband changed his car and wanted to extend his old contract. Rather than extending the existing contract, it has made a new contract. Result: she fer the customer for one year: he can no longer change insurer for 1 year!
</v>
      </c>
    </row>
    <row r="584" ht="15.75" customHeight="1">
      <c r="A584" s="2">
        <v>3.0</v>
      </c>
      <c r="B584" s="2" t="s">
        <v>1701</v>
      </c>
      <c r="C584" s="2" t="s">
        <v>1702</v>
      </c>
      <c r="D584" s="2" t="s">
        <v>20</v>
      </c>
      <c r="E584" s="2" t="s">
        <v>21</v>
      </c>
      <c r="F584" s="2" t="s">
        <v>15</v>
      </c>
      <c r="G584" s="2" t="s">
        <v>1703</v>
      </c>
      <c r="H584" s="2" t="s">
        <v>228</v>
      </c>
      <c r="I584" s="2" t="str">
        <f>IFERROR(__xludf.DUMMYFUNCTION("GOOGLETRANSLATE(C584,""fr"",""en"")"),"A shame!
80% increase in the contribution from one year to the next without explanation and without preventing!
We fall on the phone on people who do their best but do not know what to say: I inquire ... and it takes weeks to have a non -response
 To a"&amp;"void absolutely")</f>
        <v>A shame!
80% increase in the contribution from one year to the next without explanation and without preventing!
We fall on the phone on people who do their best but do not know what to say: I inquire ... and it takes weeks to have a non -response
 To avoid absolutely</v>
      </c>
    </row>
    <row r="585" ht="15.75" customHeight="1">
      <c r="A585" s="2">
        <v>3.0</v>
      </c>
      <c r="B585" s="2" t="s">
        <v>1704</v>
      </c>
      <c r="C585" s="2" t="s">
        <v>1705</v>
      </c>
      <c r="D585" s="2" t="s">
        <v>448</v>
      </c>
      <c r="E585" s="2" t="s">
        <v>27</v>
      </c>
      <c r="F585" s="2" t="s">
        <v>15</v>
      </c>
      <c r="G585" s="2" t="s">
        <v>1706</v>
      </c>
      <c r="H585" s="2" t="s">
        <v>50</v>
      </c>
      <c r="I585" s="2" t="str">
        <f>IFERROR(__xludf.DUMMYFUNCTION("GOOGLETRANSLATE(C585,""fr"",""en"")"),"An insurer who does not respect his customers !!! Exasperating! Even the head office does not respond to the various emails sent !! Unheard of in customer relations!")</f>
        <v>An insurer who does not respect his customers !!! Exasperating! Even the head office does not respond to the various emails sent !! Unheard of in customer relations!</v>
      </c>
    </row>
    <row r="586" ht="15.75" customHeight="1">
      <c r="A586" s="2">
        <v>5.0</v>
      </c>
      <c r="B586" s="2" t="s">
        <v>1707</v>
      </c>
      <c r="C586" s="2" t="s">
        <v>1708</v>
      </c>
      <c r="D586" s="2" t="s">
        <v>26</v>
      </c>
      <c r="E586" s="2" t="s">
        <v>27</v>
      </c>
      <c r="F586" s="2" t="s">
        <v>15</v>
      </c>
      <c r="G586" s="2" t="s">
        <v>1070</v>
      </c>
      <c r="H586" s="2" t="s">
        <v>661</v>
      </c>
      <c r="I586" s="2" t="str">
        <f>IFERROR(__xludf.DUMMYFUNCTION("GOOGLETRANSLATE(C586,""fr"",""en"")"),"Already insured for 4 years with the Olivier Insurance, I am perfectly satisfied with customer service and also of care in the event of problems with the vehicle.")</f>
        <v>Already insured for 4 years with the Olivier Insurance, I am perfectly satisfied with customer service and also of care in the event of problems with the vehicle.</v>
      </c>
    </row>
    <row r="587" ht="15.75" customHeight="1">
      <c r="A587" s="2">
        <v>1.0</v>
      </c>
      <c r="B587" s="2" t="s">
        <v>1709</v>
      </c>
      <c r="C587" s="2" t="s">
        <v>1710</v>
      </c>
      <c r="D587" s="2" t="s">
        <v>57</v>
      </c>
      <c r="E587" s="2" t="s">
        <v>27</v>
      </c>
      <c r="F587" s="2" t="s">
        <v>15</v>
      </c>
      <c r="G587" s="2" t="s">
        <v>1711</v>
      </c>
      <c r="H587" s="2" t="s">
        <v>101</v>
      </c>
      <c r="I587" s="2" t="str">
        <f>IFERROR(__xludf.DUMMYFUNCTION("GOOGLETRANSLATE(C587,""fr"",""en"")"),"They change responsibility for claims without warning us. Then they correct but carry you from numbers in numbers and from service to service and result after 3 weeks the penalty bonus is still not corrected and no reimbursement of the contributions which"&amp;" were with the bonus/penalty of 0.95.
")</f>
        <v>They change responsibility for claims without warning us. Then they correct but carry you from numbers in numbers and from service to service and result after 3 weeks the penalty bonus is still not corrected and no reimbursement of the contributions which were with the bonus/penalty of 0.95.
</v>
      </c>
    </row>
    <row r="588" ht="15.75" customHeight="1">
      <c r="A588" s="2">
        <v>2.0</v>
      </c>
      <c r="B588" s="2" t="s">
        <v>1712</v>
      </c>
      <c r="C588" s="2" t="s">
        <v>1713</v>
      </c>
      <c r="D588" s="2" t="s">
        <v>264</v>
      </c>
      <c r="E588" s="2" t="s">
        <v>27</v>
      </c>
      <c r="F588" s="2" t="s">
        <v>15</v>
      </c>
      <c r="G588" s="2" t="s">
        <v>1048</v>
      </c>
      <c r="H588" s="2" t="s">
        <v>228</v>
      </c>
      <c r="I588" s="2" t="str">
        <f>IFERROR(__xludf.DUMMYFUNCTION("GOOGLETRANSLATE(C588,""fr"",""en"")"),"As the first insurance c to was good
After 1 year they increased the price of a third party for no valid reason made to after 10 months")</f>
        <v>As the first insurance c to was good
After 1 year they increased the price of a third party for no valid reason made to after 10 months</v>
      </c>
    </row>
    <row r="589" ht="15.75" customHeight="1">
      <c r="A589" s="2">
        <v>4.0</v>
      </c>
      <c r="B589" s="2" t="s">
        <v>1714</v>
      </c>
      <c r="C589" s="2" t="s">
        <v>1715</v>
      </c>
      <c r="D589" s="2" t="s">
        <v>26</v>
      </c>
      <c r="E589" s="2" t="s">
        <v>27</v>
      </c>
      <c r="F589" s="2" t="s">
        <v>15</v>
      </c>
      <c r="G589" s="2" t="s">
        <v>1716</v>
      </c>
      <c r="H589" s="2" t="s">
        <v>62</v>
      </c>
      <c r="I589" s="2" t="str">
        <f>IFERROR(__xludf.DUMMYFUNCTION("GOOGLETRANSLATE(C589,""fr"",""en"")"),"I am satisfied with the service The price suits me a little more cheaper would have been the ideal effective and kind personal and answers very quickly on the phone I hope it will not change")</f>
        <v>I am satisfied with the service The price suits me a little more cheaper would have been the ideal effective and kind personal and answers very quickly on the phone I hope it will not change</v>
      </c>
    </row>
    <row r="590" ht="15.75" customHeight="1">
      <c r="A590" s="2">
        <v>2.0</v>
      </c>
      <c r="B590" s="2" t="s">
        <v>1717</v>
      </c>
      <c r="C590" s="2" t="s">
        <v>1718</v>
      </c>
      <c r="D590" s="2" t="s">
        <v>57</v>
      </c>
      <c r="E590" s="2" t="s">
        <v>27</v>
      </c>
      <c r="F590" s="2" t="s">
        <v>15</v>
      </c>
      <c r="G590" s="2" t="s">
        <v>867</v>
      </c>
      <c r="H590" s="2" t="s">
        <v>62</v>
      </c>
      <c r="I590" s="2" t="str">
        <f>IFERROR(__xludf.DUMMYFUNCTION("GOOGLETRANSLATE(C590,""fr"",""en"")"),"Following two non -responsible claims, two breakers felt causes by a vehicle that doubles and projected a gravel on my windshield, I am absolutely not responsible for these claims, but during my declaration to insurance, the Nobody I had on the phone, sai"&amp;"d to the 3rd claim you will be crazy about insurance outside I am in no case responsible for these two claims, lack of luck, even sinister, even vehicle in the month , I learned from another insurance that told me that it was not responsible he did not ta"&amp;"ke into account these claims. So having another vehicle, the house and the mutual assures to Pacifica, I will change insurance very fast")</f>
        <v>Following two non -responsible claims, two breakers felt causes by a vehicle that doubles and projected a gravel on my windshield, I am absolutely not responsible for these claims, but during my declaration to insurance, the Nobody I had on the phone, said to the 3rd claim you will be crazy about insurance outside I am in no case responsible for these two claims, lack of luck, even sinister, even vehicle in the month , I learned from another insurance that told me that it was not responsible he did not take into account these claims. So having another vehicle, the house and the mutual assures to Pacifica, I will change insurance very fast</v>
      </c>
    </row>
    <row r="591" ht="15.75" customHeight="1">
      <c r="A591" s="2">
        <v>3.0</v>
      </c>
      <c r="B591" s="2" t="s">
        <v>1719</v>
      </c>
      <c r="C591" s="2" t="s">
        <v>1720</v>
      </c>
      <c r="D591" s="2" t="s">
        <v>37</v>
      </c>
      <c r="E591" s="2" t="s">
        <v>27</v>
      </c>
      <c r="F591" s="2" t="s">
        <v>15</v>
      </c>
      <c r="G591" s="2" t="s">
        <v>1409</v>
      </c>
      <c r="H591" s="2" t="s">
        <v>62</v>
      </c>
      <c r="I591" s="2" t="str">
        <f>IFERROR(__xludf.DUMMYFUNCTION("GOOGLETRANSLATE(C591,""fr"",""en"")"),"Simple and practical.
New in this insurance, I give my final opinion after the first year of engagement.
Easy use of the site, well guided.")</f>
        <v>Simple and practical.
New in this insurance, I give my final opinion after the first year of engagement.
Easy use of the site, well guided.</v>
      </c>
    </row>
    <row r="592" ht="15.75" customHeight="1">
      <c r="A592" s="2">
        <v>3.0</v>
      </c>
      <c r="B592" s="2" t="s">
        <v>1721</v>
      </c>
      <c r="C592" s="2" t="s">
        <v>1722</v>
      </c>
      <c r="D592" s="2" t="s">
        <v>37</v>
      </c>
      <c r="E592" s="2" t="s">
        <v>27</v>
      </c>
      <c r="F592" s="2" t="s">
        <v>15</v>
      </c>
      <c r="G592" s="2" t="s">
        <v>657</v>
      </c>
      <c r="H592" s="2" t="s">
        <v>228</v>
      </c>
      <c r="I592" s="2" t="str">
        <f>IFERROR(__xludf.DUMMYFUNCTION("GOOGLETRANSLATE(C592,""fr"",""en"")"),"The site is done in a visually accessible way, only between the price /year and the price /month there is sometimes considerable. But we can't all afford to pay all at once so get us the interest. It is the disadvantage for people with a limited purchasin"&amp;"g power and a benefit for the insurer.")</f>
        <v>The site is done in a visually accessible way, only between the price /year and the price /month there is sometimes considerable. But we can't all afford to pay all at once so get us the interest. It is the disadvantage for people with a limited purchasing power and a benefit for the insurer.</v>
      </c>
    </row>
    <row r="593" ht="15.75" customHeight="1">
      <c r="A593" s="2">
        <v>5.0</v>
      </c>
      <c r="B593" s="2" t="s">
        <v>1723</v>
      </c>
      <c r="C593" s="2" t="s">
        <v>1724</v>
      </c>
      <c r="D593" s="2" t="s">
        <v>67</v>
      </c>
      <c r="E593" s="2" t="s">
        <v>68</v>
      </c>
      <c r="F593" s="2" t="s">
        <v>15</v>
      </c>
      <c r="G593" s="2" t="s">
        <v>29</v>
      </c>
      <c r="H593" s="2" t="s">
        <v>29</v>
      </c>
      <c r="I593" s="2" t="str">
        <f>IFERROR(__xludf.DUMMYFUNCTION("GOOGLETRANSLATE(C593,""fr"",""en"")"),"I am satisfied with the online application service, the prices are really good the presentation is very clear, the information present and I was well guided during registration.")</f>
        <v>I am satisfied with the online application service, the prices are really good the presentation is very clear, the information present and I was well guided during registration.</v>
      </c>
    </row>
    <row r="594" ht="15.75" customHeight="1">
      <c r="A594" s="2">
        <v>2.0</v>
      </c>
      <c r="B594" s="2" t="s">
        <v>1725</v>
      </c>
      <c r="C594" s="2" t="s">
        <v>1726</v>
      </c>
      <c r="D594" s="2" t="s">
        <v>217</v>
      </c>
      <c r="E594" s="2" t="s">
        <v>43</v>
      </c>
      <c r="F594" s="2" t="s">
        <v>15</v>
      </c>
      <c r="G594" s="2" t="s">
        <v>1727</v>
      </c>
      <c r="H594" s="2" t="s">
        <v>34</v>
      </c>
      <c r="I594" s="2" t="str">
        <f>IFERROR(__xludf.DUMMYFUNCTION("GOOGLETRANSLATE(C594,""fr"",""en"")"),"Very good insurance as long as you do not have a claim ... Following a burglary at home, they reimburse 0 euro because I made the mistake of leaving an open blind! So take another insurance that will really assure you against the risks of real life!")</f>
        <v>Very good insurance as long as you do not have a claim ... Following a burglary at home, they reimburse 0 euro because I made the mistake of leaving an open blind! So take another insurance that will really assure you against the risks of real life!</v>
      </c>
    </row>
    <row r="595" ht="15.75" customHeight="1">
      <c r="A595" s="2">
        <v>5.0</v>
      </c>
      <c r="B595" s="2" t="s">
        <v>1728</v>
      </c>
      <c r="C595" s="2" t="s">
        <v>1729</v>
      </c>
      <c r="D595" s="2" t="s">
        <v>67</v>
      </c>
      <c r="E595" s="2" t="s">
        <v>68</v>
      </c>
      <c r="F595" s="2" t="s">
        <v>15</v>
      </c>
      <c r="G595" s="2" t="s">
        <v>227</v>
      </c>
      <c r="H595" s="2" t="s">
        <v>228</v>
      </c>
      <c r="I595" s="2" t="str">
        <f>IFERROR(__xludf.DUMMYFUNCTION("GOOGLETRANSLATE(C595,""fr"",""en"")"),"I am satisfied with the price. It is very attractive.
All that remains is to see in time if there will be no surprise. For the moment I recommend April Moto.!
")</f>
        <v>I am satisfied with the price. It is very attractive.
All that remains is to see in time if there will be no surprise. For the moment I recommend April Moto.!
</v>
      </c>
    </row>
    <row r="596" ht="15.75" customHeight="1">
      <c r="A596" s="2">
        <v>3.0</v>
      </c>
      <c r="B596" s="2" t="s">
        <v>1730</v>
      </c>
      <c r="C596" s="2" t="s">
        <v>1731</v>
      </c>
      <c r="D596" s="2" t="s">
        <v>26</v>
      </c>
      <c r="E596" s="2" t="s">
        <v>27</v>
      </c>
      <c r="F596" s="2" t="s">
        <v>15</v>
      </c>
      <c r="G596" s="2" t="s">
        <v>889</v>
      </c>
      <c r="H596" s="2" t="s">
        <v>661</v>
      </c>
      <c r="I596" s="2" t="str">
        <f>IFERROR(__xludf.DUMMYFUNCTION("GOOGLETRANSLATE(C596,""fr"",""en"")"),"Customer service is often very pleasant.
The prices are attractive, but the franchises higher than other insurers, which makes the other companies hesitate.")</f>
        <v>Customer service is often very pleasant.
The prices are attractive, but the franchises higher than other insurers, which makes the other companies hesitate.</v>
      </c>
    </row>
    <row r="597" ht="15.75" customHeight="1">
      <c r="A597" s="2">
        <v>3.0</v>
      </c>
      <c r="B597" s="2" t="s">
        <v>1732</v>
      </c>
      <c r="C597" s="2" t="s">
        <v>1733</v>
      </c>
      <c r="D597" s="2" t="s">
        <v>37</v>
      </c>
      <c r="E597" s="2" t="s">
        <v>27</v>
      </c>
      <c r="F597" s="2" t="s">
        <v>15</v>
      </c>
      <c r="G597" s="2" t="s">
        <v>157</v>
      </c>
      <c r="H597" s="2" t="s">
        <v>134</v>
      </c>
      <c r="I597" s="2" t="str">
        <f>IFERROR(__xludf.DUMMYFUNCTION("GOOGLETRANSLATE(C597,""fr"",""en"")"),"Have more recognition on the prices when we are a faithful customer and without the use of insurance for many years so it would be good to have at least once a very good discount on the rate rate")</f>
        <v>Have more recognition on the prices when we are a faithful customer and without the use of insurance for many years so it would be good to have at least once a very good discount on the rate rate</v>
      </c>
    </row>
    <row r="598" ht="15.75" customHeight="1">
      <c r="A598" s="2">
        <v>1.0</v>
      </c>
      <c r="B598" s="2" t="s">
        <v>1734</v>
      </c>
      <c r="C598" s="2" t="s">
        <v>1735</v>
      </c>
      <c r="D598" s="2" t="s">
        <v>490</v>
      </c>
      <c r="E598" s="2" t="s">
        <v>27</v>
      </c>
      <c r="F598" s="2" t="s">
        <v>15</v>
      </c>
      <c r="G598" s="2" t="s">
        <v>1002</v>
      </c>
      <c r="H598" s="2" t="s">
        <v>634</v>
      </c>
      <c r="I598" s="2" t="str">
        <f>IFERROR(__xludf.DUMMYFUNCTION("GOOGLETRANSLATE(C598,""fr"",""en"")"),"EVERAYSLASSURESTURESTURESPEUVTVTVSRADERS ASSOSTOSSOSSSINSSINISTRISTRAISSEABITHEAPTITHEFTS LETSLANDSLANDS DE AGAGE AGAGED TO IT FALLY THE GENERAL LES CONDITIONS.")</f>
        <v>EVERAYSLASSURESTURESTURESPEUVTVTVSRADERS ASSOSTOSSOSSSINSSINISTRISTRAISSEABITHEAPTITHEFTS LETSLANDSLANDS DE AGAGE AGAGED TO IT FALLY THE GENERAL LES CONDITIONS.</v>
      </c>
    </row>
    <row r="599" ht="15.75" customHeight="1">
      <c r="A599" s="2">
        <v>5.0</v>
      </c>
      <c r="B599" s="2" t="s">
        <v>1736</v>
      </c>
      <c r="C599" s="2" t="s">
        <v>1737</v>
      </c>
      <c r="D599" s="2" t="s">
        <v>67</v>
      </c>
      <c r="E599" s="2" t="s">
        <v>68</v>
      </c>
      <c r="F599" s="2" t="s">
        <v>15</v>
      </c>
      <c r="G599" s="2" t="s">
        <v>280</v>
      </c>
      <c r="H599" s="2" t="s">
        <v>134</v>
      </c>
      <c r="I599" s="2" t="str">
        <f>IFERROR(__xludf.DUMMYFUNCTION("GOOGLETRANSLATE(C599,""fr"",""en"")"),"I am very satisfied with the price, advisers and then quick and effective calling for a quick and efficient waiting
Insurance that I would recommend to my loved ones")</f>
        <v>I am very satisfied with the price, advisers and then quick and effective calling for a quick and efficient waiting
Insurance that I would recommend to my loved ones</v>
      </c>
    </row>
    <row r="600" ht="15.75" customHeight="1">
      <c r="A600" s="2">
        <v>1.0</v>
      </c>
      <c r="B600" s="2" t="s">
        <v>1738</v>
      </c>
      <c r="C600" s="2" t="s">
        <v>1739</v>
      </c>
      <c r="D600" s="2" t="s">
        <v>946</v>
      </c>
      <c r="E600" s="2" t="s">
        <v>43</v>
      </c>
      <c r="F600" s="2" t="s">
        <v>15</v>
      </c>
      <c r="G600" s="2" t="s">
        <v>1740</v>
      </c>
      <c r="H600" s="2" t="s">
        <v>592</v>
      </c>
      <c r="I600" s="2" t="str">
        <f>IFERROR(__xludf.DUMMYFUNCTION("GOOGLETRANSLATE(C600,""fr"",""en"")"),"I am an expert in insured, my clients victims of an unprecedented flood and mudslides in the village on May 24, 2018 have still been compensated to date. 70 calls in three days to the compensation department, no response.")</f>
        <v>I am an expert in insured, my clients victims of an unprecedented flood and mudslides in the village on May 24, 2018 have still been compensated to date. 70 calls in three days to the compensation department, no response.</v>
      </c>
    </row>
    <row r="601" ht="15.75" customHeight="1">
      <c r="A601" s="2">
        <v>2.0</v>
      </c>
      <c r="B601" s="2" t="s">
        <v>1741</v>
      </c>
      <c r="C601" s="2" t="s">
        <v>1742</v>
      </c>
      <c r="D601" s="2" t="s">
        <v>300</v>
      </c>
      <c r="E601" s="2" t="s">
        <v>27</v>
      </c>
      <c r="F601" s="2" t="s">
        <v>15</v>
      </c>
      <c r="G601" s="2" t="s">
        <v>1060</v>
      </c>
      <c r="H601" s="2" t="s">
        <v>365</v>
      </c>
      <c r="I601" s="2" t="str">
        <f>IFERROR(__xludf.DUMMYFUNCTION("GOOGLETRANSLATE(C601,""fr"",""en"")"),"Insurance that does not provide !!! The management of auto claims is truly la-men-table !!! Impossible to reach them by email (send photos by post !!!). By phone, this is the real hassle to have them and when you have the promise of being recalled by the "&amp;"""manager"", you wait! Did you say ""certainly human""? I answer: GMF: assurance ge crains on members when they need me.")</f>
        <v>Insurance that does not provide !!! The management of auto claims is truly la-men-table !!! Impossible to reach them by email (send photos by post !!!). By phone, this is the real hassle to have them and when you have the promise of being recalled by the "manager", you wait! Did you say "certainly human"? I answer: GMF: assurance ge crains on members when they need me.</v>
      </c>
    </row>
    <row r="602" ht="15.75" customHeight="1">
      <c r="A602" s="2">
        <v>1.0</v>
      </c>
      <c r="B602" s="2" t="s">
        <v>1743</v>
      </c>
      <c r="C602" s="2" t="s">
        <v>1744</v>
      </c>
      <c r="D602" s="2" t="s">
        <v>234</v>
      </c>
      <c r="E602" s="2" t="s">
        <v>21</v>
      </c>
      <c r="F602" s="2" t="s">
        <v>15</v>
      </c>
      <c r="G602" s="2" t="s">
        <v>1745</v>
      </c>
      <c r="H602" s="2" t="s">
        <v>206</v>
      </c>
      <c r="I602" s="2" t="str">
        <f>IFERROR(__xludf.DUMMYFUNCTION("GOOGLETRANSLATE(C602,""fr"",""en"")"),"I have been a client at Neoliane Compagnons since January 2019, it was the first time that I have assumed an animal, but what a disappointment
I sent at least 10 emails no answer, just one to tell me that they did not take care of an intervention
I aske"&amp;"d questions no answer what shame
We are rolling in flour by these providers who are not")</f>
        <v>I have been a client at Neoliane Compagnons since January 2019, it was the first time that I have assumed an animal, but what a disappointment
I sent at least 10 emails no answer, just one to tell me that they did not take care of an intervention
I asked questions no answer what shame
We are rolling in flour by these providers who are not</v>
      </c>
    </row>
    <row r="603" ht="15.75" customHeight="1">
      <c r="A603" s="2">
        <v>5.0</v>
      </c>
      <c r="B603" s="2" t="s">
        <v>1746</v>
      </c>
      <c r="C603" s="2" t="s">
        <v>1747</v>
      </c>
      <c r="D603" s="2" t="s">
        <v>300</v>
      </c>
      <c r="E603" s="2" t="s">
        <v>27</v>
      </c>
      <c r="F603" s="2" t="s">
        <v>15</v>
      </c>
      <c r="G603" s="2" t="s">
        <v>313</v>
      </c>
      <c r="H603" s="2" t="s">
        <v>228</v>
      </c>
      <c r="I603" s="2" t="str">
        <f>IFERROR(__xludf.DUMMYFUNCTION("GOOGLETRANSLATE(C603,""fr"",""en"")"),"Customer has always been. Prices satisfy me, the agencies are close and reactive and the staff are nice.
I have always been insured with you.")</f>
        <v>Customer has always been. Prices satisfy me, the agencies are close and reactive and the staff are nice.
I have always been insured with you.</v>
      </c>
    </row>
    <row r="604" ht="15.75" customHeight="1">
      <c r="A604" s="2">
        <v>3.0</v>
      </c>
      <c r="B604" s="2" t="s">
        <v>1748</v>
      </c>
      <c r="C604" s="2" t="s">
        <v>1749</v>
      </c>
      <c r="D604" s="2" t="s">
        <v>37</v>
      </c>
      <c r="E604" s="2" t="s">
        <v>27</v>
      </c>
      <c r="F604" s="2" t="s">
        <v>15</v>
      </c>
      <c r="G604" s="2" t="s">
        <v>623</v>
      </c>
      <c r="H604" s="2" t="s">
        <v>88</v>
      </c>
      <c r="I604" s="2" t="str">
        <f>IFERROR(__xludf.DUMMYFUNCTION("GOOGLETRANSLATE(C604,""fr"",""en"")")," You could do better but it will go for the moment a car that I will not keep I hope that the termination will be as simple. Thank you and good day .")</f>
        <v> You could do better but it will go for the moment a car that I will not keep I hope that the termination will be as simple. Thank you and good day .</v>
      </c>
    </row>
    <row r="605" ht="15.75" customHeight="1">
      <c r="A605" s="2">
        <v>1.0</v>
      </c>
      <c r="B605" s="2" t="s">
        <v>1750</v>
      </c>
      <c r="C605" s="2" t="s">
        <v>1751</v>
      </c>
      <c r="D605" s="2" t="s">
        <v>13</v>
      </c>
      <c r="E605" s="2" t="s">
        <v>14</v>
      </c>
      <c r="F605" s="2" t="s">
        <v>15</v>
      </c>
      <c r="G605" s="2" t="s">
        <v>1752</v>
      </c>
      <c r="H605" s="2" t="s">
        <v>206</v>
      </c>
      <c r="I605" s="2" t="str">
        <f>IFERROR(__xludf.DUMMYFUNCTION("GOOGLETRANSLATE(C605,""fr"",""en"")"),"Does cardif really exist?")</f>
        <v>Does cardif really exist?</v>
      </c>
    </row>
    <row r="606" ht="15.75" customHeight="1">
      <c r="A606" s="2">
        <v>1.0</v>
      </c>
      <c r="B606" s="2" t="s">
        <v>1753</v>
      </c>
      <c r="C606" s="2" t="s">
        <v>1754</v>
      </c>
      <c r="D606" s="2" t="s">
        <v>13</v>
      </c>
      <c r="E606" s="2" t="s">
        <v>14</v>
      </c>
      <c r="F606" s="2" t="s">
        <v>15</v>
      </c>
      <c r="G606" s="2" t="s">
        <v>261</v>
      </c>
      <c r="H606" s="2" t="s">
        <v>23</v>
      </c>
      <c r="I606" s="2" t="str">
        <f>IFERROR(__xludf.DUMMYFUNCTION("GOOGLETRANSLATE(C606,""fr"",""en"")"),"Today I receive a letter from Cardif to assess my work stoppage. What I can't find very serious is to ask the person to move to another department, in full containment. I am not sure that expertise is considered a legitimate reason for travel. In addition"&amp;", not being conveyed, I would have hours to do by train and the SNCF has reduced the frequency of its trains. The displacement being moreover at my expense. Previously, Cardif had asked me for medical certificates and a copy of my medical file, instead of"&amp;" making expertise. I send them every month the certificate of my doctor attesting to the need to extend the work stoppage, I do not see too much what they need more, knowing that they have medical certificates, I may to be sent to them the new documents i"&amp;"n my medical file. All my pathologies are still under treatment.")</f>
        <v>Today I receive a letter from Cardif to assess my work stoppage. What I can't find very serious is to ask the person to move to another department, in full containment. I am not sure that expertise is considered a legitimate reason for travel. In addition, not being conveyed, I would have hours to do by train and the SNCF has reduced the frequency of its trains. The displacement being moreover at my expense. Previously, Cardif had asked me for medical certificates and a copy of my medical file, instead of making expertise. I send them every month the certificate of my doctor attesting to the need to extend the work stoppage, I do not see too much what they need more, knowing that they have medical certificates, I may to be sent to them the new documents in my medical file. All my pathologies are still under treatment.</v>
      </c>
    </row>
    <row r="607" ht="15.75" customHeight="1">
      <c r="A607" s="2">
        <v>1.0</v>
      </c>
      <c r="B607" s="2" t="s">
        <v>1755</v>
      </c>
      <c r="C607" s="2" t="s">
        <v>1756</v>
      </c>
      <c r="D607" s="2" t="s">
        <v>42</v>
      </c>
      <c r="E607" s="2" t="s">
        <v>43</v>
      </c>
      <c r="F607" s="2" t="s">
        <v>15</v>
      </c>
      <c r="G607" s="2" t="s">
        <v>1757</v>
      </c>
      <c r="H607" s="2" t="s">
        <v>39</v>
      </c>
      <c r="I607" s="2" t="str">
        <f>IFERROR(__xludf.DUMMYFUNCTION("GOOGLETRANSLATE(C607,""fr"",""en"")"),"insurance that does not respect the terms of the contract to avoid paying what is planned, this insurer must be threatened to finally be paid, casual attitude")</f>
        <v>insurance that does not respect the terms of the contract to avoid paying what is planned, this insurer must be threatened to finally be paid, casual attitude</v>
      </c>
    </row>
    <row r="608" ht="15.75" customHeight="1">
      <c r="A608" s="2">
        <v>5.0</v>
      </c>
      <c r="B608" s="2" t="s">
        <v>1758</v>
      </c>
      <c r="C608" s="2" t="s">
        <v>1759</v>
      </c>
      <c r="D608" s="2" t="s">
        <v>37</v>
      </c>
      <c r="E608" s="2" t="s">
        <v>27</v>
      </c>
      <c r="F608" s="2" t="s">
        <v>15</v>
      </c>
      <c r="G608" s="2" t="s">
        <v>1760</v>
      </c>
      <c r="H608" s="2" t="s">
        <v>23</v>
      </c>
      <c r="I608" s="2" t="str">
        <f>IFERROR(__xludf.DUMMYFUNCTION("GOOGLETRANSLATE(C608,""fr"",""en"")"),"Practical service, unbeatable price, apparently safe subscription and payment method
I am a new customer until then everything is fine, I'm waiting for the rest without worries.")</f>
        <v>Practical service, unbeatable price, apparently safe subscription and payment method
I am a new customer until then everything is fine, I'm waiting for the rest without worries.</v>
      </c>
    </row>
    <row r="609" ht="15.75" customHeight="1">
      <c r="A609" s="2">
        <v>5.0</v>
      </c>
      <c r="B609" s="2" t="s">
        <v>1761</v>
      </c>
      <c r="C609" s="2" t="s">
        <v>1762</v>
      </c>
      <c r="D609" s="2" t="s">
        <v>37</v>
      </c>
      <c r="E609" s="2" t="s">
        <v>27</v>
      </c>
      <c r="F609" s="2" t="s">
        <v>15</v>
      </c>
      <c r="G609" s="2" t="s">
        <v>792</v>
      </c>
      <c r="H609" s="2" t="s">
        <v>88</v>
      </c>
      <c r="I609" s="2" t="str">
        <f>IFERROR(__xludf.DUMMYFUNCTION("GOOGLETRANSLATE(C609,""fr"",""en"")"),"I found the prices very interesting in view of the prices charged by my current insurance company, the online quote was done very intuitively, at all good for a start")</f>
        <v>I found the prices very interesting in view of the prices charged by my current insurance company, the online quote was done very intuitively, at all good for a start</v>
      </c>
    </row>
    <row r="610" ht="15.75" customHeight="1">
      <c r="A610" s="2">
        <v>5.0</v>
      </c>
      <c r="B610" s="2" t="s">
        <v>1763</v>
      </c>
      <c r="C610" s="2" t="s">
        <v>1764</v>
      </c>
      <c r="D610" s="2" t="s">
        <v>37</v>
      </c>
      <c r="E610" s="2" t="s">
        <v>27</v>
      </c>
      <c r="F610" s="2" t="s">
        <v>15</v>
      </c>
      <c r="G610" s="2" t="s">
        <v>415</v>
      </c>
      <c r="H610" s="2" t="s">
        <v>88</v>
      </c>
      <c r="I610" s="2" t="str">
        <f>IFERROR(__xludf.DUMMYFUNCTION("GOOGLETRANSLATE(C610,""fr"",""en"")"),"Simple and practical we will see the service in use thank you, simple and practical we will see the service on use thank you, simple and practical we will see the service on use thank you, simple and practical we will see the service on use thank you
")</f>
        <v>Simple and practical we will see the service in use thank you, simple and practical we will see the service on use thank you, simple and practical we will see the service on use thank you, simple and practical we will see the service on use thank you
</v>
      </c>
    </row>
    <row r="611" ht="15.75" customHeight="1">
      <c r="A611" s="2">
        <v>1.0</v>
      </c>
      <c r="B611" s="2" t="s">
        <v>1765</v>
      </c>
      <c r="C611" s="2" t="s">
        <v>1766</v>
      </c>
      <c r="D611" s="2" t="s">
        <v>42</v>
      </c>
      <c r="E611" s="2" t="s">
        <v>27</v>
      </c>
      <c r="F611" s="2" t="s">
        <v>15</v>
      </c>
      <c r="G611" s="2" t="s">
        <v>164</v>
      </c>
      <c r="H611" s="2" t="s">
        <v>112</v>
      </c>
      <c r="I611" s="2" t="str">
        <f>IFERROR(__xludf.DUMMYFUNCTION("GOOGLETRANSLATE(C611,""fr"",""en"")"),"Very complicated ... especially not to take legal action. Incompetent and bad faith. I found myself alone to manage my problem while the maif invited me to email indicating that my file was closed. The advertisement that ""the reception maif the best of r"&amp;"eceptions"" is a fake! Originally a ""newspaper"" that no one knows")</f>
        <v>Very complicated ... especially not to take legal action. Incompetent and bad faith. I found myself alone to manage my problem while the maif invited me to email indicating that my file was closed. The advertisement that "the reception maif the best of receptions" is a fake! Originally a "newspaper" that no one knows</v>
      </c>
    </row>
    <row r="612" ht="15.75" customHeight="1">
      <c r="A612" s="2">
        <v>4.0</v>
      </c>
      <c r="B612" s="2" t="s">
        <v>1767</v>
      </c>
      <c r="C612" s="2" t="s">
        <v>1768</v>
      </c>
      <c r="D612" s="2" t="s">
        <v>448</v>
      </c>
      <c r="E612" s="2" t="s">
        <v>27</v>
      </c>
      <c r="F612" s="2" t="s">
        <v>15</v>
      </c>
      <c r="G612" s="2" t="s">
        <v>1769</v>
      </c>
      <c r="H612" s="2" t="s">
        <v>357</v>
      </c>
      <c r="I612" s="2" t="str">
        <f>IFERROR(__xludf.DUMMYFUNCTION("GOOGLETRANSLATE(C612,""fr"",""en"")"),"Satisfied at 100 percent. Currently disaster and in all risk has been for three weeks already that the MAAF lends me a replacement vehicle. Indeed the mechanic is overwhelmed with or lengths for repair. Thank you very much I am delighted with my insurance")</f>
        <v>Satisfied at 100 percent. Currently disaster and in all risk has been for three weeks already that the MAAF lends me a replacement vehicle. Indeed the mechanic is overwhelmed with or lengths for repair. Thank you very much I am delighted with my insurance</v>
      </c>
    </row>
    <row r="613" ht="15.75" customHeight="1">
      <c r="A613" s="2">
        <v>5.0</v>
      </c>
      <c r="B613" s="2" t="s">
        <v>1770</v>
      </c>
      <c r="C613" s="2" t="s">
        <v>1771</v>
      </c>
      <c r="D613" s="2" t="s">
        <v>26</v>
      </c>
      <c r="E613" s="2" t="s">
        <v>27</v>
      </c>
      <c r="F613" s="2" t="s">
        <v>15</v>
      </c>
      <c r="G613" s="2" t="s">
        <v>1070</v>
      </c>
      <c r="H613" s="2" t="s">
        <v>661</v>
      </c>
      <c r="I613" s="2" t="str">
        <f>IFERROR(__xludf.DUMMYFUNCTION("GOOGLETRANSLATE(C613,""fr"",""en"")"),"Client for only a few days, I cannot really give my opinion apart from that of the interlocutors I had in the phones. The latter were very friendly.")</f>
        <v>Client for only a few days, I cannot really give my opinion apart from that of the interlocutors I had in the phones. The latter were very friendly.</v>
      </c>
    </row>
    <row r="614" ht="15.75" customHeight="1">
      <c r="A614" s="2">
        <v>1.0</v>
      </c>
      <c r="B614" s="2" t="s">
        <v>1772</v>
      </c>
      <c r="C614" s="2" t="s">
        <v>1773</v>
      </c>
      <c r="D614" s="2" t="s">
        <v>254</v>
      </c>
      <c r="E614" s="2" t="s">
        <v>168</v>
      </c>
      <c r="F614" s="2" t="s">
        <v>15</v>
      </c>
      <c r="G614" s="2" t="s">
        <v>285</v>
      </c>
      <c r="H614" s="2" t="s">
        <v>285</v>
      </c>
      <c r="I614" s="2" t="str">
        <f>IFERROR(__xludf.DUMMYFUNCTION("GOOGLETRANSLATE(C614,""fr"",""en"")"),"I subscribed to this insurance this year, my cat swallows a Saussisson string with the metal piece. Animal vomiting results not well at all. I am taken out that it is a disease .... a question: when a baby swallowed an object is not an accident ???? A cat"&amp;" is really able to understand that it will hurt him .... for this insurance yes ... my cat is suicidal for them .... all that so as not to reimburse .... bad times. ...")</f>
        <v>I subscribed to this insurance this year, my cat swallows a Saussisson string with the metal piece. Animal vomiting results not well at all. I am taken out that it is a disease .... a question: when a baby swallowed an object is not an accident ???? A cat is really able to understand that it will hurt him .... for this insurance yes ... my cat is suicidal for them .... all that so as not to reimburse .... bad times. ...</v>
      </c>
    </row>
    <row r="615" ht="15.75" customHeight="1">
      <c r="A615" s="2">
        <v>2.0</v>
      </c>
      <c r="B615" s="2" t="s">
        <v>1774</v>
      </c>
      <c r="C615" s="2" t="s">
        <v>1775</v>
      </c>
      <c r="D615" s="2" t="s">
        <v>217</v>
      </c>
      <c r="E615" s="2" t="s">
        <v>43</v>
      </c>
      <c r="F615" s="2" t="s">
        <v>15</v>
      </c>
      <c r="G615" s="2" t="s">
        <v>134</v>
      </c>
      <c r="H615" s="2" t="s">
        <v>134</v>
      </c>
      <c r="I615" s="2" t="str">
        <f>IFERROR(__xludf.DUMMYFUNCTION("GOOGLETRANSLATE(C615,""fr"",""en"")"),"3 water damage caused by the top owner.
4000 euros of work 1200 euros reimburse by the Macif
owner's insurance and mine rejected responsibility and no one wants to settle with a internal insurance close to insurance
it's shabby I pay")</f>
        <v>3 water damage caused by the top owner.
4000 euros of work 1200 euros reimburse by the Macif
owner's insurance and mine rejected responsibility and no one wants to settle with a internal insurance close to insurance
it's shabby I pay</v>
      </c>
    </row>
    <row r="616" ht="15.75" customHeight="1">
      <c r="A616" s="2">
        <v>4.0</v>
      </c>
      <c r="B616" s="2" t="s">
        <v>1776</v>
      </c>
      <c r="C616" s="2" t="s">
        <v>1777</v>
      </c>
      <c r="D616" s="2" t="s">
        <v>26</v>
      </c>
      <c r="E616" s="2" t="s">
        <v>27</v>
      </c>
      <c r="F616" s="2" t="s">
        <v>15</v>
      </c>
      <c r="G616" s="2" t="s">
        <v>1301</v>
      </c>
      <c r="H616" s="2" t="s">
        <v>62</v>
      </c>
      <c r="I616" s="2" t="str">
        <f>IFERROR(__xludf.DUMMYFUNCTION("GOOGLETRANSLATE(C616,""fr"",""en"")"),"Very satisfied with the services that the olive tree assurances us which they are always there to answer us and give us information and answer I am very satisfied")</f>
        <v>Very satisfied with the services that the olive tree assurances us which they are always there to answer us and give us information and answer I am very satisfied</v>
      </c>
    </row>
    <row r="617" ht="15.75" customHeight="1">
      <c r="A617" s="2">
        <v>1.0</v>
      </c>
      <c r="B617" s="2" t="s">
        <v>1778</v>
      </c>
      <c r="C617" s="2" t="s">
        <v>1779</v>
      </c>
      <c r="D617" s="2" t="s">
        <v>99</v>
      </c>
      <c r="E617" s="2" t="s">
        <v>289</v>
      </c>
      <c r="F617" s="2" t="s">
        <v>15</v>
      </c>
      <c r="G617" s="2" t="s">
        <v>1780</v>
      </c>
      <c r="H617" s="2" t="s">
        <v>634</v>
      </c>
      <c r="I617" s="2" t="str">
        <f>IFERROR(__xludf.DUMMYFUNCTION("GOOGLETRANSLATE(C617,""fr"",""en"")"),"November 17, 2016 I subscribe to an Allianz Yearling contract for a large sum coming from a long and complex succession.
A problem arises that I have conceived and that the notary did not approach: the ISF.
M. D. Notable from the city of A and ALLIANZ a"&amp;"gent announces that I am a premium client and that his inspector advisor all will do this to me. New RV on 12/23/11.
Surprise, this gentleman who made me bring many documents very quickly made me a simple declaration of my heritage as a small retiree. Au"&amp;"thoritarian, full of assurance, this gentleman enters me the skull style coué his vision of things. The next day I go to the Treasure Public and this is not my birthday. If I do not present before 2017 a declaration which is not a real fomistry the penalt"&amp;"ies will be rough; Thank you Allianz.
I am looking on the net, in the Dalloz, from basic legal advice, etc. The main controller is right.
I send an anger email to agent Allianz/ nothing. No contact for commercial politeness to try to understand. On the "&amp;"28th, I resilled by mail with AR returned 01-12 the contract as I have the right.
Always nothing. Today I just saw that the check instead of coming back, has been cashed. I managed to have very incompetent customer service on the phone. Everything is rec"&amp;"orded: phew. But big anger on my part.
An end -of -day email just tells me that we will transmit to a sector manager.
In short, I wait and cannot place this money elsewhere. This opinion is the beginning of an action which will be tough; Allianz to flee"&amp;".")</f>
        <v>November 17, 2016 I subscribe to an Allianz Yearling contract for a large sum coming from a long and complex succession.
A problem arises that I have conceived and that the notary did not approach: the ISF.
M. D. Notable from the city of A and ALLIANZ agent announces that I am a premium client and that his inspector advisor all will do this to me. New RV on 12/23/11.
Surprise, this gentleman who made me bring many documents very quickly made me a simple declaration of my heritage as a small retiree. Authoritarian, full of assurance, this gentleman enters me the skull style coué his vision of things. The next day I go to the Treasure Public and this is not my birthday. If I do not present before 2017 a declaration which is not a real fomistry the penalties will be rough; Thank you Allianz.
I am looking on the net, in the Dalloz, from basic legal advice, etc. The main controller is right.
I send an anger email to agent Allianz/ nothing. No contact for commercial politeness to try to understand. On the 28th, I resilled by mail with AR returned 01-12 the contract as I have the right.
Always nothing. Today I just saw that the check instead of coming back, has been cashed. I managed to have very incompetent customer service on the phone. Everything is recorded: phew. But big anger on my part.
An end -of -day email just tells me that we will transmit to a sector manager.
In short, I wait and cannot place this money elsewhere. This opinion is the beginning of an action which will be tough; Allianz to flee.</v>
      </c>
    </row>
    <row r="618" ht="15.75" customHeight="1">
      <c r="A618" s="2">
        <v>5.0</v>
      </c>
      <c r="B618" s="2" t="s">
        <v>1781</v>
      </c>
      <c r="C618" s="2" t="s">
        <v>1782</v>
      </c>
      <c r="D618" s="2" t="s">
        <v>37</v>
      </c>
      <c r="E618" s="2" t="s">
        <v>27</v>
      </c>
      <c r="F618" s="2" t="s">
        <v>15</v>
      </c>
      <c r="G618" s="2" t="s">
        <v>1028</v>
      </c>
      <c r="H618" s="2" t="s">
        <v>88</v>
      </c>
      <c r="I618" s="2" t="str">
        <f>IFERROR(__xludf.DUMMYFUNCTION("GOOGLETRANSLATE(C618,""fr"",""en"")"),"I am satisfied with the service as well as the prices offered. Simple and very fast inscription. I highly recommend this insurance. Thanks very much")</f>
        <v>I am satisfied with the service as well as the prices offered. Simple and very fast inscription. I highly recommend this insurance. Thanks very much</v>
      </c>
    </row>
    <row r="619" ht="15.75" customHeight="1">
      <c r="A619" s="2">
        <v>4.0</v>
      </c>
      <c r="B619" s="2" t="s">
        <v>1783</v>
      </c>
      <c r="C619" s="2" t="s">
        <v>1784</v>
      </c>
      <c r="D619" s="2" t="s">
        <v>26</v>
      </c>
      <c r="E619" s="2" t="s">
        <v>27</v>
      </c>
      <c r="F619" s="2" t="s">
        <v>15</v>
      </c>
      <c r="G619" s="2" t="s">
        <v>441</v>
      </c>
      <c r="H619" s="2" t="s">
        <v>29</v>
      </c>
      <c r="I619" s="2" t="str">
        <f>IFERROR(__xludf.DUMMYFUNCTION("GOOGLETRANSLATE(C619,""fr"",""en"")"),"Perfect !!! I am a young driver not so easy to find insurance. Fast efficient and simple. I advise everyone this insurance")</f>
        <v>Perfect !!! I am a young driver not so easy to find insurance. Fast efficient and simple. I advise everyone this insurance</v>
      </c>
    </row>
    <row r="620" ht="15.75" customHeight="1">
      <c r="A620" s="2">
        <v>1.0</v>
      </c>
      <c r="B620" s="2" t="s">
        <v>1785</v>
      </c>
      <c r="C620" s="2" t="s">
        <v>1786</v>
      </c>
      <c r="D620" s="2" t="s">
        <v>57</v>
      </c>
      <c r="E620" s="2" t="s">
        <v>27</v>
      </c>
      <c r="F620" s="2" t="s">
        <v>15</v>
      </c>
      <c r="G620" s="2" t="s">
        <v>1787</v>
      </c>
      <c r="H620" s="2" t="s">
        <v>365</v>
      </c>
      <c r="I620" s="2" t="str">
        <f>IFERROR(__xludf.DUMMYFUNCTION("GOOGLETRANSLATE(C620,""fr"",""en"")"),"I do not recommend this insurance to anyone. My broken down friend remained for more than an hour and a half blocked in the cold with a five -year -old child. We are still waiting for the tow truck who has said that an hour and a half. It is unacceptable.")</f>
        <v>I do not recommend this insurance to anyone. My broken down friend remained for more than an hour and a half blocked in the cold with a five -year -old child. We are still waiting for the tow truck who has said that an hour and a half. It is unacceptable.</v>
      </c>
    </row>
    <row r="621" ht="15.75" customHeight="1">
      <c r="A621" s="2">
        <v>4.0</v>
      </c>
      <c r="B621" s="2" t="s">
        <v>1788</v>
      </c>
      <c r="C621" s="2" t="s">
        <v>1789</v>
      </c>
      <c r="D621" s="2" t="s">
        <v>37</v>
      </c>
      <c r="E621" s="2" t="s">
        <v>27</v>
      </c>
      <c r="F621" s="2" t="s">
        <v>15</v>
      </c>
      <c r="G621" s="2" t="s">
        <v>1790</v>
      </c>
      <c r="H621" s="2" t="s">
        <v>134</v>
      </c>
      <c r="I621" s="2" t="str">
        <f>IFERROR(__xludf.DUMMYFUNCTION("GOOGLETRANSLATE(C621,""fr"",""en"")"),"I find the prices reasonable, but remain equivalent to other insurances with better guarantees.
Disappointed to see that with 5 vehicles at home, we are not entitled to 0km troubleshooting.")</f>
        <v>I find the prices reasonable, but remain equivalent to other insurances with better guarantees.
Disappointed to see that with 5 vehicles at home, we are not entitled to 0km troubleshooting.</v>
      </c>
    </row>
    <row r="622" ht="15.75" customHeight="1">
      <c r="A622" s="2">
        <v>3.0</v>
      </c>
      <c r="B622" s="2" t="s">
        <v>1791</v>
      </c>
      <c r="C622" s="2" t="s">
        <v>1792</v>
      </c>
      <c r="D622" s="2" t="s">
        <v>78</v>
      </c>
      <c r="E622" s="2" t="s">
        <v>43</v>
      </c>
      <c r="F622" s="2" t="s">
        <v>15</v>
      </c>
      <c r="G622" s="2" t="s">
        <v>1793</v>
      </c>
      <c r="H622" s="2" t="s">
        <v>80</v>
      </c>
      <c r="I622" s="2" t="str">
        <f>IFERROR(__xludf.DUMMYFUNCTION("GOOGLETRANSLATE(C622,""fr"",""en"")"),"We had an important water degate at our home. The Expert Groupama came 5 months after the disaster and challenged the veracite of our Declaration. We obviously have brought all our evidence and after having established a counter expertise report and a bai"&amp;"liff report as well as a letter in AR without an answer after a month near the mediator recommends by Groupama, we are orient towards an action in justice.
We had all our insurance in this group including HELAS our legal protection which obviously cannot"&amp;" defend us in this case since against Groupama.
We are therefore organizing a legal action.
What a pity !")</f>
        <v>We had an important water degate at our home. The Expert Groupama came 5 months after the disaster and challenged the veracite of our Declaration. We obviously have brought all our evidence and after having established a counter expertise report and a bailiff report as well as a letter in AR without an answer after a month near the mediator recommends by Groupama, we are orient towards an action in justice.
We had all our insurance in this group including HELAS our legal protection which obviously cannot defend us in this case since against Groupama.
We are therefore organizing a legal action.
What a pity !</v>
      </c>
    </row>
    <row r="623" ht="15.75" customHeight="1">
      <c r="A623" s="2">
        <v>4.0</v>
      </c>
      <c r="B623" s="2" t="s">
        <v>1794</v>
      </c>
      <c r="C623" s="2" t="s">
        <v>1795</v>
      </c>
      <c r="D623" s="2" t="s">
        <v>300</v>
      </c>
      <c r="E623" s="2" t="s">
        <v>27</v>
      </c>
      <c r="F623" s="2" t="s">
        <v>15</v>
      </c>
      <c r="G623" s="2" t="s">
        <v>280</v>
      </c>
      <c r="H623" s="2" t="s">
        <v>134</v>
      </c>
      <c r="I623" s="2" t="str">
        <f>IFERROR(__xludf.DUMMYFUNCTION("GOOGLETRANSLATE(C623,""fr"",""en"")"),"Telephone interlocutors always very pleasant and fast management in the event of a very readable and intuitive personal internet space")</f>
        <v>Telephone interlocutors always very pleasant and fast management in the event of a very readable and intuitive personal internet space</v>
      </c>
    </row>
    <row r="624" ht="15.75" customHeight="1">
      <c r="A624" s="2">
        <v>2.0</v>
      </c>
      <c r="B624" s="2" t="s">
        <v>1796</v>
      </c>
      <c r="C624" s="2" t="s">
        <v>1797</v>
      </c>
      <c r="D624" s="2" t="s">
        <v>448</v>
      </c>
      <c r="E624" s="2" t="s">
        <v>68</v>
      </c>
      <c r="F624" s="2" t="s">
        <v>15</v>
      </c>
      <c r="G624" s="2" t="s">
        <v>1798</v>
      </c>
      <c r="H624" s="2" t="s">
        <v>50</v>
      </c>
      <c r="I624" s="2" t="str">
        <f>IFERROR(__xludf.DUMMYFUNCTION("GOOGLETRANSLATE(C624,""fr"",""en"")"),"Insurance not very expensive but effective just to take every month ....
Non -responsible body accident, the motorcycle was quickly taken care of. I quickly received a 1st deposit but the more eventful FUE suite.
Threatens to apply security fees if I wi"&amp;"ll not recover my motorcycle quickly when I still had crutches. (And that under the general conditions in the event of impossibility, it is up to them to do what is necessary).
Then during the compensation proposal, my remains dependent on medical costs "&amp;"were not even 100% covered! Not to mention professional losses and various damages!
After an email refusing the proposal, the medical costs are covered but it is all. I had to take a lawyer to be compensated at least 50% of my losses!
Conclusion You hav"&amp;"e to fight so that the contract clauses are applied ... So I decided to go see if the grass is more green.
(I pass you the deception on the phone during the subscription and the refusal of gesture during the covid when my motorcycle did not move from the"&amp;" garage .. all my other insurances we make a gesture ;-))")</f>
        <v>Insurance not very expensive but effective just to take every month ....
Non -responsible body accident, the motorcycle was quickly taken care of. I quickly received a 1st deposit but the more eventful FUE suite.
Threatens to apply security fees if I will not recover my motorcycle quickly when I still had crutches. (And that under the general conditions in the event of impossibility, it is up to them to do what is necessary).
Then during the compensation proposal, my remains dependent on medical costs were not even 100% covered! Not to mention professional losses and various damages!
After an email refusing the proposal, the medical costs are covered but it is all. I had to take a lawyer to be compensated at least 50% of my losses!
Conclusion You have to fight so that the contract clauses are applied ... So I decided to go see if the grass is more green.
(I pass you the deception on the phone during the subscription and the refusal of gesture during the covid when my motorcycle did not move from the garage .. all my other insurances we make a gesture ;-))</v>
      </c>
    </row>
    <row r="625" ht="15.75" customHeight="1">
      <c r="A625" s="2">
        <v>1.0</v>
      </c>
      <c r="B625" s="2" t="s">
        <v>1799</v>
      </c>
      <c r="C625" s="2" t="s">
        <v>1800</v>
      </c>
      <c r="D625" s="2" t="s">
        <v>264</v>
      </c>
      <c r="E625" s="2" t="s">
        <v>27</v>
      </c>
      <c r="F625" s="2" t="s">
        <v>15</v>
      </c>
      <c r="G625" s="2" t="s">
        <v>1019</v>
      </c>
      <c r="H625" s="2" t="s">
        <v>357</v>
      </c>
      <c r="I625" s="2" t="str">
        <f>IFERROR(__xludf.DUMMYFUNCTION("GOOGLETRANSLATE(C625,""fr"",""en"")"),"Incompetent, baratineur, run away !! Personally I have come to oppose the samples. Top easy to have contracts via the Internet and take the money, it's been a month and a half that my provisional insurance has ended and that I am waiting for the sending o"&amp;"f the annual green card ... I can't circulate my vehicle ... so I refuse to pay!")</f>
        <v>Incompetent, baratineur, run away !! Personally I have come to oppose the samples. Top easy to have contracts via the Internet and take the money, it's been a month and a half that my provisional insurance has ended and that I am waiting for the sending of the annual green card ... I can't circulate my vehicle ... so I refuse to pay!</v>
      </c>
    </row>
    <row r="626" ht="15.75" customHeight="1">
      <c r="A626" s="2">
        <v>2.0</v>
      </c>
      <c r="B626" s="2" t="s">
        <v>1801</v>
      </c>
      <c r="C626" s="2" t="s">
        <v>1802</v>
      </c>
      <c r="D626" s="2" t="s">
        <v>37</v>
      </c>
      <c r="E626" s="2" t="s">
        <v>27</v>
      </c>
      <c r="F626" s="2" t="s">
        <v>15</v>
      </c>
      <c r="G626" s="2" t="s">
        <v>1803</v>
      </c>
      <c r="H626" s="2" t="s">
        <v>112</v>
      </c>
      <c r="I626" s="2" t="str">
        <f>IFERROR(__xludf.DUMMYFUNCTION("GOOGLETRANSLATE(C626,""fr"",""en"")"),"Only one incident, and improbable and intolerable care and deadlines. The whole procedure was tedious for something that is not extraordinary: my vehicle was vandalized. A process to review I think!")</f>
        <v>Only one incident, and improbable and intolerable care and deadlines. The whole procedure was tedious for something that is not extraordinary: my vehicle was vandalized. A process to review I think!</v>
      </c>
    </row>
    <row r="627" ht="15.75" customHeight="1">
      <c r="A627" s="2">
        <v>3.0</v>
      </c>
      <c r="B627" s="2" t="s">
        <v>1804</v>
      </c>
      <c r="C627" s="2" t="s">
        <v>1805</v>
      </c>
      <c r="D627" s="2" t="s">
        <v>37</v>
      </c>
      <c r="E627" s="2" t="s">
        <v>27</v>
      </c>
      <c r="F627" s="2" t="s">
        <v>15</v>
      </c>
      <c r="G627" s="2" t="s">
        <v>412</v>
      </c>
      <c r="H627" s="2" t="s">
        <v>112</v>
      </c>
      <c r="I627" s="2" t="str">
        <f>IFERROR(__xludf.DUMMYFUNCTION("GOOGLETRANSLATE(C627,""fr"",""en"")"),"I am generally happy with the services, however the prices are no longer competitive. There is a strong change that I leave you due to too high prices")</f>
        <v>I am generally happy with the services, however the prices are no longer competitive. There is a strong change that I leave you due to too high prices</v>
      </c>
    </row>
    <row r="628" ht="15.75" customHeight="1">
      <c r="A628" s="2">
        <v>4.0</v>
      </c>
      <c r="B628" s="2" t="s">
        <v>1806</v>
      </c>
      <c r="C628" s="2" t="s">
        <v>1807</v>
      </c>
      <c r="D628" s="2" t="s">
        <v>37</v>
      </c>
      <c r="E628" s="2" t="s">
        <v>27</v>
      </c>
      <c r="F628" s="2" t="s">
        <v>15</v>
      </c>
      <c r="G628" s="2" t="s">
        <v>1808</v>
      </c>
      <c r="H628" s="2" t="s">
        <v>29</v>
      </c>
      <c r="I628" s="2" t="str">
        <f>IFERROR(__xludf.DUMMYFUNCTION("GOOGLETRANSLATE(C628,""fr"",""en"")"),"As a student the services offered and the price are adapted to my situation, I am very satisfied and I will recommend more colleagues by your. Assurance by exempt that it will last afterwards
Cordially")</f>
        <v>As a student the services offered and the price are adapted to my situation, I am very satisfied and I will recommend more colleagues by your. Assurance by exempt that it will last afterwards
Cordially</v>
      </c>
    </row>
    <row r="629" ht="15.75" customHeight="1">
      <c r="A629" s="2">
        <v>1.0</v>
      </c>
      <c r="B629" s="2" t="s">
        <v>1809</v>
      </c>
      <c r="C629" s="2" t="s">
        <v>1810</v>
      </c>
      <c r="D629" s="2" t="s">
        <v>490</v>
      </c>
      <c r="E629" s="2" t="s">
        <v>27</v>
      </c>
      <c r="F629" s="2" t="s">
        <v>15</v>
      </c>
      <c r="G629" s="2" t="s">
        <v>1811</v>
      </c>
      <c r="H629" s="2" t="s">
        <v>285</v>
      </c>
      <c r="I629" s="2" t="str">
        <f>IFERROR(__xludf.DUMMYFUNCTION("GOOGLETRANSLATE(C629,""fr"",""en"")"),"I write to you to comment to let you know my dissatisfaction. I explain to you why! Since February 11, 2019 I have declared my vehicle to fly to the Denain police station registered: DW998JP then I went to the Matmut Denain agency to declare them. We are "&amp;"therefore Friday September 13, 2019 I am still no news for the reimbursement of my vehicle. Everything and I specify that all the necessary documents we were sending. No document was forgotten. I've been waiting for 7 months and 23 days. I'm really not ha"&amp;"ppy with that. Hope to receive good news from you very quickly.
Waiting for your reply.
Regards Mr Bruwaert Jordan")</f>
        <v>I write to you to comment to let you know my dissatisfaction. I explain to you why! Since February 11, 2019 I have declared my vehicle to fly to the Denain police station registered: DW998JP then I went to the Matmut Denain agency to declare them. We are therefore Friday September 13, 2019 I am still no news for the reimbursement of my vehicle. Everything and I specify that all the necessary documents we were sending. No document was forgotten. I've been waiting for 7 months and 23 days. I'm really not happy with that. Hope to receive good news from you very quickly.
Waiting for your reply.
Regards Mr Bruwaert Jordan</v>
      </c>
    </row>
    <row r="630" ht="15.75" customHeight="1">
      <c r="A630" s="2">
        <v>2.0</v>
      </c>
      <c r="B630" s="2" t="s">
        <v>1812</v>
      </c>
      <c r="C630" s="2" t="s">
        <v>1813</v>
      </c>
      <c r="D630" s="2" t="s">
        <v>57</v>
      </c>
      <c r="E630" s="2" t="s">
        <v>27</v>
      </c>
      <c r="F630" s="2" t="s">
        <v>15</v>
      </c>
      <c r="G630" s="2" t="s">
        <v>1814</v>
      </c>
      <c r="H630" s="2" t="s">
        <v>694</v>
      </c>
      <c r="I630" s="2" t="str">
        <f>IFERROR(__xludf.DUMMYFUNCTION("GOOGLETRANSLATE(C630,""fr"",""en"")"),"Fairly deplorable car insurance service. We never remind you, or the person who takes care of your file is on vacation or is overwhelmed. Very strong to take money but zero for the rest.")</f>
        <v>Fairly deplorable car insurance service. We never remind you, or the person who takes care of your file is on vacation or is overwhelmed. Very strong to take money but zero for the rest.</v>
      </c>
    </row>
    <row r="631" ht="15.75" customHeight="1">
      <c r="A631" s="2">
        <v>1.0</v>
      </c>
      <c r="B631" s="2" t="s">
        <v>1815</v>
      </c>
      <c r="C631" s="2" t="s">
        <v>1816</v>
      </c>
      <c r="D631" s="2" t="s">
        <v>355</v>
      </c>
      <c r="E631" s="2" t="s">
        <v>289</v>
      </c>
      <c r="F631" s="2" t="s">
        <v>15</v>
      </c>
      <c r="G631" s="2" t="s">
        <v>1817</v>
      </c>
      <c r="H631" s="2" t="s">
        <v>121</v>
      </c>
      <c r="I631" s="2" t="str">
        <f>IFERROR(__xludf.DUMMYFUNCTION("GOOGLETRANSLATE(C631,""fr"",""en"")"),"I contracted a corporate modul' -retirement plan and a professional modul that I wish to recover. Despite numerous requests by mail, emails and other calls, no one at AXA is able to follow up on my request. Also, I have not received any response from them"&amp;" on their site even about this same request. To believe that there is no one at the helm at this insurer whose stinging pubs are all masks. A word of advice, avoid letting yourself be asleep ...")</f>
        <v>I contracted a corporate modul' -retirement plan and a professional modul that I wish to recover. Despite numerous requests by mail, emails and other calls, no one at AXA is able to follow up on my request. Also, I have not received any response from them on their site even about this same request. To believe that there is no one at the helm at this insurer whose stinging pubs are all masks. A word of advice, avoid letting yourself be asleep ...</v>
      </c>
    </row>
    <row r="632" ht="15.75" customHeight="1">
      <c r="A632" s="2">
        <v>2.0</v>
      </c>
      <c r="B632" s="2" t="s">
        <v>1818</v>
      </c>
      <c r="C632" s="2" t="s">
        <v>1819</v>
      </c>
      <c r="D632" s="2" t="s">
        <v>26</v>
      </c>
      <c r="E632" s="2" t="s">
        <v>27</v>
      </c>
      <c r="F632" s="2" t="s">
        <v>15</v>
      </c>
      <c r="G632" s="2" t="s">
        <v>1820</v>
      </c>
      <c r="H632" s="2" t="s">
        <v>149</v>
      </c>
      <c r="I632" s="2" t="str">
        <f>IFERROR(__xludf.DUMMYFUNCTION("GOOGLETRANSLATE(C632,""fr"",""en"")"),"I made a request to declare a secondary driver in May 2018. A week later and following the financial proposal, I called on 05/28 to request the cancellation of my request.
The insurer took the initiative to maintain my first request without my sign anyth"&amp;"ing")</f>
        <v>I made a request to declare a secondary driver in May 2018. A week later and following the financial proposal, I called on 05/28 to request the cancellation of my request.
The insurer took the initiative to maintain my first request without my sign anything</v>
      </c>
    </row>
    <row r="633" ht="15.75" customHeight="1">
      <c r="A633" s="2">
        <v>1.0</v>
      </c>
      <c r="B633" s="2" t="s">
        <v>1821</v>
      </c>
      <c r="C633" s="2" t="s">
        <v>1822</v>
      </c>
      <c r="D633" s="2" t="s">
        <v>254</v>
      </c>
      <c r="E633" s="2" t="s">
        <v>168</v>
      </c>
      <c r="F633" s="2" t="s">
        <v>15</v>
      </c>
      <c r="G633" s="2" t="s">
        <v>49</v>
      </c>
      <c r="H633" s="2" t="s">
        <v>50</v>
      </c>
      <c r="I633" s="2" t="str">
        <f>IFERROR(__xludf.DUMMYFUNCTION("GOOGLETRANSLATE(C633,""fr"",""en"")"),"Hello
Here I am very angry with my ECA insurance but especially against the people who know how to play with us I assured my 2 dogs ?? ?? To have peace of mind unfortunately I have my loulou who died in 24 natural died today I called my insurance to find"&amp;" out when he was going to reimburse me the costs of veterinarian and hospitalizations and I was told No you do not pay expensive enough, the person with whom I have subscribed my insurance my same says that he reimburses me 500 € for death when I asked fo"&amp;"r explanations I was told that I was not entitled to anything I do not advise this insurance")</f>
        <v>Hello
Here I am very angry with my ECA insurance but especially against the people who know how to play with us I assured my 2 dogs ?? ?? To have peace of mind unfortunately I have my loulou who died in 24 natural died today I called my insurance to find out when he was going to reimburse me the costs of veterinarian and hospitalizations and I was told No you do not pay expensive enough, the person with whom I have subscribed my insurance my same says that he reimburses me 500 € for death when I asked for explanations I was told that I was not entitled to anything I do not advise this insurance</v>
      </c>
    </row>
    <row r="634" ht="15.75" customHeight="1">
      <c r="A634" s="2">
        <v>2.0</v>
      </c>
      <c r="B634" s="2" t="s">
        <v>1823</v>
      </c>
      <c r="C634" s="2" t="s">
        <v>1824</v>
      </c>
      <c r="D634" s="2" t="s">
        <v>736</v>
      </c>
      <c r="E634" s="2" t="s">
        <v>27</v>
      </c>
      <c r="F634" s="2" t="s">
        <v>15</v>
      </c>
      <c r="G634" s="2" t="s">
        <v>1825</v>
      </c>
      <c r="H634" s="2" t="s">
        <v>170</v>
      </c>
      <c r="I634" s="2" t="str">
        <f>IFERROR(__xludf.DUMMYFUNCTION("GOOGLETRANSLATE(C634,""fr"",""en"")"),"Insured for 3 years, my contract has just been terminated. The reason? It is simple I had a non -responsible disaster which cost 0 euros in Eurofil. Thanks to them now because of the termination I will have to pay more. To flee !!!!!!!!!!")</f>
        <v>Insured for 3 years, my contract has just been terminated. The reason? It is simple I had a non -responsible disaster which cost 0 euros in Eurofil. Thanks to them now because of the termination I will have to pay more. To flee !!!!!!!!!!</v>
      </c>
    </row>
    <row r="635" ht="15.75" customHeight="1">
      <c r="A635" s="2">
        <v>4.0</v>
      </c>
      <c r="B635" s="2" t="s">
        <v>1826</v>
      </c>
      <c r="C635" s="2" t="s">
        <v>1827</v>
      </c>
      <c r="D635" s="2" t="s">
        <v>736</v>
      </c>
      <c r="E635" s="2" t="s">
        <v>27</v>
      </c>
      <c r="F635" s="2" t="s">
        <v>15</v>
      </c>
      <c r="G635" s="2" t="s">
        <v>512</v>
      </c>
      <c r="H635" s="2" t="s">
        <v>188</v>
      </c>
      <c r="I635" s="2" t="str">
        <f>IFERROR(__xludf.DUMMYFUNCTION("GOOGLETRANSLATE(C635,""fr"",""en"")"),"I had no claim yet, so I cannot judge the quality of the intervention during a disaster.")</f>
        <v>I had no claim yet, so I cannot judge the quality of the intervention during a disaster.</v>
      </c>
    </row>
    <row r="636" ht="15.75" customHeight="1">
      <c r="A636" s="2">
        <v>3.0</v>
      </c>
      <c r="B636" s="2" t="s">
        <v>1828</v>
      </c>
      <c r="C636" s="2" t="s">
        <v>1829</v>
      </c>
      <c r="D636" s="2" t="s">
        <v>37</v>
      </c>
      <c r="E636" s="2" t="s">
        <v>27</v>
      </c>
      <c r="F636" s="2" t="s">
        <v>15</v>
      </c>
      <c r="G636" s="2" t="s">
        <v>75</v>
      </c>
      <c r="H636" s="2" t="s">
        <v>23</v>
      </c>
      <c r="I636" s="2" t="str">
        <f>IFERROR(__xludf.DUMMYFUNCTION("GOOGLETRANSLATE(C636,""fr"",""en"")"),"I did not receive my final green card. Is this normal?
Otherwise from the start, I have been asking you. You are quick when you answer, you are quick to set up the documents.
But I would like to receive my final green card. Thank you")</f>
        <v>I did not receive my final green card. Is this normal?
Otherwise from the start, I have been asking you. You are quick when you answer, you are quick to set up the documents.
But I would like to receive my final green card. Thank you</v>
      </c>
    </row>
    <row r="637" ht="15.75" customHeight="1">
      <c r="A637" s="2">
        <v>2.0</v>
      </c>
      <c r="B637" s="2" t="s">
        <v>1830</v>
      </c>
      <c r="C637" s="2" t="s">
        <v>1831</v>
      </c>
      <c r="D637" s="2" t="s">
        <v>26</v>
      </c>
      <c r="E637" s="2" t="s">
        <v>27</v>
      </c>
      <c r="F637" s="2" t="s">
        <v>15</v>
      </c>
      <c r="G637" s="2" t="s">
        <v>1832</v>
      </c>
      <c r="H637" s="2" t="s">
        <v>62</v>
      </c>
      <c r="I637" s="2" t="str">
        <f>IFERROR(__xludf.DUMMYFUNCTION("GOOGLETRANSLATE(C637,""fr"",""en"")"),"Price fluctuation during the various interviews without valid reason
I would like an additional information in order to understand this subject
Cordially")</f>
        <v>Price fluctuation during the various interviews without valid reason
I would like an additional information in order to understand this subject
Cordially</v>
      </c>
    </row>
    <row r="638" ht="15.75" customHeight="1">
      <c r="A638" s="2">
        <v>2.0</v>
      </c>
      <c r="B638" s="2" t="s">
        <v>1833</v>
      </c>
      <c r="C638" s="2" t="s">
        <v>1834</v>
      </c>
      <c r="D638" s="2" t="s">
        <v>37</v>
      </c>
      <c r="E638" s="2" t="s">
        <v>27</v>
      </c>
      <c r="F638" s="2" t="s">
        <v>15</v>
      </c>
      <c r="G638" s="2" t="s">
        <v>892</v>
      </c>
      <c r="H638" s="2" t="s">
        <v>88</v>
      </c>
      <c r="I638" s="2" t="str">
        <f>IFERROR(__xludf.DUMMYFUNCTION("GOOGLETRANSLATE(C638,""fr"",""en"")"),"Satisfied with the service, explanation of the advisor, nempeche we had to inform at the beginning of the sum of 167 ... euros to pay. I still did not understand what the consisted")</f>
        <v>Satisfied with the service, explanation of the advisor, nempeche we had to inform at the beginning of the sum of 167 ... euros to pay. I still did not understand what the consisted</v>
      </c>
    </row>
    <row r="639" ht="15.75" customHeight="1">
      <c r="A639" s="2">
        <v>3.0</v>
      </c>
      <c r="B639" s="2" t="s">
        <v>1835</v>
      </c>
      <c r="C639" s="2" t="s">
        <v>1836</v>
      </c>
      <c r="D639" s="2" t="s">
        <v>300</v>
      </c>
      <c r="E639" s="2" t="s">
        <v>43</v>
      </c>
      <c r="F639" s="2" t="s">
        <v>15</v>
      </c>
      <c r="G639" s="2" t="s">
        <v>1837</v>
      </c>
      <c r="H639" s="2" t="s">
        <v>634</v>
      </c>
      <c r="I639" s="2" t="str">
        <f>IFERROR(__xludf.DUMMYFUNCTION("GOOGLETRANSLATE(C639,""fr"",""en"")"),"Water damage in June 2016 with my parents visit expert August2016 ... No work done !! It has been an hour that I have the music to obtain an interlocutor. I understand that this exasperates the elderly.")</f>
        <v>Water damage in June 2016 with my parents visit expert August2016 ... No work done !! It has been an hour that I have the music to obtain an interlocutor. I understand that this exasperates the elderly.</v>
      </c>
    </row>
    <row r="640" ht="15.75" customHeight="1">
      <c r="A640" s="2">
        <v>1.0</v>
      </c>
      <c r="B640" s="2" t="s">
        <v>1838</v>
      </c>
      <c r="C640" s="2" t="s">
        <v>1839</v>
      </c>
      <c r="D640" s="2" t="s">
        <v>13</v>
      </c>
      <c r="E640" s="2" t="s">
        <v>289</v>
      </c>
      <c r="F640" s="2" t="s">
        <v>15</v>
      </c>
      <c r="G640" s="2" t="s">
        <v>1840</v>
      </c>
      <c r="H640" s="2" t="s">
        <v>874</v>
      </c>
      <c r="I640" s="2" t="str">
        <f>IFERROR(__xludf.DUMMYFUNCTION("GOOGLETRANSLATE(C640,""fr"",""en"")"),"Problem currently with Cardif in the context of a life insurance buyback regulation whose request was sent by BNP dated 24/11/2017. Following a lack of parts I faxed directly in Cardif on 8/12/2017 the missing documents to the number indicated by a person"&amp;" from their home and to date still not treated. Thursday 14/12/2017 Call at Cardif to see the progress and there my interlocutor tells me that I did not have the faxed documents then find them after 15 minutes of waiting! Today 12/18/2017 New call at Card"&amp;"if and my interlocutor of the day does not find a trace of my shipment !!! What to think of how we treat the files in this company? The people of the platform I had online were incompetent to take care of and respond to my request.")</f>
        <v>Problem currently with Cardif in the context of a life insurance buyback regulation whose request was sent by BNP dated 24/11/2017. Following a lack of parts I faxed directly in Cardif on 8/12/2017 the missing documents to the number indicated by a person from their home and to date still not treated. Thursday 14/12/2017 Call at Cardif to see the progress and there my interlocutor tells me that I did not have the faxed documents then find them after 15 minutes of waiting! Today 12/18/2017 New call at Cardif and my interlocutor of the day does not find a trace of my shipment !!! What to think of how we treat the files in this company? The people of the platform I had online were incompetent to take care of and respond to my request.</v>
      </c>
    </row>
    <row r="641" ht="15.75" customHeight="1">
      <c r="A641" s="2">
        <v>2.0</v>
      </c>
      <c r="B641" s="2" t="s">
        <v>1841</v>
      </c>
      <c r="C641" s="2" t="s">
        <v>1842</v>
      </c>
      <c r="D641" s="2" t="s">
        <v>37</v>
      </c>
      <c r="E641" s="2" t="s">
        <v>27</v>
      </c>
      <c r="F641" s="2" t="s">
        <v>15</v>
      </c>
      <c r="G641" s="2" t="s">
        <v>1843</v>
      </c>
      <c r="H641" s="2" t="s">
        <v>445</v>
      </c>
      <c r="I641" s="2" t="str">
        <f>IFERROR(__xludf.DUMMYFUNCTION("GOOGLETRANSLATE(C641,""fr"",""en"")"),"On December 10, 2016, I had an accident. I contact direct insurance and I am told that my vehicle is no longer insured because they took into account a quote that I had made for another vehicle 2:30 on the phone with them at the place of accident they con"&amp;"tacted the convenience store in Ordering him to unload the vehicle on the spot (fortunately the convenience store has a heart) he did not do it, it took 1Sem1/2 for my vehicle to leave in a garage for the expert but but they did not Not warned the expert "&amp;"I did the procedures myself (1 supplementary month) the secretary to a heart also she passed me as a priority the next day, and the direct insurance sends me recommended to pay contributions of this same Vehicle that has been destroyed since ........ in s"&amp;"hort I all removed from their home.")</f>
        <v>On December 10, 2016, I had an accident. I contact direct insurance and I am told that my vehicle is no longer insured because they took into account a quote that I had made for another vehicle 2:30 on the phone with them at the place of accident they contacted the convenience store in Ordering him to unload the vehicle on the spot (fortunately the convenience store has a heart) he did not do it, it took 1Sem1/2 for my vehicle to leave in a garage for the expert but but they did not Not warned the expert I did the procedures myself (1 supplementary month) the secretary to a heart also she passed me as a priority the next day, and the direct insurance sends me recommended to pay contributions of this same Vehicle that has been destroyed since ........ in short I all removed from their home.</v>
      </c>
    </row>
    <row r="642" ht="15.75" customHeight="1">
      <c r="A642" s="2">
        <v>2.0</v>
      </c>
      <c r="B642" s="2" t="s">
        <v>1844</v>
      </c>
      <c r="C642" s="2" t="s">
        <v>1845</v>
      </c>
      <c r="D642" s="2" t="s">
        <v>355</v>
      </c>
      <c r="E642" s="2" t="s">
        <v>289</v>
      </c>
      <c r="F642" s="2" t="s">
        <v>15</v>
      </c>
      <c r="G642" s="2" t="s">
        <v>1846</v>
      </c>
      <c r="H642" s="2" t="s">
        <v>29</v>
      </c>
      <c r="I642" s="2" t="str">
        <f>IFERROR(__xludf.DUMMYFUNCTION("GOOGLETRANSLATE(C642,""fr"",""en"")"),"Insurer to run away absolutely, following the compulsory liquidation of my company I asked for the total buyback more than 3 weeks ago with a complete file, the file was processed soon 2 weeks ago but I still received the transfer ! Without income for mor"&amp;"e than a month I have been counting on them to make my children eat but currently I find myself in the obligation to restrict meals ..... I relaunch them every day and people do not answer !!!")</f>
        <v>Insurer to run away absolutely, following the compulsory liquidation of my company I asked for the total buyback more than 3 weeks ago with a complete file, the file was processed soon 2 weeks ago but I still received the transfer ! Without income for more than a month I have been counting on them to make my children eat but currently I find myself in the obligation to restrict meals ..... I relaunch them every day and people do not answer !!!</v>
      </c>
    </row>
    <row r="643" ht="15.75" customHeight="1">
      <c r="A643" s="2">
        <v>1.0</v>
      </c>
      <c r="B643" s="2" t="s">
        <v>1847</v>
      </c>
      <c r="C643" s="2" t="s">
        <v>1848</v>
      </c>
      <c r="D643" s="2" t="s">
        <v>448</v>
      </c>
      <c r="E643" s="2" t="s">
        <v>27</v>
      </c>
      <c r="F643" s="2" t="s">
        <v>15</v>
      </c>
      <c r="G643" s="2" t="s">
        <v>1849</v>
      </c>
      <c r="H643" s="2" t="s">
        <v>101</v>
      </c>
      <c r="I643" s="2" t="str">
        <f>IFERROR(__xludf.DUMMYFUNCTION("GOOGLETRANSLATE(C643,""fr"",""en"")"),"Insurance with no know -how.
I pay 120 euro every month for several years without asking for anything, I had a problem when I got back from vacation with my trailer, knowing that my trailer is ensured with my car, I had to put 580 euros from my pocket in"&amp;" my pocket paying 120 euros every month is really but really abuse not to want to reimburse.
Ps. The chiefs have extended leave because every week for a month the chef returns on Monday.
What we don't know.")</f>
        <v>Insurance with no know -how.
I pay 120 euro every month for several years without asking for anything, I had a problem when I got back from vacation with my trailer, knowing that my trailer is ensured with my car, I had to put 580 euros from my pocket in my pocket paying 120 euros every month is really but really abuse not to want to reimburse.
Ps. The chiefs have extended leave because every week for a month the chef returns on Monday.
What we don't know.</v>
      </c>
    </row>
    <row r="644" ht="15.75" customHeight="1">
      <c r="A644" s="2">
        <v>4.0</v>
      </c>
      <c r="B644" s="2" t="s">
        <v>1850</v>
      </c>
      <c r="C644" s="2" t="s">
        <v>1851</v>
      </c>
      <c r="D644" s="2" t="s">
        <v>32</v>
      </c>
      <c r="E644" s="2" t="s">
        <v>21</v>
      </c>
      <c r="F644" s="2" t="s">
        <v>15</v>
      </c>
      <c r="G644" s="2" t="s">
        <v>1852</v>
      </c>
      <c r="H644" s="2" t="s">
        <v>34</v>
      </c>
      <c r="I644" s="2" t="str">
        <f>IFERROR(__xludf.DUMMYFUNCTION("GOOGLETRANSLATE(C644,""fr"",""en"")"),"A little expensive but I have been at MGP for 20 years, we are not going to lie I looked at competitors or the prices are even higher or the reimbursements are not terrible. Then I never had a problem with the MGP. So in tradition package since the flow I"&amp;" have never changed.")</f>
        <v>A little expensive but I have been at MGP for 20 years, we are not going to lie I looked at competitors or the prices are even higher or the reimbursements are not terrible. Then I never had a problem with the MGP. So in tradition package since the flow I have never changed.</v>
      </c>
    </row>
    <row r="645" ht="15.75" customHeight="1">
      <c r="A645" s="2">
        <v>4.0</v>
      </c>
      <c r="B645" s="2" t="s">
        <v>1853</v>
      </c>
      <c r="C645" s="2" t="s">
        <v>1854</v>
      </c>
      <c r="D645" s="2" t="s">
        <v>37</v>
      </c>
      <c r="E645" s="2" t="s">
        <v>27</v>
      </c>
      <c r="F645" s="2" t="s">
        <v>15</v>
      </c>
      <c r="G645" s="2" t="s">
        <v>1039</v>
      </c>
      <c r="H645" s="2" t="s">
        <v>29</v>
      </c>
      <c r="I645" s="2" t="str">
        <f>IFERROR(__xludf.DUMMYFUNCTION("GOOGLETRANSLATE(C645,""fr"",""en"")"),"Some concerns with the quote name of the main driver franchises a little high see the possibility of the decreased without an exaggerated increase in the rate best is an advisor")</f>
        <v>Some concerns with the quote name of the main driver franchises a little high see the possibility of the decreased without an exaggerated increase in the rate best is an advisor</v>
      </c>
    </row>
    <row r="646" ht="15.75" customHeight="1">
      <c r="A646" s="2">
        <v>4.0</v>
      </c>
      <c r="B646" s="2" t="s">
        <v>1855</v>
      </c>
      <c r="C646" s="2" t="s">
        <v>1856</v>
      </c>
      <c r="D646" s="2" t="s">
        <v>355</v>
      </c>
      <c r="E646" s="2" t="s">
        <v>43</v>
      </c>
      <c r="F646" s="2" t="s">
        <v>15</v>
      </c>
      <c r="G646" s="2" t="s">
        <v>1857</v>
      </c>
      <c r="H646" s="2" t="s">
        <v>214</v>
      </c>
      <c r="I646" s="2" t="str">
        <f>IFERROR(__xludf.DUMMYFUNCTION("GOOGLETRANSLATE(C646,""fr"",""en"")"),"Hello Internet users.
I had a very good experience during my disaster at Axa France a satisfactory service in Morocco. I had a smiling and helpful advisor. He offered me the compensation quickly. Unlike the agency.
Congratulations for these young advise"&amp;"rs. Home Insurance
")</f>
        <v>Hello Internet users.
I had a very good experience during my disaster at Axa France a satisfactory service in Morocco. I had a smiling and helpful advisor. He offered me the compensation quickly. Unlike the agency.
Congratulations for these young advisers. Home Insurance
</v>
      </c>
    </row>
    <row r="647" ht="15.75" customHeight="1">
      <c r="A647" s="2">
        <v>2.0</v>
      </c>
      <c r="B647" s="2" t="s">
        <v>1858</v>
      </c>
      <c r="C647" s="2" t="s">
        <v>1859</v>
      </c>
      <c r="D647" s="2" t="s">
        <v>42</v>
      </c>
      <c r="E647" s="2" t="s">
        <v>43</v>
      </c>
      <c r="F647" s="2" t="s">
        <v>15</v>
      </c>
      <c r="G647" s="2" t="s">
        <v>1860</v>
      </c>
      <c r="H647" s="2" t="s">
        <v>523</v>
      </c>
      <c r="I647" s="2" t="str">
        <f>IFERROR(__xludf.DUMMYFUNCTION("GOOGLETRANSLATE(C647,""fr"",""en"")"),"In Maif for 40 years, I had not had too large claims for a long time. The settlement of a few claims of less importance had already made me tick. However, recently we had to face adversity and the Maif was very lukewarm, not very united and not so militan"&amp;"t as that. After a sinister fire (criminal) on a leisure building (mountain barn), the mutual took a long time before ruling, asking for quotes and dilators. We ended up receiving compensation far below the repair cost. However, the quote being ""at least"&amp;""": repair below the initial quality of the building (wavy sheets instead of slate on the cover), equipment and movable property under assessed. All on the basis of a theoretical and completely unrealistic ""market value"". Access works being necessary to"&amp;" carry out repairs, the MAIF refuses to take care of them on the grounds ""that they constitute improvements which did not exist before the claim"" ... all this is dark and desperate. Especially since we are very honest on our statements: never of overest"&amp;"imation, false declarations. On the contrary, very often we have taken small storm claims, hailstorm damage, windows, roofing problems, striped or dented car, etc ... I don't know what to do ...")</f>
        <v>In Maif for 40 years, I had not had too large claims for a long time. The settlement of a few claims of less importance had already made me tick. However, recently we had to face adversity and the Maif was very lukewarm, not very united and not so militant as that. After a sinister fire (criminal) on a leisure building (mountain barn), the mutual took a long time before ruling, asking for quotes and dilators. We ended up receiving compensation far below the repair cost. However, the quote being "at least": repair below the initial quality of the building (wavy sheets instead of slate on the cover), equipment and movable property under assessed. All on the basis of a theoretical and completely unrealistic "market value". Access works being necessary to carry out repairs, the MAIF refuses to take care of them on the grounds "that they constitute improvements which did not exist before the claim" ... all this is dark and desperate. Especially since we are very honest on our statements: never of overestimation, false declarations. On the contrary, very often we have taken small storm claims, hailstorm damage, windows, roofing problems, striped or dented car, etc ... I don't know what to do ...</v>
      </c>
    </row>
    <row r="648" ht="15.75" customHeight="1">
      <c r="A648" s="2">
        <v>4.0</v>
      </c>
      <c r="B648" s="2" t="s">
        <v>1861</v>
      </c>
      <c r="C648" s="2" t="s">
        <v>1862</v>
      </c>
      <c r="D648" s="2" t="s">
        <v>217</v>
      </c>
      <c r="E648" s="2" t="s">
        <v>27</v>
      </c>
      <c r="F648" s="2" t="s">
        <v>15</v>
      </c>
      <c r="G648" s="2" t="s">
        <v>1863</v>
      </c>
      <c r="H648" s="2" t="s">
        <v>874</v>
      </c>
      <c r="I648" s="2" t="str">
        <f>IFERROR(__xludf.DUMMYFUNCTION("GOOGLETRANSLATE(C648,""fr"",""en"")"),"insured for over 40 years never disappointed good relations with teams on site in agency")</f>
        <v>insured for over 40 years never disappointed good relations with teams on site in agency</v>
      </c>
    </row>
    <row r="649" ht="15.75" customHeight="1">
      <c r="A649" s="2">
        <v>5.0</v>
      </c>
      <c r="B649" s="2" t="s">
        <v>1864</v>
      </c>
      <c r="C649" s="2" t="s">
        <v>1865</v>
      </c>
      <c r="D649" s="2" t="s">
        <v>37</v>
      </c>
      <c r="E649" s="2" t="s">
        <v>27</v>
      </c>
      <c r="F649" s="2" t="s">
        <v>15</v>
      </c>
      <c r="G649" s="2" t="s">
        <v>134</v>
      </c>
      <c r="H649" s="2" t="s">
        <v>134</v>
      </c>
      <c r="I649" s="2" t="str">
        <f>IFERROR(__xludf.DUMMYFUNCTION("GOOGLETRANSLATE(C649,""fr"",""en"")"),"Perfect, I recommend, I am satisfied with service and listening. Prices suit me, membership and simple and practical. To see in time ... for now not enough perspective.")</f>
        <v>Perfect, I recommend, I am satisfied with service and listening. Prices suit me, membership and simple and practical. To see in time ... for now not enough perspective.</v>
      </c>
    </row>
    <row r="650" ht="15.75" customHeight="1">
      <c r="A650" s="2">
        <v>2.0</v>
      </c>
      <c r="B650" s="2" t="s">
        <v>1866</v>
      </c>
      <c r="C650" s="2" t="s">
        <v>1867</v>
      </c>
      <c r="D650" s="2" t="s">
        <v>37</v>
      </c>
      <c r="E650" s="2" t="s">
        <v>27</v>
      </c>
      <c r="F650" s="2" t="s">
        <v>15</v>
      </c>
      <c r="G650" s="2" t="s">
        <v>1868</v>
      </c>
      <c r="H650" s="2" t="s">
        <v>149</v>
      </c>
      <c r="I650" s="2" t="str">
        <f>IFERROR(__xludf.DUMMYFUNCTION("GOOGLETRANSLATE(C650,""fr"",""en"")"),"After a year increase with alignment on other insurance. So attraction price and after anyway we undergo without explanation.")</f>
        <v>After a year increase with alignment on other insurance. So attraction price and after anyway we undergo without explanation.</v>
      </c>
    </row>
    <row r="651" ht="15.75" customHeight="1">
      <c r="A651" s="2">
        <v>5.0</v>
      </c>
      <c r="B651" s="2" t="s">
        <v>1869</v>
      </c>
      <c r="C651" s="2" t="s">
        <v>1870</v>
      </c>
      <c r="D651" s="2" t="s">
        <v>37</v>
      </c>
      <c r="E651" s="2" t="s">
        <v>27</v>
      </c>
      <c r="F651" s="2" t="s">
        <v>15</v>
      </c>
      <c r="G651" s="2" t="s">
        <v>434</v>
      </c>
      <c r="H651" s="2" t="s">
        <v>112</v>
      </c>
      <c r="I651" s="2" t="str">
        <f>IFERROR(__xludf.DUMMYFUNCTION("GOOGLETRANSLATE(C651,""fr"",""en"")"),"I am satisfied with the service offered and the prices in force. As a new customer I cannot further advance on the rest of the services you offer and the management of incidents.")</f>
        <v>I am satisfied with the service offered and the prices in force. As a new customer I cannot further advance on the rest of the services you offer and the management of incidents.</v>
      </c>
    </row>
    <row r="652" ht="15.75" customHeight="1">
      <c r="A652" s="2">
        <v>5.0</v>
      </c>
      <c r="B652" s="2" t="s">
        <v>1871</v>
      </c>
      <c r="C652" s="2" t="s">
        <v>1872</v>
      </c>
      <c r="D652" s="2" t="s">
        <v>37</v>
      </c>
      <c r="E652" s="2" t="s">
        <v>27</v>
      </c>
      <c r="F652" s="2" t="s">
        <v>15</v>
      </c>
      <c r="G652" s="2" t="s">
        <v>62</v>
      </c>
      <c r="H652" s="2" t="s">
        <v>62</v>
      </c>
      <c r="I652" s="2" t="str">
        <f>IFERROR(__xludf.DUMMYFUNCTION("GOOGLETRANSLATE(C652,""fr"",""en"")"),"I am satisfied with the service, the price seems correct and I hope not to be disappointed with the quality of the insurance! So to follow in time to see what it gives")</f>
        <v>I am satisfied with the service, the price seems correct and I hope not to be disappointed with the quality of the insurance! So to follow in time to see what it gives</v>
      </c>
    </row>
    <row r="653" ht="15.75" customHeight="1">
      <c r="A653" s="2">
        <v>2.0</v>
      </c>
      <c r="B653" s="2" t="s">
        <v>1873</v>
      </c>
      <c r="C653" s="2" t="s">
        <v>1874</v>
      </c>
      <c r="D653" s="2" t="s">
        <v>437</v>
      </c>
      <c r="E653" s="2" t="s">
        <v>43</v>
      </c>
      <c r="F653" s="2" t="s">
        <v>15</v>
      </c>
      <c r="G653" s="2" t="s">
        <v>1875</v>
      </c>
      <c r="H653" s="2" t="s">
        <v>54</v>
      </c>
      <c r="I653" s="2" t="str">
        <f>IFERROR(__xludf.DUMMYFUNCTION("GOOGLETRANSLATE(C653,""fr"",""en"")"),"The also a disaster of very long deadlines, requests for information that have no reason to be informed at the Banque de France Service Assurance. In short everything to drag, even that I am not responsible and that the assurance of the opposing party jus"&amp;"t awaits the report of the Credit Mutuel.")</f>
        <v>The also a disaster of very long deadlines, requests for information that have no reason to be informed at the Banque de France Service Assurance. In short everything to drag, even that I am not responsible and that the assurance of the opposing party just awaits the report of the Credit Mutuel.</v>
      </c>
    </row>
    <row r="654" ht="15.75" customHeight="1">
      <c r="A654" s="2">
        <v>3.0</v>
      </c>
      <c r="B654" s="2" t="s">
        <v>1876</v>
      </c>
      <c r="C654" s="2" t="s">
        <v>1877</v>
      </c>
      <c r="D654" s="2" t="s">
        <v>234</v>
      </c>
      <c r="E654" s="2" t="s">
        <v>21</v>
      </c>
      <c r="F654" s="2" t="s">
        <v>15</v>
      </c>
      <c r="G654" s="2" t="s">
        <v>141</v>
      </c>
      <c r="H654" s="2" t="s">
        <v>88</v>
      </c>
      <c r="I654" s="2" t="str">
        <f>IFERROR(__xludf.DUMMYFUNCTION("GOOGLETRANSLATE(C654,""fr"",""en"")"),"I cannot assess for the moment I am not yet registered, however, a big thank you advised her ire Mariama for sending me the registration file quickly.")</f>
        <v>I cannot assess for the moment I am not yet registered, however, a big thank you advised her ire Mariama for sending me the registration file quickly.</v>
      </c>
    </row>
    <row r="655" ht="15.75" customHeight="1">
      <c r="A655" s="2">
        <v>4.0</v>
      </c>
      <c r="B655" s="2" t="s">
        <v>1878</v>
      </c>
      <c r="C655" s="2" t="s">
        <v>1879</v>
      </c>
      <c r="D655" s="2" t="s">
        <v>37</v>
      </c>
      <c r="E655" s="2" t="s">
        <v>27</v>
      </c>
      <c r="F655" s="2" t="s">
        <v>15</v>
      </c>
      <c r="G655" s="2" t="s">
        <v>195</v>
      </c>
      <c r="H655" s="2" t="s">
        <v>29</v>
      </c>
      <c r="I655" s="2" t="str">
        <f>IFERROR(__xludf.DUMMYFUNCTION("GOOGLETRANSLATE(C655,""fr"",""en"")"),"I am very happy to have insurance as direct insurance and I am very satisfied with internet service because its facilitates time and thank you very much")</f>
        <v>I am very happy to have insurance as direct insurance and I am very satisfied with internet service because its facilitates time and thank you very much</v>
      </c>
    </row>
    <row r="656" ht="15.75" customHeight="1">
      <c r="A656" s="2">
        <v>5.0</v>
      </c>
      <c r="B656" s="2" t="s">
        <v>1880</v>
      </c>
      <c r="C656" s="2" t="s">
        <v>1881</v>
      </c>
      <c r="D656" s="2" t="s">
        <v>300</v>
      </c>
      <c r="E656" s="2" t="s">
        <v>27</v>
      </c>
      <c r="F656" s="2" t="s">
        <v>15</v>
      </c>
      <c r="G656" s="2" t="s">
        <v>372</v>
      </c>
      <c r="H656" s="2" t="s">
        <v>112</v>
      </c>
      <c r="I656" s="2" t="str">
        <f>IFERROR(__xludf.DUMMYFUNCTION("GOOGLETRANSLATE(C656,""fr"",""en"")"),"I am very satisfied, the team is very nice, understanding I highly recommend
Solution the troubles, especially my advisor a big thank you
")</f>
        <v>I am very satisfied, the team is very nice, understanding I highly recommend
Solution the troubles, especially my advisor a big thank you
</v>
      </c>
    </row>
    <row r="657" ht="15.75" customHeight="1">
      <c r="A657" s="2">
        <v>4.0</v>
      </c>
      <c r="B657" s="2" t="s">
        <v>1882</v>
      </c>
      <c r="C657" s="2" t="s">
        <v>1883</v>
      </c>
      <c r="D657" s="2" t="s">
        <v>26</v>
      </c>
      <c r="E657" s="2" t="s">
        <v>27</v>
      </c>
      <c r="F657" s="2" t="s">
        <v>15</v>
      </c>
      <c r="G657" s="2" t="s">
        <v>441</v>
      </c>
      <c r="H657" s="2" t="s">
        <v>29</v>
      </c>
      <c r="I657" s="2" t="str">
        <f>IFERROR(__xludf.DUMMYFUNCTION("GOOGLETRANSLATE(C657,""fr"",""en"")"),"I am satisfied with the service, this online insurance is made for people who have little or not too many financial means to put in conventional insurance. Finally insurance that thinks of these categories of people (students for my part).")</f>
        <v>I am satisfied with the service, this online insurance is made for people who have little or not too many financial means to put in conventional insurance. Finally insurance that thinks of these categories of people (students for my part).</v>
      </c>
    </row>
    <row r="658" ht="15.75" customHeight="1">
      <c r="A658" s="2">
        <v>3.0</v>
      </c>
      <c r="B658" s="2" t="s">
        <v>1884</v>
      </c>
      <c r="C658" s="2" t="s">
        <v>1885</v>
      </c>
      <c r="D658" s="2" t="s">
        <v>37</v>
      </c>
      <c r="E658" s="2" t="s">
        <v>27</v>
      </c>
      <c r="F658" s="2" t="s">
        <v>15</v>
      </c>
      <c r="G658" s="2" t="s">
        <v>1561</v>
      </c>
      <c r="H658" s="2" t="s">
        <v>228</v>
      </c>
      <c r="I658" s="2" t="str">
        <f>IFERROR(__xludf.DUMMYFUNCTION("GOOGLETRANSLATE(C658,""fr"",""en"")"),"First of all, it is a shame that prices do not fall according to the loyalty of customers. Then, we regret that legal protection allowing us to defend ourselves thanks to a lawyer, whatever the case, is not offered or proposed.")</f>
        <v>First of all, it is a shame that prices do not fall according to the loyalty of customers. Then, we regret that legal protection allowing us to defend ourselves thanks to a lawyer, whatever the case, is not offered or proposed.</v>
      </c>
    </row>
    <row r="659" ht="15.75" customHeight="1">
      <c r="A659" s="2">
        <v>5.0</v>
      </c>
      <c r="B659" s="2" t="s">
        <v>1886</v>
      </c>
      <c r="C659" s="2" t="s">
        <v>1887</v>
      </c>
      <c r="D659" s="2" t="s">
        <v>37</v>
      </c>
      <c r="E659" s="2" t="s">
        <v>27</v>
      </c>
      <c r="F659" s="2" t="s">
        <v>15</v>
      </c>
      <c r="G659" s="2" t="s">
        <v>806</v>
      </c>
      <c r="H659" s="2" t="s">
        <v>88</v>
      </c>
      <c r="I659" s="2" t="str">
        <f>IFERROR(__xludf.DUMMYFUNCTION("GOOGLETRANSLATE(C659,""fr"",""en"")"),"Easy to subscribe, attractive price for car
A little less for the house, however, competitors are more attractive on this point. To see if you offer better")</f>
        <v>Easy to subscribe, attractive price for car
A little less for the house, however, competitors are more attractive on this point. To see if you offer better</v>
      </c>
    </row>
    <row r="660" ht="15.75" customHeight="1">
      <c r="A660" s="2">
        <v>1.0</v>
      </c>
      <c r="B660" s="2" t="s">
        <v>1888</v>
      </c>
      <c r="C660" s="2" t="s">
        <v>1889</v>
      </c>
      <c r="D660" s="2" t="s">
        <v>437</v>
      </c>
      <c r="E660" s="2" t="s">
        <v>14</v>
      </c>
      <c r="F660" s="2" t="s">
        <v>15</v>
      </c>
      <c r="G660" s="2" t="s">
        <v>1890</v>
      </c>
      <c r="H660" s="2" t="s">
        <v>141</v>
      </c>
      <c r="I660" s="2" t="str">
        <f>IFERROR(__xludf.DUMMYFUNCTION("GOOGLETRANSLATE(C660,""fr"",""en"")"),"In 3rd category invalidity with third party, in this case my spouse, I asked the triggering of the PTIA warranty (total and irreversible loss of autonomy) with mutual credit insurance on September 30, 2020 for 2 files: - The 1st: the medical experience pl"&amp;"anned intitically was canceled at the request of the designated expert doctor, the latter invoking the fact that he had already examined me in the context of another medical expertise, for another insurance organization And for the same sickness (April 2,"&amp;" 2018). The second expertise also canceled, for the same reasons. Meanwhile I responded quickly to ACM requests and their letters from October 19, 2020 and January 27, 2021, always joining medical and administrative documents (medical questionnaire, notif"&amp;"ication of carpimko disability pension, copies of Medical correspondence between practitioners, additional examinations, medication prescriptions, etc.) that is the full of my medical file. My last mail that has remained, without response dates from May 3"&amp;"1, 2021, sent to MR the doctor's advice of ACM in LRAR includes copies of notifications from the Departmental House for Disableds of the Moselle, on a permanent basis: -A rate Inability equal to or greater than 80% -The attribution of the Mobility Card In"&amp;"clusion mention ""Disability"" - The allocation of the disabled adult allowance - the allocation of the disability compensation service.
Finally, my last email from July 13, 2021 in which I take up and detail all the elements and their chronology, and, a"&amp;"sks, taking into account the degradation of my state of health, Impertively a medical expertise at home !!! The second file: Medical expertise carried out on January 23, 2021 in a medical office which is not up to the so -called ERP standards (establishme"&amp;"nt receiving the public) that is to say without elevator, without toilets or waiting room !!! I specify that I move in a wheelchair ..... During this expertise it is mentioned of my next hospitalization scheduled just a few days later (by detailing my pat"&amp;"hologies the expert doctor put his finger on my herniated disc Cervical) and There, he decides to wait for my return from hospital to know if this herniated disc is operable or not ??? Knowing that I suffer from disabling rheumatoid arthritis and ankylosi"&amp;"ng spondylitis and that I am hospitalized for re -evaluation of treatments because I make a drug hepatitis that my herniated disc come to do if not save time not to re -make?! At the request of this same expert, my spouse sends him the hospital report on "&amp;"February 1, 2021. In the conclusions of this report, my rheumatologist reports, in addition to my mixed inflammatory rheumatism (polyarthritis + spondylitis) of A associated fibromyalgic syndrome. Reading this new element, the expert doctor still does not"&amp;" report and designates, moreover, a psychiatrist to examine me! I therefore go, always accompanied by my spouse to summon this psychiatrist on April 23, 2021 and here again, this cabinet is not up to ERP standards (it has an elevator but unsuitable for th"&amp;"e reception of A wheelchair.) Since impossibility of accessing the medical office which is on the 5th floor, my spouse requests the cancellation of the exam. So here we are with 2 expertise including one canceled with, each trip of important costs incurre"&amp;"d (more than 200kms round trip, toll ...) my spouse informs the ACMs by LRAR of the cancellation of psychiatric expertise. Know Madam, Sir, that the particularly long and scandalous processing deadlines of my files only participate in the degradation of m"&amp;"y state of health. That said, I will now devote the energy that I still have to obtain their case and to start procedures relating to the non-compliance of medical offices to which ACM wishes to submit to me (cabinets unsuitable for people with reduced mo"&amp;"bility including my spouse has taken care to film and photograph the configurations of the premises). Last email from this initial expert doctor who informs me on October 4 that a new exam is scheduled for mid November by another expert working in 59 (we "&amp;"are in the 57) and tells me that it is possible that This new examination takes place either at his office in S ......... (without elevator) or to his secondary office (with elevator). My request for expertise made at my home is absolutely not taken into "&amp;"account !!!! Here I would like to specify that an expert doctor official for another of my insurance files has proceeded, as desired and taking into account my state of health on my medical examination at my home.
I therefore imperatively ask for medical"&amp;" expertise at home. I await a prompt response from ACMs.")</f>
        <v>In 3rd category invalidity with third party, in this case my spouse, I asked the triggering of the PTIA warranty (total and irreversible loss of autonomy) with mutual credit insurance on September 30, 2020 for 2 files: - The 1st: the medical experience planned intitically was canceled at the request of the designated expert doctor, the latter invoking the fact that he had already examined me in the context of another medical expertise, for another insurance organization And for the same sickness (April 2, 2018). The second expertise also canceled, for the same reasons. Meanwhile I responded quickly to ACM requests and their letters from October 19, 2020 and January 27, 2021, always joining medical and administrative documents (medical questionnaire, notification of carpimko disability pension, copies of Medical correspondence between practitioners, additional examinations, medication prescriptions, etc.) that is the full of my medical file. My last mail that has remained, without response dates from May 31, 2021, sent to MR the doctor's advice of ACM in LRAR includes copies of notifications from the Departmental House for Disableds of the Moselle, on a permanent basis: -A rate Inability equal to or greater than 80% -The attribution of the Mobility Card Inclusion mention "Disability" - The allocation of the disabled adult allowance - the allocation of the disability compensation service.
Finally, my last email from July 13, 2021 in which I take up and detail all the elements and their chronology, and, asks, taking into account the degradation of my state of health, Impertively a medical expertise at home !!! The second file: Medical expertise carried out on January 23, 2021 in a medical office which is not up to the so -called ERP standards (establishment receiving the public) that is to say without elevator, without toilets or waiting room !!! I specify that I move in a wheelchair ..... During this expertise it is mentioned of my next hospitalization scheduled just a few days later (by detailing my pathologies the expert doctor put his finger on my herniated disc Cervical) and There, he decides to wait for my return from hospital to know if this herniated disc is operable or not ??? Knowing that I suffer from disabling rheumatoid arthritis and ankylosing spondylitis and that I am hospitalized for re -evaluation of treatments because I make a drug hepatitis that my herniated disc come to do if not save time not to re -make?! At the request of this same expert, my spouse sends him the hospital report on February 1, 2021. In the conclusions of this report, my rheumatologist reports, in addition to my mixed inflammatory rheumatism (polyarthritis + spondylitis) of A associated fibromyalgic syndrome. Reading this new element, the expert doctor still does not report and designates, moreover, a psychiatrist to examine me! I therefore go, always accompanied by my spouse to summon this psychiatrist on April 23, 2021 and here again, this cabinet is not up to ERP standards (it has an elevator but unsuitable for the reception of A wheelchair.) Since impossibility of accessing the medical office which is on the 5th floor, my spouse requests the cancellation of the exam. So here we are with 2 expertise including one canceled with, each trip of important costs incurred (more than 200kms round trip, toll ...) my spouse informs the ACMs by LRAR of the cancellation of psychiatric expertise. Know Madam, Sir, that the particularly long and scandalous processing deadlines of my files only participate in the degradation of my state of health. That said, I will now devote the energy that I still have to obtain their case and to start procedures relating to the non-compliance of medical offices to which ACM wishes to submit to me (cabinets unsuitable for people with reduced mobility including my spouse has taken care to film and photograph the configurations of the premises). Last email from this initial expert doctor who informs me on October 4 that a new exam is scheduled for mid November by another expert working in 59 (we are in the 57) and tells me that it is possible that This new examination takes place either at his office in S ......... (without elevator) or to his secondary office (with elevator). My request for expertise made at my home is absolutely not taken into account !!!! Here I would like to specify that an expert doctor official for another of my insurance files has proceeded, as desired and taking into account my state of health on my medical examination at my home.
I therefore imperatively ask for medical expertise at home. I await a prompt response from ACMs.</v>
      </c>
    </row>
    <row r="661" ht="15.75" customHeight="1">
      <c r="A661" s="2">
        <v>1.0</v>
      </c>
      <c r="B661" s="2" t="s">
        <v>1891</v>
      </c>
      <c r="C661" s="2" t="s">
        <v>1892</v>
      </c>
      <c r="D661" s="2" t="s">
        <v>42</v>
      </c>
      <c r="E661" s="2" t="s">
        <v>43</v>
      </c>
      <c r="F661" s="2" t="s">
        <v>15</v>
      </c>
      <c r="G661" s="2" t="s">
        <v>1893</v>
      </c>
      <c r="H661" s="2" t="s">
        <v>222</v>
      </c>
      <c r="I661" s="2" t="str">
        <f>IFERROR(__xludf.DUMMYFUNCTION("GOOGLETRANSLATE(C661,""fr"",""en"")"),"30 years of loyalty.
After a damage on a rental residence, the MAIF took 15 months to answer me that the damage would not be taken care of when it could have done the day of my declaration (the declared damage being prior to the contract). I lost 15 mont"&amp;"hs in procedures, expert visits, waiting for report, mail ...
Thank you the militant insurer!")</f>
        <v>30 years of loyalty.
After a damage on a rental residence, the MAIF took 15 months to answer me that the damage would not be taken care of when it could have done the day of my declaration (the declared damage being prior to the contract). I lost 15 months in procedures, expert visits, waiting for report, mail ...
Thank you the militant insurer!</v>
      </c>
    </row>
    <row r="662" ht="15.75" customHeight="1">
      <c r="A662" s="2">
        <v>4.0</v>
      </c>
      <c r="B662" s="2" t="s">
        <v>1894</v>
      </c>
      <c r="C662" s="2" t="s">
        <v>1895</v>
      </c>
      <c r="D662" s="2" t="s">
        <v>234</v>
      </c>
      <c r="E662" s="2" t="s">
        <v>21</v>
      </c>
      <c r="F662" s="2" t="s">
        <v>15</v>
      </c>
      <c r="G662" s="2" t="s">
        <v>1896</v>
      </c>
      <c r="H662" s="2" t="s">
        <v>1112</v>
      </c>
      <c r="I662" s="2" t="str">
        <f>IFERROR(__xludf.DUMMYFUNCTION("GOOGLETRANSLATE(C662,""fr"",""en"")"),"Very good health insurance, I needed to make my glasses and I was surprised at the right reimbursement. I had a great advisor who did not disappear after membership
No hiccups at registration,")</f>
        <v>Very good health insurance, I needed to make my glasses and I was surprised at the right reimbursement. I had a great advisor who did not disappear after membership
No hiccups at registration,</v>
      </c>
    </row>
    <row r="663" ht="15.75" customHeight="1">
      <c r="A663" s="2">
        <v>5.0</v>
      </c>
      <c r="B663" s="2" t="s">
        <v>1897</v>
      </c>
      <c r="C663" s="2" t="s">
        <v>1898</v>
      </c>
      <c r="D663" s="2" t="s">
        <v>26</v>
      </c>
      <c r="E663" s="2" t="s">
        <v>27</v>
      </c>
      <c r="F663" s="2" t="s">
        <v>15</v>
      </c>
      <c r="G663" s="2" t="s">
        <v>1716</v>
      </c>
      <c r="H663" s="2" t="s">
        <v>62</v>
      </c>
      <c r="I663" s="2" t="str">
        <f>IFERROR(__xludf.DUMMYFUNCTION("GOOGLETRANSLATE(C663,""fr"",""en"")"),"Fast and competitive. The telephone service is very good and pleasant! Thank you Annie, your service and your skill, as well as your punctuality")</f>
        <v>Fast and competitive. The telephone service is very good and pleasant! Thank you Annie, your service and your skill, as well as your punctuality</v>
      </c>
    </row>
    <row r="664" ht="15.75" customHeight="1">
      <c r="A664" s="2">
        <v>4.0</v>
      </c>
      <c r="B664" s="2" t="s">
        <v>1899</v>
      </c>
      <c r="C664" s="2" t="s">
        <v>1900</v>
      </c>
      <c r="D664" s="2" t="s">
        <v>37</v>
      </c>
      <c r="E664" s="2" t="s">
        <v>27</v>
      </c>
      <c r="F664" s="2" t="s">
        <v>15</v>
      </c>
      <c r="G664" s="2" t="s">
        <v>466</v>
      </c>
      <c r="H664" s="2" t="s">
        <v>23</v>
      </c>
      <c r="I664" s="2" t="str">
        <f>IFERROR(__xludf.DUMMYFUNCTION("GOOGLETRANSLATE(C664,""fr"",""en"")"),"After doing my quotes online, I contacted Direct-Assurance by phone. Courteous reception, fast contract validations, then payment by online CB. It's perfect, fast, efficient! I recommend !")</f>
        <v>After doing my quotes online, I contacted Direct-Assurance by phone. Courteous reception, fast contract validations, then payment by online CB. It's perfect, fast, efficient! I recommend !</v>
      </c>
    </row>
    <row r="665" ht="15.75" customHeight="1">
      <c r="A665" s="2">
        <v>2.0</v>
      </c>
      <c r="B665" s="2" t="s">
        <v>1901</v>
      </c>
      <c r="C665" s="2" t="s">
        <v>1902</v>
      </c>
      <c r="D665" s="2" t="s">
        <v>300</v>
      </c>
      <c r="E665" s="2" t="s">
        <v>27</v>
      </c>
      <c r="F665" s="2" t="s">
        <v>15</v>
      </c>
      <c r="G665" s="2" t="s">
        <v>1651</v>
      </c>
      <c r="H665" s="2" t="s">
        <v>29</v>
      </c>
      <c r="I665" s="2" t="str">
        <f>IFERROR(__xludf.DUMMYFUNCTION("GOOGLETRANSLATE(C665,""fr"",""en"")"),"I am stolen my vehicle. What problems to be reimbursed. When buying my new car, I am told that I will not be sure at GMF .... Thank you you are certainly good.
Note that 2 months later, I receive a personalized letter praising me the merits of GMF and of"&amp;"fering to insure my vehicle at home.
I contact them by phone: ""It's a mistake"".
What a professionalism !!!!!")</f>
        <v>I am stolen my vehicle. What problems to be reimbursed. When buying my new car, I am told that I will not be sure at GMF .... Thank you you are certainly good.
Note that 2 months later, I receive a personalized letter praising me the merits of GMF and offering to insure my vehicle at home.
I contact them by phone: "It's a mistake".
What a professionalism !!!!!</v>
      </c>
    </row>
    <row r="666" ht="15.75" customHeight="1">
      <c r="A666" s="2">
        <v>2.0</v>
      </c>
      <c r="B666" s="2" t="s">
        <v>1903</v>
      </c>
      <c r="C666" s="2" t="s">
        <v>1904</v>
      </c>
      <c r="D666" s="2" t="s">
        <v>490</v>
      </c>
      <c r="E666" s="2" t="s">
        <v>43</v>
      </c>
      <c r="F666" s="2" t="s">
        <v>15</v>
      </c>
      <c r="G666" s="2" t="s">
        <v>1905</v>
      </c>
      <c r="H666" s="2" t="s">
        <v>445</v>
      </c>
      <c r="I666" s="2" t="str">
        <f>IFERROR(__xludf.DUMMYFUNCTION("GOOGLETRANSLATE(C666,""fr"",""en"")"),"Water damage from 14.10.2016 from the neighbor upside down
Passage of the expert on 16.12.2016; 2 months later! Since no new ones despite 2 recommended letters and a good twenty telephone calls - Agency - Headquarters - Department - Department of compens"&amp;"ation. Services that are difficult to reach and each time we are only a platform we transmit to the manager who will come into contact with you? Nothing, no call, no SMS, no email despite the threat of changing your insurance company. Scandal.")</f>
        <v>Water damage from 14.10.2016 from the neighbor upside down
Passage of the expert on 16.12.2016; 2 months later! Since no new ones despite 2 recommended letters and a good twenty telephone calls - Agency - Headquarters - Department - Department of compensation. Services that are difficult to reach and each time we are only a platform we transmit to the manager who will come into contact with you? Nothing, no call, no SMS, no email despite the threat of changing your insurance company. Scandal.</v>
      </c>
    </row>
    <row r="667" ht="15.75" customHeight="1">
      <c r="A667" s="2">
        <v>2.0</v>
      </c>
      <c r="B667" s="2" t="s">
        <v>1906</v>
      </c>
      <c r="C667" s="2" t="s">
        <v>1907</v>
      </c>
      <c r="D667" s="2" t="s">
        <v>37</v>
      </c>
      <c r="E667" s="2" t="s">
        <v>27</v>
      </c>
      <c r="F667" s="2" t="s">
        <v>15</v>
      </c>
      <c r="G667" s="2" t="s">
        <v>1908</v>
      </c>
      <c r="H667" s="2" t="s">
        <v>860</v>
      </c>
      <c r="I667" s="2" t="str">
        <f>IFERROR(__xludf.DUMMYFUNCTION("GOOGLETRANSLATE(C667,""fr"",""en"")"),"In case of claims, good luck. For an accident on 07/06/19, the driver of the car B recognizes her error but Direct Assurance inspires me on the 50
50, I intend to contest well
r and go to the end, same court. If mediation does not prove me right.")</f>
        <v>In case of claims, good luck. For an accident on 07/06/19, the driver of the car B recognizes her error but Direct Assurance inspires me on the 50
50, I intend to contest well
r and go to the end, same court. If mediation does not prove me right.</v>
      </c>
    </row>
    <row r="668" ht="15.75" customHeight="1">
      <c r="A668" s="2">
        <v>4.0</v>
      </c>
      <c r="B668" s="2" t="s">
        <v>1909</v>
      </c>
      <c r="C668" s="2" t="s">
        <v>1910</v>
      </c>
      <c r="D668" s="2" t="s">
        <v>26</v>
      </c>
      <c r="E668" s="2" t="s">
        <v>27</v>
      </c>
      <c r="F668" s="2" t="s">
        <v>15</v>
      </c>
      <c r="G668" s="2" t="s">
        <v>1089</v>
      </c>
      <c r="H668" s="2" t="s">
        <v>62</v>
      </c>
      <c r="I668" s="2" t="str">
        <f>IFERROR(__xludf.DUMMYFUNCTION("GOOGLETRANSLATE(C668,""fr"",""en"")"),"The search for the vehicle is easy, the site is effective and easy to use. The prices are completely correct for a young driver without a bonus.")</f>
        <v>The search for the vehicle is easy, the site is effective and easy to use. The prices are completely correct for a young driver without a bonus.</v>
      </c>
    </row>
    <row r="669" ht="15.75" customHeight="1">
      <c r="A669" s="2">
        <v>3.0</v>
      </c>
      <c r="B669" s="2" t="s">
        <v>1911</v>
      </c>
      <c r="C669" s="2" t="s">
        <v>1912</v>
      </c>
      <c r="D669" s="2" t="s">
        <v>300</v>
      </c>
      <c r="E669" s="2" t="s">
        <v>27</v>
      </c>
      <c r="F669" s="2" t="s">
        <v>15</v>
      </c>
      <c r="G669" s="2" t="s">
        <v>1913</v>
      </c>
      <c r="H669" s="2" t="s">
        <v>92</v>
      </c>
      <c r="I669" s="2" t="str">
        <f>IFERROR(__xludf.DUMMYFUNCTION("GOOGLETRANSLATE(C669,""fr"",""en"")"),"A permanent way to take customers for C ... Do not trust these spinials you want to pay your subscription online they tend you a trap to subscribe to your account on your account The CB option is hidden; you have A sponsorship they refuse you or once subs"&amp;"cribed to you delete it. Insurance per km you give them the statement, they are mistaken in their favor. With this bad spirit, the contacts resemble a permanent deception.")</f>
        <v>A permanent way to take customers for C ... Do not trust these spinials you want to pay your subscription online they tend you a trap to subscribe to your account on your account The CB option is hidden; you have A sponsorship they refuse you or once subscribed to you delete it. Insurance per km you give them the statement, they are mistaken in their favor. With this bad spirit, the contacts resemble a permanent deception.</v>
      </c>
    </row>
    <row r="670" ht="15.75" customHeight="1">
      <c r="A670" s="2">
        <v>4.0</v>
      </c>
      <c r="B670" s="2" t="s">
        <v>1914</v>
      </c>
      <c r="C670" s="2" t="s">
        <v>1915</v>
      </c>
      <c r="D670" s="2" t="s">
        <v>67</v>
      </c>
      <c r="E670" s="2" t="s">
        <v>68</v>
      </c>
      <c r="F670" s="2" t="s">
        <v>15</v>
      </c>
      <c r="G670" s="2" t="s">
        <v>1409</v>
      </c>
      <c r="H670" s="2" t="s">
        <v>62</v>
      </c>
      <c r="I670" s="2" t="str">
        <f>IFERROR(__xludf.DUMMYFUNCTION("GOOGLETRANSLATE(C670,""fr"",""en"")"),"Insurance with very good price and good services I have not yet tested the sinister service and I hope not to need.
Too bad the call number is paying this is the only defect that I see and which can block certain potential customers.")</f>
        <v>Insurance with very good price and good services I have not yet tested the sinister service and I hope not to need.
Too bad the call number is paying this is the only defect that I see and which can block certain potential customers.</v>
      </c>
    </row>
    <row r="671" ht="15.75" customHeight="1">
      <c r="A671" s="2">
        <v>3.0</v>
      </c>
      <c r="B671" s="2" t="s">
        <v>1916</v>
      </c>
      <c r="C671" s="2" t="s">
        <v>1917</v>
      </c>
      <c r="D671" s="2" t="s">
        <v>26</v>
      </c>
      <c r="E671" s="2" t="s">
        <v>27</v>
      </c>
      <c r="F671" s="2" t="s">
        <v>15</v>
      </c>
      <c r="G671" s="2" t="s">
        <v>1918</v>
      </c>
      <c r="H671" s="2" t="s">
        <v>29</v>
      </c>
      <c r="I671" s="2" t="str">
        <f>IFERROR(__xludf.DUMMYFUNCTION("GOOGLETRANSLATE(C671,""fr"",""en"")"),"I am satisfied with the service, I am now waiting to receive my final green card, I hope this insurance will not disappoint me. Interesting price")</f>
        <v>I am satisfied with the service, I am now waiting to receive my final green card, I hope this insurance will not disappoint me. Interesting price</v>
      </c>
    </row>
    <row r="672" ht="15.75" customHeight="1">
      <c r="A672" s="2">
        <v>1.0</v>
      </c>
      <c r="B672" s="2" t="s">
        <v>1919</v>
      </c>
      <c r="C672" s="2" t="s">
        <v>1920</v>
      </c>
      <c r="D672" s="2" t="s">
        <v>42</v>
      </c>
      <c r="E672" s="2" t="s">
        <v>27</v>
      </c>
      <c r="F672" s="2" t="s">
        <v>15</v>
      </c>
      <c r="G672" s="2" t="s">
        <v>651</v>
      </c>
      <c r="H672" s="2" t="s">
        <v>112</v>
      </c>
      <c r="I672" s="2" t="str">
        <f>IFERROR(__xludf.DUMMYFUNCTION("GOOGLETRANSLATE(C672,""fr"",""en"")"),"Here it is: 52 years1/2 of Maif, since this morning I stopped.
Mutualist, members ... Commercial Blabla which was real in 1968, but since ...
It is far away the time when we were proud to display the Maif badge on the windshield or fixed on the bumper ."&amp;"..
Following a change of vehicle (more powerful, naughty old!) I had the cost calculated for this new vehicle. At the sight of the sum proposed, I went to see elsewhere, the first quote (the only one I had done on the internet): 46% less with all the opt"&amp;"ions identical to my dear (very expensive) Maif.
11 am this morning I left, partially for the moment, the so-called ""mutual"", you realize 52 years1/2 !!!
Stupidly it hurt me.
1100 € less, that is good!
I am only talking about this banal anecdote, bu"&amp;"t I will have a book to write on these 52 years 1/2 in the company of this insurance company, it happens so much on a life!
The rest will follow: another car, our house, 3 apartments ...
A beautiful trip in perspective with such a delta!")</f>
        <v>Here it is: 52 years1/2 of Maif, since this morning I stopped.
Mutualist, members ... Commercial Blabla which was real in 1968, but since ...
It is far away the time when we were proud to display the Maif badge on the windshield or fixed on the bumper ...
Following a change of vehicle (more powerful, naughty old!) I had the cost calculated for this new vehicle. At the sight of the sum proposed, I went to see elsewhere, the first quote (the only one I had done on the internet): 46% less with all the options identical to my dear (very expensive) Maif.
11 am this morning I left, partially for the moment, the so-called "mutual", you realize 52 years1/2 !!!
Stupidly it hurt me.
1100 € less, that is good!
I am only talking about this banal anecdote, but I will have a book to write on these 52 years 1/2 in the company of this insurance company, it happens so much on a life!
The rest will follow: another car, our house, 3 apartments ...
A beautiful trip in perspective with such a delta!</v>
      </c>
    </row>
    <row r="673" ht="15.75" customHeight="1">
      <c r="A673" s="2">
        <v>1.0</v>
      </c>
      <c r="B673" s="2" t="s">
        <v>1921</v>
      </c>
      <c r="C673" s="2" t="s">
        <v>1922</v>
      </c>
      <c r="D673" s="2" t="s">
        <v>42</v>
      </c>
      <c r="E673" s="2" t="s">
        <v>27</v>
      </c>
      <c r="F673" s="2" t="s">
        <v>15</v>
      </c>
      <c r="G673" s="2" t="s">
        <v>1221</v>
      </c>
      <c r="H673" s="2" t="s">
        <v>345</v>
      </c>
      <c r="I673" s="2" t="str">
        <f>IFERROR(__xludf.DUMMYFUNCTION("GOOGLETRANSLATE(C673,""fr"",""en"")"),"I have not been insured for a long time in Maif (a year and a half) but I have already been able to glimpse their incompetence on many points. Folder fees that you are silent on the phone, different opinion from one advisor to another, poor defense of mem"&amp;"bers and mismanagement of files (I myself had to make the link between the garage and my insurer after a hanging). I am still looking for the militant insurer.
If you want insurance that truly defends choose in another and above all do not be abused by"&amp;" the campaigns of demagogic advertisements whose screens they water!")</f>
        <v>I have not been insured for a long time in Maif (a year and a half) but I have already been able to glimpse their incompetence on many points. Folder fees that you are silent on the phone, different opinion from one advisor to another, poor defense of members and mismanagement of files (I myself had to make the link between the garage and my insurer after a hanging). I am still looking for the militant insurer.
If you want insurance that truly defends choose in another and above all do not be abused by the campaigns of demagogic advertisements whose screens they water!</v>
      </c>
    </row>
    <row r="674" ht="15.75" customHeight="1">
      <c r="A674" s="2">
        <v>4.0</v>
      </c>
      <c r="B674" s="2" t="s">
        <v>1923</v>
      </c>
      <c r="C674" s="2" t="s">
        <v>1924</v>
      </c>
      <c r="D674" s="2" t="s">
        <v>67</v>
      </c>
      <c r="E674" s="2" t="s">
        <v>68</v>
      </c>
      <c r="F674" s="2" t="s">
        <v>15</v>
      </c>
      <c r="G674" s="2" t="s">
        <v>1925</v>
      </c>
      <c r="H674" s="2" t="s">
        <v>228</v>
      </c>
      <c r="I674" s="2" t="str">
        <f>IFERROR(__xludf.DUMMYFUNCTION("GOOGLETRANSLATE(C674,""fr"",""en"")"),"Simplicity is impressive! In two clicks the contract is in the mailbox.
Driving price at all competition, hope everything is also pink when there is a problem ...")</f>
        <v>Simplicity is impressive! In two clicks the contract is in the mailbox.
Driving price at all competition, hope everything is also pink when there is a problem ...</v>
      </c>
    </row>
    <row r="675" ht="15.75" customHeight="1">
      <c r="A675" s="2">
        <v>3.0</v>
      </c>
      <c r="B675" s="2" t="s">
        <v>1926</v>
      </c>
      <c r="C675" s="2" t="s">
        <v>1927</v>
      </c>
      <c r="D675" s="2" t="s">
        <v>37</v>
      </c>
      <c r="E675" s="2" t="s">
        <v>27</v>
      </c>
      <c r="F675" s="2" t="s">
        <v>15</v>
      </c>
      <c r="G675" s="2" t="s">
        <v>1456</v>
      </c>
      <c r="H675" s="2" t="s">
        <v>112</v>
      </c>
      <c r="I675" s="2" t="str">
        <f>IFERROR(__xludf.DUMMYFUNCTION("GOOGLETRANSLATE(C675,""fr"",""en"")"),"I am satisfied as it lasts
This is my first subscription to Direct Insurance
I am satisfied as it lasts
This is my first subscription to Direct Insurance")</f>
        <v>I am satisfied as it lasts
This is my first subscription to Direct Insurance
I am satisfied as it lasts
This is my first subscription to Direct Insurance</v>
      </c>
    </row>
    <row r="676" ht="15.75" customHeight="1">
      <c r="A676" s="2">
        <v>1.0</v>
      </c>
      <c r="B676" s="2" t="s">
        <v>1928</v>
      </c>
      <c r="C676" s="2" t="s">
        <v>1929</v>
      </c>
      <c r="D676" s="2" t="s">
        <v>234</v>
      </c>
      <c r="E676" s="2" t="s">
        <v>21</v>
      </c>
      <c r="F676" s="2" t="s">
        <v>15</v>
      </c>
      <c r="G676" s="2" t="s">
        <v>1930</v>
      </c>
      <c r="H676" s="2" t="s">
        <v>503</v>
      </c>
      <c r="I676" s="2" t="str">
        <f>IFERROR(__xludf.DUMMYFUNCTION("GOOGLETRANSLATE(C676,""fr"",""en"")"),"When we want to terminate Neoliane puts the pressure to their client. In my case customer service granted me then the next day management muta owliance refused it. I am therefore obliged to make email on email because their answer is that I would not be i"&amp;"n time (for info 2 months and 10 days) for them it takes 2 months.
I therefore oppose my bank for samples from January. They are in bad faith and put pressure on their customers. I was made to have ""last year he will not have me this year. Conclusion th"&amp;"ey are very expensive does not reimburse much. N ""go there"" other mutual are more interesting")</f>
        <v>When we want to terminate Neoliane puts the pressure to their client. In my case customer service granted me then the next day management muta owliance refused it. I am therefore obliged to make email on email because their answer is that I would not be in time (for info 2 months and 10 days) for them it takes 2 months.
I therefore oppose my bank for samples from January. They are in bad faith and put pressure on their customers. I was made to have "last year he will not have me this year. Conclusion they are very expensive does not reimburse much. N "go there" other mutual are more interesting</v>
      </c>
    </row>
    <row r="677" ht="15.75" customHeight="1">
      <c r="A677" s="2">
        <v>4.0</v>
      </c>
      <c r="B677" s="2" t="s">
        <v>1931</v>
      </c>
      <c r="C677" s="2" t="s">
        <v>1932</v>
      </c>
      <c r="D677" s="2" t="s">
        <v>180</v>
      </c>
      <c r="E677" s="2" t="s">
        <v>21</v>
      </c>
      <c r="F677" s="2" t="s">
        <v>15</v>
      </c>
      <c r="G677" s="2" t="s">
        <v>1933</v>
      </c>
      <c r="H677" s="2" t="s">
        <v>116</v>
      </c>
      <c r="I677" s="2" t="str">
        <f>IFERROR(__xludf.DUMMYFUNCTION("GOOGLETRANSLATE(C677,""fr"",""en"")"),"Very good mutual, I am 100% convinced and very satisfied. All my little family is taken care of. Refunds are fast. They are responsive on the phone. For 5 years at home I have never had any problems. I had very heavy hospital costs which were fully taken "&amp;"care of. Regarding the reimbursement of dentist's acts it is the top with the complementary. On an invoice of 1250 euros for a dental prosthesis I only spent 75 euros !!!!
Not speaking of the optics nothing to pay.
He also covers osteopathy fee costs. :"&amp;")")</f>
        <v>Very good mutual, I am 100% convinced and very satisfied. All my little family is taken care of. Refunds are fast. They are responsive on the phone. For 5 years at home I have never had any problems. I had very heavy hospital costs which were fully taken care of. Regarding the reimbursement of dentist's acts it is the top with the complementary. On an invoice of 1250 euros for a dental prosthesis I only spent 75 euros !!!!
Not speaking of the optics nothing to pay.
He also covers osteopathy fee costs. :)</v>
      </c>
    </row>
    <row r="678" ht="15.75" customHeight="1">
      <c r="A678" s="2">
        <v>4.0</v>
      </c>
      <c r="B678" s="2" t="s">
        <v>1934</v>
      </c>
      <c r="C678" s="2" t="s">
        <v>1935</v>
      </c>
      <c r="D678" s="2" t="s">
        <v>26</v>
      </c>
      <c r="E678" s="2" t="s">
        <v>27</v>
      </c>
      <c r="F678" s="2" t="s">
        <v>15</v>
      </c>
      <c r="G678" s="2" t="s">
        <v>908</v>
      </c>
      <c r="H678" s="2" t="s">
        <v>112</v>
      </c>
      <c r="I678" s="2" t="str">
        <f>IFERROR(__xludf.DUMMYFUNCTION("GOOGLETRANSLATE(C678,""fr"",""en"")"),"The services of Olivier Insurance for the request for quotes and subscription of an automobile insurance contract are rapid and quite explicit, which facilitates the different steps. In addition, prices are acceptable.")</f>
        <v>The services of Olivier Insurance for the request for quotes and subscription of an automobile insurance contract are rapid and quite explicit, which facilitates the different steps. In addition, prices are acceptable.</v>
      </c>
    </row>
    <row r="679" ht="15.75" customHeight="1">
      <c r="A679" s="2">
        <v>4.0</v>
      </c>
      <c r="B679" s="2" t="s">
        <v>1936</v>
      </c>
      <c r="C679" s="2" t="s">
        <v>1937</v>
      </c>
      <c r="D679" s="2" t="s">
        <v>67</v>
      </c>
      <c r="E679" s="2" t="s">
        <v>68</v>
      </c>
      <c r="F679" s="2" t="s">
        <v>15</v>
      </c>
      <c r="G679" s="2" t="s">
        <v>1089</v>
      </c>
      <c r="H679" s="2" t="s">
        <v>62</v>
      </c>
      <c r="I679" s="2" t="str">
        <f>IFERROR(__xludf.DUMMYFUNCTION("GOOGLETRANSLATE(C679,""fr"",""en"")"),"Very good organization of the site
I hope not to have more questions after all the steps to go to the site and that was Montioner in the previous steps thank you")</f>
        <v>Very good organization of the site
I hope not to have more questions after all the steps to go to the site and that was Montioner in the previous steps thank you</v>
      </c>
    </row>
    <row r="680" ht="15.75" customHeight="1">
      <c r="A680" s="2">
        <v>4.0</v>
      </c>
      <c r="B680" s="2" t="s">
        <v>1938</v>
      </c>
      <c r="C680" s="2" t="s">
        <v>1939</v>
      </c>
      <c r="D680" s="2" t="s">
        <v>26</v>
      </c>
      <c r="E680" s="2" t="s">
        <v>27</v>
      </c>
      <c r="F680" s="2" t="s">
        <v>15</v>
      </c>
      <c r="G680" s="2" t="s">
        <v>307</v>
      </c>
      <c r="H680" s="2" t="s">
        <v>112</v>
      </c>
      <c r="I680" s="2" t="str">
        <f>IFERROR(__xludf.DUMMYFUNCTION("GOOGLETRANSLATE(C680,""fr"",""en"")"),"I am very satisfied with the service I have been in difficulty already and they found solutions to all my problems and the price suits me in addition as my daughter sponsored me I had a reduction")</f>
        <v>I am very satisfied with the service I have been in difficulty already and they found solutions to all my problems and the price suits me in addition as my daughter sponsored me I had a reduction</v>
      </c>
    </row>
    <row r="681" ht="15.75" customHeight="1">
      <c r="A681" s="2">
        <v>3.0</v>
      </c>
      <c r="B681" s="2" t="s">
        <v>1940</v>
      </c>
      <c r="C681" s="2" t="s">
        <v>1941</v>
      </c>
      <c r="D681" s="2" t="s">
        <v>37</v>
      </c>
      <c r="E681" s="2" t="s">
        <v>27</v>
      </c>
      <c r="F681" s="2" t="s">
        <v>15</v>
      </c>
      <c r="G681" s="2" t="s">
        <v>1942</v>
      </c>
      <c r="H681" s="2" t="s">
        <v>188</v>
      </c>
      <c r="I681" s="2" t="str">
        <f>IFERROR(__xludf.DUMMYFUNCTION("GOOGLETRANSLATE(C681,""fr"",""en"")"),"This is the first time for me to make sure with you I would like to see later how you treat your customer as well as the availability of customer service if they are easily reachable")</f>
        <v>This is the first time for me to make sure with you I would like to see later how you treat your customer as well as the availability of customer service if they are easily reachable</v>
      </c>
    </row>
    <row r="682" ht="15.75" customHeight="1">
      <c r="A682" s="2">
        <v>2.0</v>
      </c>
      <c r="B682" s="2" t="s">
        <v>1943</v>
      </c>
      <c r="C682" s="2" t="s">
        <v>1944</v>
      </c>
      <c r="D682" s="2" t="s">
        <v>234</v>
      </c>
      <c r="E682" s="2" t="s">
        <v>21</v>
      </c>
      <c r="F682" s="2" t="s">
        <v>15</v>
      </c>
      <c r="G682" s="2" t="s">
        <v>1945</v>
      </c>
      <c r="H682" s="2" t="s">
        <v>206</v>
      </c>
      <c r="I682" s="2" t="str">
        <f>IFERROR(__xludf.DUMMYFUNCTION("GOOGLETRANSLATE(C682,""fr"",""en"")"),"I would like to understand why Mutua Gestion has still not done the necessary with the CPAM to withdraw my account when since December I have terminated the mutual, which I sent the request to delete the deletion of the Teletrans Noemie supplied by my new"&amp;" mutual and which I have called 1 time a month and that I am always answered ""Yes Mme, it's done, in 10 days we will no longer appear!""
In fact what is delirium? Your operators are all incompetent or you like to piss off people so that they are not rei"&amp;"mbursing by their new mutual ???")</f>
        <v>I would like to understand why Mutua Gestion has still not done the necessary with the CPAM to withdraw my account when since December I have terminated the mutual, which I sent the request to delete the deletion of the Teletrans Noemie supplied by my new mutual and which I have called 1 time a month and that I am always answered "Yes Mme, it's done, in 10 days we will no longer appear!"
In fact what is delirium? Your operators are all incompetent or you like to piss off people so that they are not reimbursing by their new mutual ???</v>
      </c>
    </row>
    <row r="683" ht="15.75" customHeight="1">
      <c r="A683" s="2">
        <v>3.0</v>
      </c>
      <c r="B683" s="2" t="s">
        <v>1946</v>
      </c>
      <c r="C683" s="2" t="s">
        <v>1947</v>
      </c>
      <c r="D683" s="2" t="s">
        <v>368</v>
      </c>
      <c r="E683" s="2" t="s">
        <v>68</v>
      </c>
      <c r="F683" s="2" t="s">
        <v>15</v>
      </c>
      <c r="G683" s="2" t="s">
        <v>614</v>
      </c>
      <c r="H683" s="2" t="s">
        <v>62</v>
      </c>
      <c r="I683" s="2" t="str">
        <f>IFERROR(__xludf.DUMMYFUNCTION("GOOGLETRANSLATE(C683,""fr"",""en"")"),"For the moment no opinion. I just subscribed.
Simple and quick subscription. No problem to enter the Information Request.
To see later.")</f>
        <v>For the moment no opinion. I just subscribed.
Simple and quick subscription. No problem to enter the Information Request.
To see later.</v>
      </c>
    </row>
    <row r="684" ht="15.75" customHeight="1">
      <c r="A684" s="2">
        <v>2.0</v>
      </c>
      <c r="B684" s="2" t="s">
        <v>1948</v>
      </c>
      <c r="C684" s="2" t="s">
        <v>1949</v>
      </c>
      <c r="D684" s="2" t="s">
        <v>26</v>
      </c>
      <c r="E684" s="2" t="s">
        <v>27</v>
      </c>
      <c r="F684" s="2" t="s">
        <v>15</v>
      </c>
      <c r="G684" s="2" t="s">
        <v>1950</v>
      </c>
      <c r="H684" s="2" t="s">
        <v>141</v>
      </c>
      <c r="I684" s="2" t="str">
        <f>IFERROR(__xludf.DUMMYFUNCTION("GOOGLETRANSLATE(C684,""fr"",""en"")"),"I am moderately satisfied with the offer. Certain offers for the same guarantees are more advantageous (ex: Aviva) despite the ""promotion"" of 10% for a multi-contract.
Also, the amounts of crossing are very high and do not take into account the years w"&amp;"ithout disaster and loyalty to the Olivier Insurance (while my driving does not differ between my old vehicle and my new).
Customer service side, despite two calls, no solution can be found.")</f>
        <v>I am moderately satisfied with the offer. Certain offers for the same guarantees are more advantageous (ex: Aviva) despite the "promotion" of 10% for a multi-contract.
Also, the amounts of crossing are very high and do not take into account the years without disaster and loyalty to the Olivier Insurance (while my driving does not differ between my old vehicle and my new).
Customer service side, despite two calls, no solution can be found.</v>
      </c>
    </row>
    <row r="685" ht="15.75" customHeight="1">
      <c r="A685" s="2">
        <v>1.0</v>
      </c>
      <c r="B685" s="2" t="s">
        <v>1951</v>
      </c>
      <c r="C685" s="2" t="s">
        <v>1952</v>
      </c>
      <c r="D685" s="2" t="s">
        <v>107</v>
      </c>
      <c r="E685" s="2" t="s">
        <v>21</v>
      </c>
      <c r="F685" s="2" t="s">
        <v>15</v>
      </c>
      <c r="G685" s="2" t="s">
        <v>1953</v>
      </c>
      <c r="H685" s="2" t="s">
        <v>84</v>
      </c>
      <c r="I685" s="2" t="str">
        <f>IFERROR(__xludf.DUMMYFUNCTION("GOOGLETRANSLATE(C685,""fr"",""en"")"),"To be fleeing absolutely, they are difficult to reach and very bad times when you want to terminate a contract.")</f>
        <v>To be fleeing absolutely, they are difficult to reach and very bad times when you want to terminate a contract.</v>
      </c>
    </row>
    <row r="686" ht="15.75" customHeight="1">
      <c r="A686" s="2">
        <v>5.0</v>
      </c>
      <c r="B686" s="2" t="s">
        <v>1954</v>
      </c>
      <c r="C686" s="2" t="s">
        <v>1955</v>
      </c>
      <c r="D686" s="2" t="s">
        <v>37</v>
      </c>
      <c r="E686" s="2" t="s">
        <v>27</v>
      </c>
      <c r="F686" s="2" t="s">
        <v>15</v>
      </c>
      <c r="G686" s="2" t="s">
        <v>667</v>
      </c>
      <c r="H686" s="2" t="s">
        <v>112</v>
      </c>
      <c r="I686" s="2" t="str">
        <f>IFERROR(__xludf.DUMMYFUNCTION("GOOGLETRANSLATE(C686,""fr"",""en"")"),"I am satisfied at the moment of the service now I will do another estimate on monitoring operations that will come. Thank you to the very nice operator")</f>
        <v>I am satisfied at the moment of the service now I will do another estimate on monitoring operations that will come. Thank you to the very nice operator</v>
      </c>
    </row>
    <row r="687" ht="15.75" customHeight="1">
      <c r="A687" s="2">
        <v>4.0</v>
      </c>
      <c r="B687" s="2" t="s">
        <v>1956</v>
      </c>
      <c r="C687" s="2" t="s">
        <v>1957</v>
      </c>
      <c r="D687" s="2" t="s">
        <v>37</v>
      </c>
      <c r="E687" s="2" t="s">
        <v>27</v>
      </c>
      <c r="F687" s="2" t="s">
        <v>15</v>
      </c>
      <c r="G687" s="2" t="s">
        <v>1028</v>
      </c>
      <c r="H687" s="2" t="s">
        <v>88</v>
      </c>
      <c r="I687" s="2" t="str">
        <f>IFERROR(__xludf.DUMMYFUNCTION("GOOGLETRANSLATE(C687,""fr"",""en"")"),"Super fast I recommend attention anyway it has a lot of option to take it if you want to be covered a hundred percent and the price climbs quickly but sinn the basic price remains correct")</f>
        <v>Super fast I recommend attention anyway it has a lot of option to take it if you want to be covered a hundred percent and the price climbs quickly but sinn the basic price remains correct</v>
      </c>
    </row>
    <row r="688" ht="15.75" customHeight="1">
      <c r="A688" s="2">
        <v>4.0</v>
      </c>
      <c r="B688" s="2" t="s">
        <v>1958</v>
      </c>
      <c r="C688" s="2" t="s">
        <v>1959</v>
      </c>
      <c r="D688" s="2" t="s">
        <v>26</v>
      </c>
      <c r="E688" s="2" t="s">
        <v>27</v>
      </c>
      <c r="F688" s="2" t="s">
        <v>15</v>
      </c>
      <c r="G688" s="2" t="s">
        <v>1263</v>
      </c>
      <c r="H688" s="2" t="s">
        <v>134</v>
      </c>
      <c r="I688" s="2" t="str">
        <f>IFERROR(__xludf.DUMMYFUNCTION("GOOGLETRANSLATE(C688,""fr"",""en"")"),"I am satisfied with your services as well as the price
Thanking you for listening and advice for our insurance
We will recommend you
Goodbye")</f>
        <v>I am satisfied with your services as well as the price
Thanking you for listening and advice for our insurance
We will recommend you
Goodbye</v>
      </c>
    </row>
    <row r="689" ht="15.75" customHeight="1">
      <c r="A689" s="2">
        <v>2.0</v>
      </c>
      <c r="B689" s="2" t="s">
        <v>1960</v>
      </c>
      <c r="C689" s="2" t="s">
        <v>1961</v>
      </c>
      <c r="D689" s="2" t="s">
        <v>37</v>
      </c>
      <c r="E689" s="2" t="s">
        <v>27</v>
      </c>
      <c r="F689" s="2" t="s">
        <v>15</v>
      </c>
      <c r="G689" s="2" t="s">
        <v>1962</v>
      </c>
      <c r="H689" s="2" t="s">
        <v>274</v>
      </c>
      <c r="I689" s="2" t="str">
        <f>IFERROR(__xludf.DUMMYFUNCTION("GOOGLETRANSLATE(C689,""fr"",""en"")"),"I subscribed to the offer with the Drivebox. I thought, by being a quiet driver, that it could make me some money.
First, you have to get used to this situation. The braking is considered too quickly. It happened that I went through red, so as not to h"&amp;"ave to brake too hard for orange (yes, I know, € 135 and 4 points is much more than you can lose with a recorded braking event, Excluding the road danger ...). In addition, you should not take suspenders on the highway, because only a snail can avoid a """&amp;"turn"" event: with a truck on the bumper and another which exceeds you (with 45km/h on the Studdy from the A13 to the inner perif, because 50km/h on the counter is already too fast - in my opinion, this does not contribute to road safety). And there, we s"&amp;"tart to hit the most frustrating aspect: unjust events. You drive like a papi, you are sure that you have not accelerated or slowed too much, but because this ***** box only uses the GPS and its reception is zero, full of events are recorded. We can chall"&amp;"enge them, but I believe that about a quarter of the disputes is not honored (saying that these events were justified). And that on the events of which I was 100% sure that they were unfair - I never disputed events if I had any doubt. So, we lose all ser"&amp;"enity of driving and in addition, we risk not receiving the reimbursement that driving deserves. If you really have a small budget and you support unjust events, this Drivebox could be a good idea. In any other case: do not take it. Note that the reimburs"&amp;"ements are made only on the basic premium and not on the options (such as 0km assistance, ice broken, etc.).
I offered to watch/analyze some events together, but no reaction from them.
Then, when I expressed my frustrations by asking for the address"&amp;" to return this box, these geniuses have everything-of-suite and without consultation deactivated the box ... Very good customer service, that!")</f>
        <v>I subscribed to the offer with the Drivebox. I thought, by being a quiet driver, that it could make me some money.
First, you have to get used to this situation. The braking is considered too quickly. It happened that I went through red, so as not to have to brake too hard for orange (yes, I know, € 135 and 4 points is much more than you can lose with a recorded braking event, Excluding the road danger ...). In addition, you should not take suspenders on the highway, because only a snail can avoid a "turn" event: with a truck on the bumper and another which exceeds you (with 45km/h on the Studdy from the A13 to the inner perif, because 50km/h on the counter is already too fast - in my opinion, this does not contribute to road safety). And there, we start to hit the most frustrating aspect: unjust events. You drive like a papi, you are sure that you have not accelerated or slowed too much, but because this ***** box only uses the GPS and its reception is zero, full of events are recorded. We can challenge them, but I believe that about a quarter of the disputes is not honored (saying that these events were justified). And that on the events of which I was 100% sure that they were unfair - I never disputed events if I had any doubt. So, we lose all serenity of driving and in addition, we risk not receiving the reimbursement that driving deserves. If you really have a small budget and you support unjust events, this Drivebox could be a good idea. In any other case: do not take it. Note that the reimbursements are made only on the basic premium and not on the options (such as 0km assistance, ice broken, etc.).
I offered to watch/analyze some events together, but no reaction from them.
Then, when I expressed my frustrations by asking for the address to return this box, these geniuses have everything-of-suite and without consultation deactivated the box ... Very good customer service, that!</v>
      </c>
    </row>
    <row r="690" ht="15.75" customHeight="1">
      <c r="A690" s="2">
        <v>1.0</v>
      </c>
      <c r="B690" s="2" t="s">
        <v>1963</v>
      </c>
      <c r="C690" s="2" t="s">
        <v>1964</v>
      </c>
      <c r="D690" s="2" t="s">
        <v>99</v>
      </c>
      <c r="E690" s="2" t="s">
        <v>27</v>
      </c>
      <c r="F690" s="2" t="s">
        <v>15</v>
      </c>
      <c r="G690" s="2" t="s">
        <v>1965</v>
      </c>
      <c r="H690" s="2" t="s">
        <v>258</v>
      </c>
      <c r="I690" s="2" t="str">
        <f>IFERROR(__xludf.DUMMYFUNCTION("GOOGLETRANSLATE(C690,""fr"",""en"")"),"It's been over a year since I had a law in law in Belgium
And still no compensation too much is too much
Insurance to flee I pay for nothing very bad insurance")</f>
        <v>It's been over a year since I had a law in law in Belgium
And still no compensation too much is too much
Insurance to flee I pay for nothing very bad insurance</v>
      </c>
    </row>
    <row r="691" ht="15.75" customHeight="1">
      <c r="A691" s="2">
        <v>1.0</v>
      </c>
      <c r="B691" s="2" t="s">
        <v>1966</v>
      </c>
      <c r="C691" s="2" t="s">
        <v>1967</v>
      </c>
      <c r="D691" s="2" t="s">
        <v>245</v>
      </c>
      <c r="E691" s="2" t="s">
        <v>120</v>
      </c>
      <c r="F691" s="2" t="s">
        <v>15</v>
      </c>
      <c r="G691" s="2" t="s">
        <v>1968</v>
      </c>
      <c r="H691" s="2" t="s">
        <v>80</v>
      </c>
      <c r="I691" s="2" t="str">
        <f>IFERROR(__xludf.DUMMYFUNCTION("GOOGLETRANSLATE(C691,""fr"",""en"")"),"Hello, I have been in disability 2nd category since January 1, 2020.
I perceive a disability pension of 1205 euros gross per month, 50 percent of my ten best years. AG2R is supposed to pay me 25 percent of salary supplement on my invalidity pension.
Sin"&amp;"ce January 1, AG2R pays me a complement of 43.88 euros and after many calls to customer service he tells me that it is this sum that its represents 25 percent or that it is the CPAM which can be pays me more than 50 percent of my ten best years.
I am sen"&amp;"t to them a letter by email to customer service with the proof of the CPAM as what is written black on white that it poured me 50 percent, more in SE Mail I am attached to them my last three salary slip of my last activity before my brain accident.
I am "&amp;"not an accountant but 43.88 euros this fact not 25 percent of 1205 euros or my last salary which is 2100 euros, but for for AG2R 43.88 euros its represents 25 percent.
They are in the process of making me lose patience, I think I will take legal action a"&amp;"nd also ask them for moral domages for the stress that he has put for 7 months.
If someone can give me are advised on my sitiation")</f>
        <v>Hello, I have been in disability 2nd category since January 1, 2020.
I perceive a disability pension of 1205 euros gross per month, 50 percent of my ten best years. AG2R is supposed to pay me 25 percent of salary supplement on my invalidity pension.
Since January 1, AG2R pays me a complement of 43.88 euros and after many calls to customer service he tells me that it is this sum that its represents 25 percent or that it is the CPAM which can be pays me more than 50 percent of my ten best years.
I am sent to them a letter by email to customer service with the proof of the CPAM as what is written black on white that it poured me 50 percent, more in SE Mail I am attached to them my last three salary slip of my last activity before my brain accident.
I am not an accountant but 43.88 euros this fact not 25 percent of 1205 euros or my last salary which is 2100 euros, but for for AG2R 43.88 euros its represents 25 percent.
They are in the process of making me lose patience, I think I will take legal action and also ask them for moral domages for the stress that he has put for 7 months.
If someone can give me are advised on my sitiation</v>
      </c>
    </row>
    <row r="692" ht="15.75" customHeight="1">
      <c r="A692" s="2">
        <v>3.0</v>
      </c>
      <c r="B692" s="2" t="s">
        <v>1969</v>
      </c>
      <c r="C692" s="2" t="s">
        <v>1970</v>
      </c>
      <c r="D692" s="2" t="s">
        <v>26</v>
      </c>
      <c r="E692" s="2" t="s">
        <v>27</v>
      </c>
      <c r="F692" s="2" t="s">
        <v>15</v>
      </c>
      <c r="G692" s="2" t="s">
        <v>1659</v>
      </c>
      <c r="H692" s="2" t="s">
        <v>29</v>
      </c>
      <c r="I692" s="2" t="str">
        <f>IFERROR(__xludf.DUMMYFUNCTION("GOOGLETRANSLATE(C692,""fr"",""en"")"),"The implementation of the contract was simple and very complicated and my interlocutor very competent
The duration not very very long t the documents requested not much")</f>
        <v>The implementation of the contract was simple and very complicated and my interlocutor very competent
The duration not very very long t the documents requested not much</v>
      </c>
    </row>
    <row r="693" ht="15.75" customHeight="1">
      <c r="A693" s="2">
        <v>2.0</v>
      </c>
      <c r="B693" s="2" t="s">
        <v>1971</v>
      </c>
      <c r="C693" s="2" t="s">
        <v>1972</v>
      </c>
      <c r="D693" s="2" t="s">
        <v>42</v>
      </c>
      <c r="E693" s="2" t="s">
        <v>27</v>
      </c>
      <c r="F693" s="2" t="s">
        <v>15</v>
      </c>
      <c r="G693" s="2" t="s">
        <v>690</v>
      </c>
      <c r="H693" s="2" t="s">
        <v>523</v>
      </c>
      <c r="I693" s="2" t="str">
        <f>IFERROR(__xludf.DUMMYFUNCTION("GOOGLETRANSLATE(C693,""fr"",""en"")"),"Has changed well not more interesting than other insurances, always an exclusion when you think you are compensated.")</f>
        <v>Has changed well not more interesting than other insurances, always an exclusion when you think you are compensated.</v>
      </c>
    </row>
    <row r="694" ht="15.75" customHeight="1">
      <c r="A694" s="2">
        <v>2.0</v>
      </c>
      <c r="B694" s="2" t="s">
        <v>1973</v>
      </c>
      <c r="C694" s="2" t="s">
        <v>1974</v>
      </c>
      <c r="D694" s="2" t="s">
        <v>37</v>
      </c>
      <c r="E694" s="2" t="s">
        <v>27</v>
      </c>
      <c r="F694" s="2" t="s">
        <v>15</v>
      </c>
      <c r="G694" s="2" t="s">
        <v>1089</v>
      </c>
      <c r="H694" s="2" t="s">
        <v>62</v>
      </c>
      <c r="I694" s="2" t="str">
        <f>IFERROR(__xludf.DUMMYFUNCTION("GOOGLETRANSLATE(C694,""fr"",""en"")"),"Practical and easy -to -use service even with a smartphone The price charged is correct compared to the year of my vehicle and the few kilometers that I travel with.")</f>
        <v>Practical and easy -to -use service even with a smartphone The price charged is correct compared to the year of my vehicle and the few kilometers that I travel with.</v>
      </c>
    </row>
    <row r="695" ht="15.75" customHeight="1">
      <c r="A695" s="2">
        <v>1.0</v>
      </c>
      <c r="B695" s="2" t="s">
        <v>1975</v>
      </c>
      <c r="C695" s="2" t="s">
        <v>1976</v>
      </c>
      <c r="D695" s="2" t="s">
        <v>245</v>
      </c>
      <c r="E695" s="2" t="s">
        <v>120</v>
      </c>
      <c r="F695" s="2" t="s">
        <v>15</v>
      </c>
      <c r="G695" s="2" t="s">
        <v>1977</v>
      </c>
      <c r="H695" s="2" t="s">
        <v>182</v>
      </c>
      <c r="I695" s="2" t="str">
        <f>IFERROR(__xludf.DUMMYFUNCTION("GOOGLETRANSLATE(C695,""fr"",""en"")"),"Inadmissible, on judgment since July no compensation, when we call them they tell us to wait patience to limits, I ask myself the question of attacking them to the prud")</f>
        <v>Inadmissible, on judgment since July no compensation, when we call them they tell us to wait patience to limits, I ask myself the question of attacking them to the prud</v>
      </c>
    </row>
    <row r="696" ht="15.75" customHeight="1">
      <c r="A696" s="2">
        <v>4.0</v>
      </c>
      <c r="B696" s="2" t="s">
        <v>1978</v>
      </c>
      <c r="C696" s="2" t="s">
        <v>1979</v>
      </c>
      <c r="D696" s="2" t="s">
        <v>368</v>
      </c>
      <c r="E696" s="2" t="s">
        <v>68</v>
      </c>
      <c r="F696" s="2" t="s">
        <v>15</v>
      </c>
      <c r="G696" s="2" t="s">
        <v>1409</v>
      </c>
      <c r="H696" s="2" t="s">
        <v>62</v>
      </c>
      <c r="I696" s="2" t="str">
        <f>IFERROR(__xludf.DUMMYFUNCTION("GOOGLETRANSLATE(C696,""fr"",""en"")"),"Very good value for money.
Simple pre-sousing by the seller with all the explanations for the best choice.
The engraving option allows you to improve on a new vehicle and reassures.
")</f>
        <v>Very good value for money.
Simple pre-sousing by the seller with all the explanations for the best choice.
The engraving option allows you to improve on a new vehicle and reassures.
</v>
      </c>
    </row>
    <row r="697" ht="15.75" customHeight="1">
      <c r="A697" s="2">
        <v>1.0</v>
      </c>
      <c r="B697" s="2" t="s">
        <v>1980</v>
      </c>
      <c r="C697" s="2" t="s">
        <v>1981</v>
      </c>
      <c r="D697" s="2" t="s">
        <v>119</v>
      </c>
      <c r="E697" s="2" t="s">
        <v>120</v>
      </c>
      <c r="F697" s="2" t="s">
        <v>15</v>
      </c>
      <c r="G697" s="2" t="s">
        <v>1982</v>
      </c>
      <c r="H697" s="2" t="s">
        <v>170</v>
      </c>
      <c r="I697" s="2" t="str">
        <f>IFERROR(__xludf.DUMMYFUNCTION("GOOGLETRANSLATE(C697,""fr"",""en"")"),"service service")</f>
        <v>service service</v>
      </c>
    </row>
    <row r="698" ht="15.75" customHeight="1">
      <c r="A698" s="2">
        <v>2.0</v>
      </c>
      <c r="B698" s="2" t="s">
        <v>1983</v>
      </c>
      <c r="C698" s="2" t="s">
        <v>1984</v>
      </c>
      <c r="D698" s="2" t="s">
        <v>355</v>
      </c>
      <c r="E698" s="2" t="s">
        <v>27</v>
      </c>
      <c r="F698" s="2" t="s">
        <v>15</v>
      </c>
      <c r="G698" s="2" t="s">
        <v>1985</v>
      </c>
      <c r="H698" s="2" t="s">
        <v>149</v>
      </c>
      <c r="I698" s="2" t="str">
        <f>IFERROR(__xludf.DUMMYFUNCTION("GOOGLETRANSLATE(C698,""fr"",""en"")"),"It goes pretty well as long as we don't have a hanging, even not responsible ...")</f>
        <v>It goes pretty well as long as we don't have a hanging, even not responsible ...</v>
      </c>
    </row>
    <row r="699" ht="15.75" customHeight="1">
      <c r="A699" s="2">
        <v>2.0</v>
      </c>
      <c r="B699" s="2" t="s">
        <v>1986</v>
      </c>
      <c r="C699" s="2" t="s">
        <v>1987</v>
      </c>
      <c r="D699" s="2" t="s">
        <v>880</v>
      </c>
      <c r="E699" s="2" t="s">
        <v>289</v>
      </c>
      <c r="F699" s="2" t="s">
        <v>15</v>
      </c>
      <c r="G699" s="2" t="s">
        <v>1988</v>
      </c>
      <c r="H699" s="2" t="s">
        <v>310</v>
      </c>
      <c r="I699" s="2" t="str">
        <f>IFERROR(__xludf.DUMMYFUNCTION("GOOGLETRANSLATE(C699,""fr"",""en"")"),"Hello I have a life insurance contract @.cievie that I manage from the website for arbitrations no problem but for a partial buyout on my contract it is impossible to do so on the site.
My requests by the email contact are left to the taxable taxable tax"&amp;" to have a valid interlocutor to inform me it is not the telephonic number which is missing but all refer me to my first contact I have several contracts of life insurance other none societies poses this kind of problem to me")</f>
        <v>Hello I have a life insurance contract @.cievie that I manage from the website for arbitrations no problem but for a partial buyout on my contract it is impossible to do so on the site.
My requests by the email contact are left to the taxable taxable tax to have a valid interlocutor to inform me it is not the telephonic number which is missing but all refer me to my first contact I have several contracts of life insurance other none societies poses this kind of problem to me</v>
      </c>
    </row>
    <row r="700" ht="15.75" customHeight="1">
      <c r="A700" s="2">
        <v>4.0</v>
      </c>
      <c r="B700" s="2" t="s">
        <v>1989</v>
      </c>
      <c r="C700" s="2" t="s">
        <v>1990</v>
      </c>
      <c r="D700" s="2" t="s">
        <v>26</v>
      </c>
      <c r="E700" s="2" t="s">
        <v>27</v>
      </c>
      <c r="F700" s="2" t="s">
        <v>15</v>
      </c>
      <c r="G700" s="2" t="s">
        <v>1991</v>
      </c>
      <c r="H700" s="2" t="s">
        <v>874</v>
      </c>
      <c r="I700" s="2" t="str">
        <f>IFERROR(__xludf.DUMMYFUNCTION("GOOGLETRANSLATE(C700,""fr"",""en"")"),"Internet treatment is very fast and customer service is attentive. Regular calls to see the progress of the file and if we have supreme questions")</f>
        <v>Internet treatment is very fast and customer service is attentive. Regular calls to see the progress of the file and if we have supreme questions</v>
      </c>
    </row>
    <row r="701" ht="15.75" customHeight="1">
      <c r="A701" s="2">
        <v>2.0</v>
      </c>
      <c r="B701" s="2" t="s">
        <v>1992</v>
      </c>
      <c r="C701" s="2" t="s">
        <v>1993</v>
      </c>
      <c r="D701" s="2" t="s">
        <v>300</v>
      </c>
      <c r="E701" s="2" t="s">
        <v>27</v>
      </c>
      <c r="F701" s="2" t="s">
        <v>15</v>
      </c>
      <c r="G701" s="2" t="s">
        <v>1994</v>
      </c>
      <c r="H701" s="2" t="s">
        <v>592</v>
      </c>
      <c r="I701" s="2" t="str">
        <f>IFERROR(__xludf.DUMMYFUNCTION("GOOGLETRANSLATE(C701,""fr"",""en"")"),"I was bait by a price reduction for my new car. 1st sinister (hit the car in front of a fire a day of heavy rain, crumpled sheet), terminated in stride despite 50% CRM for at least 7 years it is the 1st time that it happens to me. Once terminated with the"&amp;"m, the other insurers look at you with distrust
")</f>
        <v>I was bait by a price reduction for my new car. 1st sinister (hit the car in front of a fire a day of heavy rain, crumpled sheet), terminated in stride despite 50% CRM for at least 7 years it is the 1st time that it happens to me. Once terminated with them, the other insurers look at you with distrust
</v>
      </c>
    </row>
    <row r="702" ht="15.75" customHeight="1">
      <c r="A702" s="2">
        <v>1.0</v>
      </c>
      <c r="B702" s="2" t="s">
        <v>1995</v>
      </c>
      <c r="C702" s="2" t="s">
        <v>1996</v>
      </c>
      <c r="D702" s="2" t="s">
        <v>368</v>
      </c>
      <c r="E702" s="2" t="s">
        <v>68</v>
      </c>
      <c r="F702" s="2" t="s">
        <v>15</v>
      </c>
      <c r="G702" s="2" t="s">
        <v>1997</v>
      </c>
      <c r="H702" s="2" t="s">
        <v>258</v>
      </c>
      <c r="I702" s="2" t="str">
        <f>IFERROR(__xludf.DUMMYFUNCTION("GOOGLETRANSLATE(C702,""fr"",""en"")"),"It's been three times that I have been asked for an information statement that has already been provided.
I have already called and it has a significant cost without having a satisfactory response.
To flee.")</f>
        <v>It's been three times that I have been asked for an information statement that has already been provided.
I have already called and it has a significant cost without having a satisfactory response.
To flee.</v>
      </c>
    </row>
    <row r="703" ht="15.75" customHeight="1">
      <c r="A703" s="2">
        <v>5.0</v>
      </c>
      <c r="B703" s="2" t="s">
        <v>1998</v>
      </c>
      <c r="C703" s="2" t="s">
        <v>1999</v>
      </c>
      <c r="D703" s="2" t="s">
        <v>37</v>
      </c>
      <c r="E703" s="2" t="s">
        <v>27</v>
      </c>
      <c r="F703" s="2" t="s">
        <v>15</v>
      </c>
      <c r="G703" s="2" t="s">
        <v>2000</v>
      </c>
      <c r="H703" s="2" t="s">
        <v>141</v>
      </c>
      <c r="I703" s="2" t="str">
        <f>IFERROR(__xludf.DUMMYFUNCTION("GOOGLETRANSLATE(C703,""fr"",""en"")"),"Bravo and again congratulations to the whole team for their relational side for their patience and their listening! I have been a client for years and I really don't regret my choice because I had a lot of disappointments with other big companies !! For m"&amp;"e the greatness of Direct Insurance C is first customer advisers !! The prices thereafter for the sinister reimbursement I do not know God thank you I never had !!! To finish a big congratulations to the recruitment service and to the management for their"&amp;" staff excellent choice and a big thank you to the whole team of direct insurance and very good continuation")</f>
        <v>Bravo and again congratulations to the whole team for their relational side for their patience and their listening! I have been a client for years and I really don't regret my choice because I had a lot of disappointments with other big companies !! For me the greatness of Direct Insurance C is first customer advisers !! The prices thereafter for the sinister reimbursement I do not know God thank you I never had !!! To finish a big congratulations to the recruitment service and to the management for their staff excellent choice and a big thank you to the whole team of direct insurance and very good continuation</v>
      </c>
    </row>
    <row r="704" ht="15.75" customHeight="1">
      <c r="A704" s="2">
        <v>3.0</v>
      </c>
      <c r="B704" s="2" t="s">
        <v>2001</v>
      </c>
      <c r="C704" s="2" t="s">
        <v>2002</v>
      </c>
      <c r="D704" s="2" t="s">
        <v>37</v>
      </c>
      <c r="E704" s="2" t="s">
        <v>27</v>
      </c>
      <c r="F704" s="2" t="s">
        <v>15</v>
      </c>
      <c r="G704" s="2" t="s">
        <v>177</v>
      </c>
      <c r="H704" s="2" t="s">
        <v>112</v>
      </c>
      <c r="I704" s="2" t="str">
        <f>IFERROR(__xludf.DUMMYFUNCTION("GOOGLETRANSLATE(C704,""fr"",""en"")"),"Insurance to increase despite containment and therefore less accident damage to the increase in too expensive insurance I would not come back to you")</f>
        <v>Insurance to increase despite containment and therefore less accident damage to the increase in too expensive insurance I would not come back to you</v>
      </c>
    </row>
    <row r="705" ht="15.75" customHeight="1">
      <c r="A705" s="2">
        <v>5.0</v>
      </c>
      <c r="B705" s="2" t="s">
        <v>2003</v>
      </c>
      <c r="C705" s="2" t="s">
        <v>2004</v>
      </c>
      <c r="D705" s="2" t="s">
        <v>37</v>
      </c>
      <c r="E705" s="2" t="s">
        <v>27</v>
      </c>
      <c r="F705" s="2" t="s">
        <v>15</v>
      </c>
      <c r="G705" s="2" t="s">
        <v>1561</v>
      </c>
      <c r="H705" s="2" t="s">
        <v>228</v>
      </c>
      <c r="I705" s="2" t="str">
        <f>IFERROR(__xludf.DUMMYFUNCTION("GOOGLETRANSLATE(C705,""fr"",""en"")"),"I am satisfied with your online and telephone services. However I think that if we have more than 2 vehicles insured a reduction little executed because we cannot drive in them at the same time. Cdlt")</f>
        <v>I am satisfied with your online and telephone services. However I think that if we have more than 2 vehicles insured a reduction little executed because we cannot drive in them at the same time. Cdlt</v>
      </c>
    </row>
    <row r="706" ht="15.75" customHeight="1">
      <c r="A706" s="2">
        <v>4.0</v>
      </c>
      <c r="B706" s="2" t="s">
        <v>2005</v>
      </c>
      <c r="C706" s="2" t="s">
        <v>2006</v>
      </c>
      <c r="D706" s="2" t="s">
        <v>234</v>
      </c>
      <c r="E706" s="2" t="s">
        <v>21</v>
      </c>
      <c r="F706" s="2" t="s">
        <v>15</v>
      </c>
      <c r="G706" s="2" t="s">
        <v>2007</v>
      </c>
      <c r="H706" s="2" t="s">
        <v>630</v>
      </c>
      <c r="I706" s="2" t="str">
        <f>IFERROR(__xludf.DUMMYFUNCTION("GOOGLETRANSLATE(C706,""fr"",""en"")"),"Very good fast insurance for children reimbursements and for customer services")</f>
        <v>Very good fast insurance for children reimbursements and for customer services</v>
      </c>
    </row>
    <row r="707" ht="15.75" customHeight="1">
      <c r="A707" s="2">
        <v>1.0</v>
      </c>
      <c r="B707" s="2" t="s">
        <v>2008</v>
      </c>
      <c r="C707" s="2" t="s">
        <v>2009</v>
      </c>
      <c r="D707" s="2" t="s">
        <v>368</v>
      </c>
      <c r="E707" s="2" t="s">
        <v>68</v>
      </c>
      <c r="F707" s="2" t="s">
        <v>15</v>
      </c>
      <c r="G707" s="2" t="s">
        <v>2010</v>
      </c>
      <c r="H707" s="2" t="s">
        <v>357</v>
      </c>
      <c r="I707" s="2" t="str">
        <f>IFERROR(__xludf.DUMMYFUNCTION("GOOGLETRANSLATE(C707,""fr"",""en"")"),"Ambigue contract. After three months, expert report still not reached the repairer. Unpleasant customer service as possible. No return from customer service. However, I signed this contract for the purchase of my motorcycle from the dealer.")</f>
        <v>Ambigue contract. After three months, expert report still not reached the repairer. Unpleasant customer service as possible. No return from customer service. However, I signed this contract for the purchase of my motorcycle from the dealer.</v>
      </c>
    </row>
    <row r="708" ht="15.75" customHeight="1">
      <c r="A708" s="2">
        <v>1.0</v>
      </c>
      <c r="B708" s="2" t="s">
        <v>2011</v>
      </c>
      <c r="C708" s="2" t="s">
        <v>2012</v>
      </c>
      <c r="D708" s="2" t="s">
        <v>245</v>
      </c>
      <c r="E708" s="2" t="s">
        <v>120</v>
      </c>
      <c r="F708" s="2" t="s">
        <v>15</v>
      </c>
      <c r="G708" s="2" t="s">
        <v>2013</v>
      </c>
      <c r="H708" s="2" t="s">
        <v>698</v>
      </c>
      <c r="I708" s="2" t="str">
        <f>IFERROR(__xludf.DUMMYFUNCTION("GOOGLETRANSLATE(C708,""fr"",""en"")"),"Very disappointed, contemptuous interlocutor and liar, to involve Manpower to make advance my AG2R file told me that I had my sickness stop I would not hesitate to break the candies to my agency and to the interim social service if no payment intervenes p"&amp;"ending additional salary regulations following sick leave")</f>
        <v>Very disappointed, contemptuous interlocutor and liar, to involve Manpower to make advance my AG2R file told me that I had my sickness stop I would not hesitate to break the candies to my agency and to the interim social service if no payment intervenes pending additional salary regulations following sick leave</v>
      </c>
    </row>
    <row r="709" ht="15.75" customHeight="1">
      <c r="A709" s="2">
        <v>4.0</v>
      </c>
      <c r="B709" s="2" t="s">
        <v>2014</v>
      </c>
      <c r="C709" s="2" t="s">
        <v>2015</v>
      </c>
      <c r="D709" s="2" t="s">
        <v>37</v>
      </c>
      <c r="E709" s="2" t="s">
        <v>27</v>
      </c>
      <c r="F709" s="2" t="s">
        <v>15</v>
      </c>
      <c r="G709" s="2" t="s">
        <v>792</v>
      </c>
      <c r="H709" s="2" t="s">
        <v>88</v>
      </c>
      <c r="I709" s="2" t="str">
        <f>IFERROR(__xludf.DUMMYFUNCTION("GOOGLETRANSLATE(C709,""fr"",""en"")"),"I am satisfied with the service, the price suits me but I hope that over the years it will drop because I am a very good driver. In any case, the site is really well done very fluid and easy to understand. Thank you very much because I tried at other comp"&amp;"etitors and that's really not that. I hope to stay with you for many years")</f>
        <v>I am satisfied with the service, the price suits me but I hope that over the years it will drop because I am a very good driver. In any case, the site is really well done very fluid and easy to understand. Thank you very much because I tried at other competitors and that's really not that. I hope to stay with you for many years</v>
      </c>
    </row>
    <row r="710" ht="15.75" customHeight="1">
      <c r="A710" s="2">
        <v>1.0</v>
      </c>
      <c r="B710" s="2" t="s">
        <v>2016</v>
      </c>
      <c r="C710" s="2" t="s">
        <v>2017</v>
      </c>
      <c r="D710" s="2" t="s">
        <v>48</v>
      </c>
      <c r="E710" s="2" t="s">
        <v>21</v>
      </c>
      <c r="F710" s="2" t="s">
        <v>15</v>
      </c>
      <c r="G710" s="2" t="s">
        <v>1610</v>
      </c>
      <c r="H710" s="2" t="s">
        <v>336</v>
      </c>
      <c r="I710" s="2" t="str">
        <f>IFERROR(__xludf.DUMMYFUNCTION("GOOGLETRANSLATE(C710,""fr"",""en"")"),"What a horror this mutual! To flee at all costs ... From the start nothing goes: 6 months of waiting to have its card, third party paying impossible ...")</f>
        <v>What a horror this mutual! To flee at all costs ... From the start nothing goes: 6 months of waiting to have its card, third party paying impossible ...</v>
      </c>
    </row>
    <row r="711" ht="15.75" customHeight="1">
      <c r="A711" s="2">
        <v>5.0</v>
      </c>
      <c r="B711" s="2" t="s">
        <v>2018</v>
      </c>
      <c r="C711" s="2" t="s">
        <v>2019</v>
      </c>
      <c r="D711" s="2" t="s">
        <v>67</v>
      </c>
      <c r="E711" s="2" t="s">
        <v>68</v>
      </c>
      <c r="F711" s="2" t="s">
        <v>15</v>
      </c>
      <c r="G711" s="2" t="s">
        <v>1703</v>
      </c>
      <c r="H711" s="2" t="s">
        <v>228</v>
      </c>
      <c r="I711" s="2" t="str">
        <f>IFERROR(__xludf.DUMMYFUNCTION("GOOGLETRANSLATE(C711,""fr"",""en"")"),"Very serious I recommend April Moto for your Motorcycle Assurance Quality Serious and inexpensive price I assured my 125 in 2 clicks and I am really happy")</f>
        <v>Very serious I recommend April Moto for your Motorcycle Assurance Quality Serious and inexpensive price I assured my 125 in 2 clicks and I am really happy</v>
      </c>
    </row>
    <row r="712" ht="15.75" customHeight="1">
      <c r="A712" s="2">
        <v>4.0</v>
      </c>
      <c r="B712" s="2" t="s">
        <v>2020</v>
      </c>
      <c r="C712" s="2" t="s">
        <v>2021</v>
      </c>
      <c r="D712" s="2" t="s">
        <v>32</v>
      </c>
      <c r="E712" s="2" t="s">
        <v>21</v>
      </c>
      <c r="F712" s="2" t="s">
        <v>15</v>
      </c>
      <c r="G712" s="2" t="s">
        <v>600</v>
      </c>
      <c r="H712" s="2" t="s">
        <v>34</v>
      </c>
      <c r="I712" s="2" t="str">
        <f>IFERROR(__xludf.DUMMYFUNCTION("GOOGLETRANSLATE(C712,""fr"",""en"")"),"Quick reimbursement overall. Full satisfaction during telephone information. Very pleasant and competent staff with clear and precise answers, thank you.")</f>
        <v>Quick reimbursement overall. Full satisfaction during telephone information. Very pleasant and competent staff with clear and precise answers, thank you.</v>
      </c>
    </row>
    <row r="713" ht="15.75" customHeight="1">
      <c r="A713" s="2">
        <v>5.0</v>
      </c>
      <c r="B713" s="2" t="s">
        <v>2022</v>
      </c>
      <c r="C713" s="2" t="s">
        <v>2023</v>
      </c>
      <c r="D713" s="2" t="s">
        <v>37</v>
      </c>
      <c r="E713" s="2" t="s">
        <v>27</v>
      </c>
      <c r="F713" s="2" t="s">
        <v>15</v>
      </c>
      <c r="G713" s="2" t="s">
        <v>1039</v>
      </c>
      <c r="H713" s="2" t="s">
        <v>29</v>
      </c>
      <c r="I713" s="2" t="str">
        <f>IFERROR(__xludf.DUMMYFUNCTION("GOOGLETRANSLATE(C713,""fr"",""en"")"),"For the first time I need you after years of contributions I will see if you are deserved what I have no doubt because until now I have been pleasantly surprised
Thank you for your attention")</f>
        <v>For the first time I need you after years of contributions I will see if you are deserved what I have no doubt because until now I have been pleasantly surprised
Thank you for your attention</v>
      </c>
    </row>
    <row r="714" ht="15.75" customHeight="1">
      <c r="A714" s="2">
        <v>5.0</v>
      </c>
      <c r="B714" s="2" t="s">
        <v>2024</v>
      </c>
      <c r="C714" s="2" t="s">
        <v>2025</v>
      </c>
      <c r="D714" s="2" t="s">
        <v>37</v>
      </c>
      <c r="E714" s="2" t="s">
        <v>27</v>
      </c>
      <c r="F714" s="2" t="s">
        <v>15</v>
      </c>
      <c r="G714" s="2" t="s">
        <v>382</v>
      </c>
      <c r="H714" s="2" t="s">
        <v>23</v>
      </c>
      <c r="I714" s="2" t="str">
        <f>IFERROR(__xludf.DUMMYFUNCTION("GOOGLETRANSLATE(C714,""fr"",""en"")"),"I am satisfied with the price and speed to take out an insurance contract
The sending documents is very simple to make and the site and very well done")</f>
        <v>I am satisfied with the price and speed to take out an insurance contract
The sending documents is very simple to make and the site and very well done</v>
      </c>
    </row>
    <row r="715" ht="15.75" customHeight="1">
      <c r="A715" s="2">
        <v>4.0</v>
      </c>
      <c r="B715" s="2" t="s">
        <v>2026</v>
      </c>
      <c r="C715" s="2" t="s">
        <v>2027</v>
      </c>
      <c r="D715" s="2" t="s">
        <v>37</v>
      </c>
      <c r="E715" s="2" t="s">
        <v>27</v>
      </c>
      <c r="F715" s="2" t="s">
        <v>15</v>
      </c>
      <c r="G715" s="2" t="s">
        <v>1403</v>
      </c>
      <c r="H715" s="2" t="s">
        <v>29</v>
      </c>
      <c r="I715" s="2" t="str">
        <f>IFERROR(__xludf.DUMMYFUNCTION("GOOGLETRANSLATE(C715,""fr"",""en"")"),"I am satisfied with my choice. Attentive staff and always available to answer questions.
Correct prox")</f>
        <v>I am satisfied with my choice. Attentive staff and always available to answer questions.
Correct prox</v>
      </c>
    </row>
    <row r="716" ht="15.75" customHeight="1">
      <c r="A716" s="2">
        <v>3.0</v>
      </c>
      <c r="B716" s="2" t="s">
        <v>2028</v>
      </c>
      <c r="C716" s="2" t="s">
        <v>2029</v>
      </c>
      <c r="D716" s="2" t="s">
        <v>107</v>
      </c>
      <c r="E716" s="2" t="s">
        <v>21</v>
      </c>
      <c r="F716" s="2" t="s">
        <v>15</v>
      </c>
      <c r="G716" s="2" t="s">
        <v>2030</v>
      </c>
      <c r="H716" s="2" t="s">
        <v>88</v>
      </c>
      <c r="I716" s="2" t="str">
        <f>IFERROR(__xludf.DUMMYFUNCTION("GOOGLETRANSLATE(C716,""fr"",""en"")"),"I was received on the phone by Emeline today.
A welcome in every way perfect, listening, quality of the answers, availability and the ""smile in the voice"". Thank you for the quality of the information.")</f>
        <v>I was received on the phone by Emeline today.
A welcome in every way perfect, listening, quality of the answers, availability and the "smile in the voice". Thank you for the quality of the information.</v>
      </c>
    </row>
    <row r="717" ht="15.75" customHeight="1">
      <c r="A717" s="2">
        <v>5.0</v>
      </c>
      <c r="B717" s="2" t="s">
        <v>2031</v>
      </c>
      <c r="C717" s="2" t="s">
        <v>2032</v>
      </c>
      <c r="D717" s="2" t="s">
        <v>194</v>
      </c>
      <c r="E717" s="2" t="s">
        <v>14</v>
      </c>
      <c r="F717" s="2" t="s">
        <v>15</v>
      </c>
      <c r="G717" s="2" t="s">
        <v>2033</v>
      </c>
      <c r="H717" s="2" t="s">
        <v>134</v>
      </c>
      <c r="I717" s="2" t="str">
        <f>IFERROR(__xludf.DUMMYFUNCTION("GOOGLETRANSLATE(C717,""fr"",""en"")"),"I am satisfied with the availability and listening encountered.
The person on the phone was kind and competent.
Negotiation was possible. Thank you")</f>
        <v>I am satisfied with the availability and listening encountered.
The person on the phone was kind and competent.
Negotiation was possible. Thank you</v>
      </c>
    </row>
    <row r="718" ht="15.75" customHeight="1">
      <c r="A718" s="2">
        <v>2.0</v>
      </c>
      <c r="B718" s="2" t="s">
        <v>2034</v>
      </c>
      <c r="C718" s="2" t="s">
        <v>2035</v>
      </c>
      <c r="D718" s="2" t="s">
        <v>37</v>
      </c>
      <c r="E718" s="2" t="s">
        <v>27</v>
      </c>
      <c r="F718" s="2" t="s">
        <v>15</v>
      </c>
      <c r="G718" s="2" t="s">
        <v>848</v>
      </c>
      <c r="H718" s="2" t="s">
        <v>134</v>
      </c>
      <c r="I718" s="2" t="str">
        <f>IFERROR(__xludf.DUMMYFUNCTION("GOOGLETRANSLATE(C718,""fr"",""en"")"),"Dissatisfied customer service, which changes the price of a quote without notifying the customer! Increase this price because we are more married !!!!!! So alone to endure insurance ... Bravo")</f>
        <v>Dissatisfied customer service, which changes the price of a quote without notifying the customer! Increase this price because we are more married !!!!!! So alone to endure insurance ... Bravo</v>
      </c>
    </row>
    <row r="719" ht="15.75" customHeight="1">
      <c r="A719" s="2">
        <v>4.0</v>
      </c>
      <c r="B719" s="2" t="s">
        <v>2036</v>
      </c>
      <c r="C719" s="2" t="s">
        <v>2037</v>
      </c>
      <c r="D719" s="2" t="s">
        <v>26</v>
      </c>
      <c r="E719" s="2" t="s">
        <v>27</v>
      </c>
      <c r="F719" s="2" t="s">
        <v>15</v>
      </c>
      <c r="G719" s="2" t="s">
        <v>239</v>
      </c>
      <c r="H719" s="2" t="s">
        <v>112</v>
      </c>
      <c r="I719" s="2" t="str">
        <f>IFERROR(__xludf.DUMMYFUNCTION("GOOGLETRANSLATE(C719,""fr"",""en"")"),"Very pleasant telephone service and top subscription level
I plan to do home insurance in addition to two car insurance at home
")</f>
        <v>Very pleasant telephone service and top subscription level
I plan to do home insurance in addition to two car insurance at home
</v>
      </c>
    </row>
    <row r="720" ht="15.75" customHeight="1">
      <c r="A720" s="2">
        <v>1.0</v>
      </c>
      <c r="B720" s="2" t="s">
        <v>2038</v>
      </c>
      <c r="C720" s="2" t="s">
        <v>2039</v>
      </c>
      <c r="D720" s="2" t="s">
        <v>37</v>
      </c>
      <c r="E720" s="2" t="s">
        <v>27</v>
      </c>
      <c r="F720" s="2" t="s">
        <v>15</v>
      </c>
      <c r="G720" s="2" t="s">
        <v>560</v>
      </c>
      <c r="H720" s="2" t="s">
        <v>336</v>
      </c>
      <c r="I720" s="2" t="str">
        <f>IFERROR(__xludf.DUMMYFUNCTION("GOOGLETRANSLATE(C720,""fr"",""en"")"),"After an attractive starting rate, the annual reference contribution increases sharply each year, or + 15% compared to 2017, and + 44% since 2016 !!!!! despite my 40% bonus I pay more and more! !")</f>
        <v>After an attractive starting rate, the annual reference contribution increases sharply each year, or + 15% compared to 2017, and + 44% since 2016 !!!!! despite my 40% bonus I pay more and more! !</v>
      </c>
    </row>
    <row r="721" ht="15.75" customHeight="1">
      <c r="A721" s="2">
        <v>1.0</v>
      </c>
      <c r="B721" s="2" t="s">
        <v>2040</v>
      </c>
      <c r="C721" s="2" t="s">
        <v>2041</v>
      </c>
      <c r="D721" s="2" t="s">
        <v>254</v>
      </c>
      <c r="E721" s="2" t="s">
        <v>168</v>
      </c>
      <c r="F721" s="2" t="s">
        <v>15</v>
      </c>
      <c r="G721" s="2" t="s">
        <v>2042</v>
      </c>
      <c r="H721" s="2" t="s">
        <v>274</v>
      </c>
      <c r="I721" s="2" t="str">
        <f>IFERROR(__xludf.DUMMYFUNCTION("GOOGLETRANSLATE(C721,""fr"",""en"")"),"I strongly advise against. I had administrative problems, they made me redo the document several by the veterinary because the date was not in the right box, while it was specified with the comment on the treatment with the line below. I sent my request f"&amp;"or termination by mail, they refused to request a recommendé with AR, they received it 1 week after the deadline, efuse and impose me an additional 1 year. On the other hand, there is € 20 systematic deductible for each refund. So very unprofitable. And i"&amp;"n the event of a pepper, the ceilings are low and do not cover all the investments. To flee absolutely!
")</f>
        <v>I strongly advise against. I had administrative problems, they made me redo the document several by the veterinary because the date was not in the right box, while it was specified with the comment on the treatment with the line below. I sent my request for termination by mail, they refused to request a recommendé with AR, they received it 1 week after the deadline, efuse and impose me an additional 1 year. On the other hand, there is € 20 systematic deductible for each refund. So very unprofitable. And in the event of a pepper, the ceilings are low and do not cover all the investments. To flee absolutely!
</v>
      </c>
    </row>
    <row r="722" ht="15.75" customHeight="1">
      <c r="A722" s="2">
        <v>4.0</v>
      </c>
      <c r="B722" s="2" t="s">
        <v>2043</v>
      </c>
      <c r="C722" s="2" t="s">
        <v>2044</v>
      </c>
      <c r="D722" s="2" t="s">
        <v>37</v>
      </c>
      <c r="E722" s="2" t="s">
        <v>27</v>
      </c>
      <c r="F722" s="2" t="s">
        <v>15</v>
      </c>
      <c r="G722" s="2" t="s">
        <v>667</v>
      </c>
      <c r="H722" s="2" t="s">
        <v>112</v>
      </c>
      <c r="I722" s="2" t="str">
        <f>IFERROR(__xludf.DUMMYFUNCTION("GOOGLETRANSLATE(C722,""fr"",""en"")"),"Fast simple and listening advisers and responds correctly to your requests while being polite and giving advice.
My request was quickly processed and well treated")</f>
        <v>Fast simple and listening advisers and responds correctly to your requests while being polite and giving advice.
My request was quickly processed and well treated</v>
      </c>
    </row>
    <row r="723" ht="15.75" customHeight="1">
      <c r="A723" s="2">
        <v>4.0</v>
      </c>
      <c r="B723" s="2" t="s">
        <v>2045</v>
      </c>
      <c r="C723" s="2" t="s">
        <v>2046</v>
      </c>
      <c r="D723" s="2" t="s">
        <v>300</v>
      </c>
      <c r="E723" s="2" t="s">
        <v>27</v>
      </c>
      <c r="F723" s="2" t="s">
        <v>15</v>
      </c>
      <c r="G723" s="2" t="s">
        <v>2047</v>
      </c>
      <c r="H723" s="2" t="s">
        <v>228</v>
      </c>
      <c r="I723" s="2" t="str">
        <f>IFERROR(__xludf.DUMMYFUNCTION("GOOGLETRANSLATE(C723,""fr"",""en"")"),"I am satisfied with the services offered.
Observations:
Insofar as I am in my customer area, it would be well seen that identity/personal information is not/more to be informed ... again, as hereby.
Best regards")</f>
        <v>I am satisfied with the services offered.
Observations:
Insofar as I am in my customer area, it would be well seen that identity/personal information is not/more to be informed ... again, as hereby.
Best regards</v>
      </c>
    </row>
    <row r="724" ht="15.75" customHeight="1">
      <c r="A724" s="2">
        <v>1.0</v>
      </c>
      <c r="B724" s="2" t="s">
        <v>2048</v>
      </c>
      <c r="C724" s="2" t="s">
        <v>2049</v>
      </c>
      <c r="D724" s="2" t="s">
        <v>37</v>
      </c>
      <c r="E724" s="2" t="s">
        <v>27</v>
      </c>
      <c r="F724" s="2" t="s">
        <v>15</v>
      </c>
      <c r="G724" s="2" t="s">
        <v>2050</v>
      </c>
      <c r="H724" s="2" t="s">
        <v>116</v>
      </c>
      <c r="I724" s="2" t="str">
        <f>IFERROR(__xludf.DUMMYFUNCTION("GOOGLETRANSLATE(C724,""fr"",""en"")"),"Ensure and get fired for two non -responsible claims; Why then make sure ""all risks"" so as not to be compensated in proportion to the premiums requested !!! So I will terminate the Direct Assurance and AXA contracts (same group); 7 contracts in play, we"&amp;" will see who will suffer the most !! To the Enreheur ...")</f>
        <v>Ensure and get fired for two non -responsible claims; Why then make sure "all risks" so as not to be compensated in proportion to the premiums requested !!! So I will terminate the Direct Assurance and AXA contracts (same group); 7 contracts in play, we will see who will suffer the most !! To the Enreheur ...</v>
      </c>
    </row>
    <row r="725" ht="15.75" customHeight="1">
      <c r="A725" s="2">
        <v>2.0</v>
      </c>
      <c r="B725" s="2" t="s">
        <v>2051</v>
      </c>
      <c r="C725" s="2" t="s">
        <v>2052</v>
      </c>
      <c r="D725" s="2" t="s">
        <v>355</v>
      </c>
      <c r="E725" s="2" t="s">
        <v>43</v>
      </c>
      <c r="F725" s="2" t="s">
        <v>15</v>
      </c>
      <c r="G725" s="2" t="s">
        <v>2053</v>
      </c>
      <c r="H725" s="2" t="s">
        <v>503</v>
      </c>
      <c r="I725" s="2" t="str">
        <f>IFERROR(__xludf.DUMMYFUNCTION("GOOGLETRANSLATE(C725,""fr"",""en"")"),"Following a water damage February 2020 and and a fire June 2020 I immediately visited the experts .... everything was done in the rules at the start very attentive. Very difficult to lengths on the phone ..... from bla-bla-blas ...... to become crazy !!!!"&amp;"!
In short, you subscribe to insurance and we run in spinning tops !!!!!")</f>
        <v>Following a water damage February 2020 and and a fire June 2020 I immediately visited the experts .... everything was done in the rules at the start very attentive. Very difficult to lengths on the phone ..... from bla-bla-blas ...... to become crazy !!!!!
In short, you subscribe to insurance and we run in spinning tops !!!!!</v>
      </c>
    </row>
    <row r="726" ht="15.75" customHeight="1">
      <c r="A726" s="2">
        <v>2.0</v>
      </c>
      <c r="B726" s="2" t="s">
        <v>2054</v>
      </c>
      <c r="C726" s="2" t="s">
        <v>2055</v>
      </c>
      <c r="D726" s="2" t="s">
        <v>37</v>
      </c>
      <c r="E726" s="2" t="s">
        <v>27</v>
      </c>
      <c r="F726" s="2" t="s">
        <v>15</v>
      </c>
      <c r="G726" s="2" t="s">
        <v>2056</v>
      </c>
      <c r="H726" s="2" t="s">
        <v>365</v>
      </c>
      <c r="I726" s="2" t="str">
        <f>IFERROR(__xludf.DUMMYFUNCTION("GOOGLETRANSLATE(C726,""fr"",""en"")"),"Platform in Morocco
With unpleasant agents do not know their job always repeats the same text")</f>
        <v>Platform in Morocco
With unpleasant agents do not know their job always repeats the same text</v>
      </c>
    </row>
    <row r="727" ht="15.75" customHeight="1">
      <c r="A727" s="2">
        <v>1.0</v>
      </c>
      <c r="B727" s="2" t="s">
        <v>2057</v>
      </c>
      <c r="C727" s="2" t="s">
        <v>2058</v>
      </c>
      <c r="D727" s="2" t="s">
        <v>355</v>
      </c>
      <c r="E727" s="2" t="s">
        <v>43</v>
      </c>
      <c r="F727" s="2" t="s">
        <v>15</v>
      </c>
      <c r="G727" s="2" t="s">
        <v>2059</v>
      </c>
      <c r="H727" s="2" t="s">
        <v>694</v>
      </c>
      <c r="I727" s="2" t="str">
        <f>IFERROR(__xludf.DUMMYFUNCTION("GOOGLETRANSLATE(C727,""fr"",""en"")"),"It has now been 3 months that the termination of my hard home insurance. They continue to make you pay. When you finally get someone on the phone is not to help you. This is because we need your agreement to change your dosssier. But are not able to take "&amp;"care of your real dispute. They accuse you of not having done the necessary and send this or that file or request. While that has been relaunching them for ten times and at no time find the intelligence to inform you of what to do. We have to guess the st"&amp;"eps and cross our fingers. It's been 4 years that I am there already to disgust. And again I'm not talking about car insurance. Once the dispute is finished I close all my contracts and I will see elsewhere.")</f>
        <v>It has now been 3 months that the termination of my hard home insurance. They continue to make you pay. When you finally get someone on the phone is not to help you. This is because we need your agreement to change your dosssier. But are not able to take care of your real dispute. They accuse you of not having done the necessary and send this or that file or request. While that has been relaunching them for ten times and at no time find the intelligence to inform you of what to do. We have to guess the steps and cross our fingers. It's been 4 years that I am there already to disgust. And again I'm not talking about car insurance. Once the dispute is finished I close all my contracts and I will see elsewhere.</v>
      </c>
    </row>
    <row r="728" ht="15.75" customHeight="1">
      <c r="A728" s="2">
        <v>1.0</v>
      </c>
      <c r="B728" s="2" t="s">
        <v>2060</v>
      </c>
      <c r="C728" s="2" t="s">
        <v>2061</v>
      </c>
      <c r="D728" s="2" t="s">
        <v>234</v>
      </c>
      <c r="E728" s="2" t="s">
        <v>21</v>
      </c>
      <c r="F728" s="2" t="s">
        <v>15</v>
      </c>
      <c r="G728" s="2" t="s">
        <v>403</v>
      </c>
      <c r="H728" s="2" t="s">
        <v>174</v>
      </c>
      <c r="I728" s="2" t="str">
        <f>IFERROR(__xludf.DUMMYFUNCTION("GOOGLETRANSLATE(C728,""fr"",""en"")"),"This mutual is unreachable and only responds with automated emails. There is a completely opaque back and forth between Neoliane, Mutua Gestion and Santiane which makes it all extremely complex. No direct relationship, no advice. A bureaucratic universe i"&amp;"n all its splendor and not so advantageous rates as that")</f>
        <v>This mutual is unreachable and only responds with automated emails. There is a completely opaque back and forth between Neoliane, Mutua Gestion and Santiane which makes it all extremely complex. No direct relationship, no advice. A bureaucratic universe in all its splendor and not so advantageous rates as that</v>
      </c>
    </row>
    <row r="729" ht="15.75" customHeight="1">
      <c r="A729" s="2">
        <v>1.0</v>
      </c>
      <c r="B729" s="2" t="s">
        <v>2062</v>
      </c>
      <c r="C729" s="2" t="s">
        <v>2063</v>
      </c>
      <c r="D729" s="2" t="s">
        <v>245</v>
      </c>
      <c r="E729" s="2" t="s">
        <v>120</v>
      </c>
      <c r="F729" s="2" t="s">
        <v>15</v>
      </c>
      <c r="G729" s="2" t="s">
        <v>1985</v>
      </c>
      <c r="H729" s="2" t="s">
        <v>149</v>
      </c>
      <c r="I729" s="2" t="str">
        <f>IFERROR(__xludf.DUMMYFUNCTION("GOOGLETRANSLATE(C729,""fr"",""en"")"),"Deadlines greater than 3 weeks, 10 to 15 days announced")</f>
        <v>Deadlines greater than 3 weeks, 10 to 15 days announced</v>
      </c>
    </row>
    <row r="730" ht="15.75" customHeight="1">
      <c r="A730" s="2">
        <v>5.0</v>
      </c>
      <c r="B730" s="2" t="s">
        <v>2064</v>
      </c>
      <c r="C730" s="2" t="s">
        <v>2065</v>
      </c>
      <c r="D730" s="2" t="s">
        <v>107</v>
      </c>
      <c r="E730" s="2" t="s">
        <v>21</v>
      </c>
      <c r="F730" s="2" t="s">
        <v>15</v>
      </c>
      <c r="G730" s="2" t="s">
        <v>1285</v>
      </c>
      <c r="H730" s="2" t="s">
        <v>228</v>
      </c>
      <c r="I730" s="2" t="str">
        <f>IFERROR(__xludf.DUMMYFUNCTION("GOOGLETRANSLATE(C730,""fr"",""en"")"),"Hello Following my call concerning the services that can be treated with laptop I particularly thank Aminata for informing me in very good manners it was clear net very precise and understanding, thank you, cordially Mr. Cambourg Joseph.")</f>
        <v>Hello Following my call concerning the services that can be treated with laptop I particularly thank Aminata for informing me in very good manners it was clear net very precise and understanding, thank you, cordially Mr. Cambourg Joseph.</v>
      </c>
    </row>
    <row r="731" ht="15.75" customHeight="1">
      <c r="A731" s="2">
        <v>4.0</v>
      </c>
      <c r="B731" s="2" t="s">
        <v>2066</v>
      </c>
      <c r="C731" s="2" t="s">
        <v>2067</v>
      </c>
      <c r="D731" s="2" t="s">
        <v>37</v>
      </c>
      <c r="E731" s="2" t="s">
        <v>27</v>
      </c>
      <c r="F731" s="2" t="s">
        <v>15</v>
      </c>
      <c r="G731" s="2" t="s">
        <v>1685</v>
      </c>
      <c r="H731" s="2" t="s">
        <v>228</v>
      </c>
      <c r="I731" s="2" t="str">
        <f>IFERROR(__xludf.DUMMYFUNCTION("GOOGLETRANSLATE(C731,""fr"",""en"")"),"The information requested is simple and practical for the drafting of the contract, I find it unfortunate that there is not an option on the coverage of goods against the flight by break -in.")</f>
        <v>The information requested is simple and practical for the drafting of the contract, I find it unfortunate that there is not an option on the coverage of goods against the flight by break -in.</v>
      </c>
    </row>
    <row r="732" ht="15.75" customHeight="1">
      <c r="A732" s="2">
        <v>1.0</v>
      </c>
      <c r="B732" s="2" t="s">
        <v>2068</v>
      </c>
      <c r="C732" s="2" t="s">
        <v>2069</v>
      </c>
      <c r="D732" s="2" t="s">
        <v>57</v>
      </c>
      <c r="E732" s="2" t="s">
        <v>43</v>
      </c>
      <c r="F732" s="2" t="s">
        <v>15</v>
      </c>
      <c r="G732" s="2" t="s">
        <v>2070</v>
      </c>
      <c r="H732" s="2" t="s">
        <v>274</v>
      </c>
      <c r="I732" s="2" t="str">
        <f>IFERROR(__xludf.DUMMYFUNCTION("GOOGLETRANSLATE(C732,""fr"",""en"")"),"Service Works of incompetent, it commits low -cost companies to carry out the work Malfaçon result! TO FLEE
Today the problem is still not resolved. In addition, the prices are more than high")</f>
        <v>Service Works of incompetent, it commits low -cost companies to carry out the work Malfaçon result! TO FLEE
Today the problem is still not resolved. In addition, the prices are more than high</v>
      </c>
    </row>
    <row r="733" ht="15.75" customHeight="1">
      <c r="A733" s="2">
        <v>1.0</v>
      </c>
      <c r="B733" s="2" t="s">
        <v>2071</v>
      </c>
      <c r="C733" s="2" t="s">
        <v>2072</v>
      </c>
      <c r="D733" s="2" t="s">
        <v>448</v>
      </c>
      <c r="E733" s="2" t="s">
        <v>43</v>
      </c>
      <c r="F733" s="2" t="s">
        <v>15</v>
      </c>
      <c r="G733" s="2" t="s">
        <v>746</v>
      </c>
      <c r="H733" s="2" t="s">
        <v>285</v>
      </c>
      <c r="I733" s="2" t="str">
        <f>IFERROR(__xludf.DUMMYFUNCTION("GOOGLETRANSLATE(C733,""fr"",""en"")"),"hang up on the nose. Request current telephone recordings for complaint. After a burglary, you must send a quote for the repair of the door (yes I have to leave my door wide open before a robot validated my request!)")</f>
        <v>hang up on the nose. Request current telephone recordings for complaint. After a burglary, you must send a quote for the repair of the door (yes I have to leave my door wide open before a robot validated my request!)</v>
      </c>
    </row>
    <row r="734" ht="15.75" customHeight="1">
      <c r="A734" s="2">
        <v>1.0</v>
      </c>
      <c r="B734" s="2" t="s">
        <v>2073</v>
      </c>
      <c r="C734" s="2" t="s">
        <v>2074</v>
      </c>
      <c r="D734" s="2" t="s">
        <v>37</v>
      </c>
      <c r="E734" s="2" t="s">
        <v>27</v>
      </c>
      <c r="F734" s="2" t="s">
        <v>15</v>
      </c>
      <c r="G734" s="2" t="s">
        <v>651</v>
      </c>
      <c r="H734" s="2" t="s">
        <v>112</v>
      </c>
      <c r="I734" s="2" t="str">
        <f>IFERROR(__xludf.DUMMYFUNCTION("GOOGLETRANSLATE(C734,""fr"",""en"")"),"Price not in accordance with the quote established by Direct Insurance
Not satisfied with the answer provided by the advisor contacted by phone (did not want to put me in contact with his manager)
")</f>
        <v>Price not in accordance with the quote established by Direct Insurance
Not satisfied with the answer provided by the advisor contacted by phone (did not want to put me in contact with his manager)
</v>
      </c>
    </row>
    <row r="735" ht="15.75" customHeight="1">
      <c r="A735" s="2">
        <v>1.0</v>
      </c>
      <c r="B735" s="2" t="s">
        <v>2075</v>
      </c>
      <c r="C735" s="2" t="s">
        <v>2076</v>
      </c>
      <c r="D735" s="2" t="s">
        <v>67</v>
      </c>
      <c r="E735" s="2" t="s">
        <v>68</v>
      </c>
      <c r="F735" s="2" t="s">
        <v>15</v>
      </c>
      <c r="G735" s="2" t="s">
        <v>484</v>
      </c>
      <c r="H735" s="2" t="s">
        <v>188</v>
      </c>
      <c r="I735" s="2" t="str">
        <f>IFERROR(__xludf.DUMMYFUNCTION("GOOGLETRANSLATE(C735,""fr"",""en"")"),"After subscribing a motorcycle contract, I received my provisional insurance for one month by email (no means of fixing the green card on the motorcycle). I sent all the documents necessary for the finalization of my file during the week and no news for 3"&amp;" weeks. So I contacted customer service by phone, which was unable to give me the status of my file. 1 day before the end of the provisional insurance Ety after 3 calls, they inform me that I have never received the supporting documents, while I have conf"&amp;"irmation emails on their part.
Total silence during the provisional period, call on my part for me to inform me that they did not receive the documents, deplorable service.")</f>
        <v>After subscribing a motorcycle contract, I received my provisional insurance for one month by email (no means of fixing the green card on the motorcycle). I sent all the documents necessary for the finalization of my file during the week and no news for 3 weeks. So I contacted customer service by phone, which was unable to give me the status of my file. 1 day before the end of the provisional insurance Ety after 3 calls, they inform me that I have never received the supporting documents, while I have confirmation emails on their part.
Total silence during the provisional period, call on my part for me to inform me that they did not receive the documents, deplorable service.</v>
      </c>
    </row>
    <row r="736" ht="15.75" customHeight="1">
      <c r="A736" s="2">
        <v>1.0</v>
      </c>
      <c r="B736" s="2" t="s">
        <v>2077</v>
      </c>
      <c r="C736" s="2" t="s">
        <v>2078</v>
      </c>
      <c r="D736" s="2" t="s">
        <v>989</v>
      </c>
      <c r="E736" s="2" t="s">
        <v>289</v>
      </c>
      <c r="F736" s="2" t="s">
        <v>15</v>
      </c>
      <c r="G736" s="2" t="s">
        <v>1808</v>
      </c>
      <c r="H736" s="2" t="s">
        <v>29</v>
      </c>
      <c r="I736" s="2" t="str">
        <f>IFERROR(__xludf.DUMMYFUNCTION("GOOGLETRANSLATE(C736,""fr"",""en"")"),"Mail sent on June 15 I await the answer 45 days It is very long: I terminate my contract does not bother to throw the money by the windows all in a care for cancer (GENEPRO provident).
")</f>
        <v>Mail sent on June 15 I await the answer 45 days It is very long: I terminate my contract does not bother to throw the money by the windows all in a care for cancer (GENEPRO provident).
</v>
      </c>
    </row>
    <row r="737" ht="15.75" customHeight="1">
      <c r="A737" s="2">
        <v>2.0</v>
      </c>
      <c r="B737" s="2" t="s">
        <v>2079</v>
      </c>
      <c r="C737" s="2" t="s">
        <v>2080</v>
      </c>
      <c r="D737" s="2" t="s">
        <v>37</v>
      </c>
      <c r="E737" s="2" t="s">
        <v>27</v>
      </c>
      <c r="F737" s="2" t="s">
        <v>15</v>
      </c>
      <c r="G737" s="2" t="s">
        <v>2081</v>
      </c>
      <c r="H737" s="2" t="s">
        <v>503</v>
      </c>
      <c r="I737" s="2" t="str">
        <f>IFERROR(__xludf.DUMMYFUNCTION("GOOGLETRANSLATE(C737,""fr"",""en"")"),"Increase monthly payments without any explanation and no negotiations possible even for me as a good driver with bonus 50%! If the prices increase every year it is really not at all interesting as it seemed to be at first with attractive prices but
which"&amp;" increases from year to very disappointed year")</f>
        <v>Increase monthly payments without any explanation and no negotiations possible even for me as a good driver with bonus 50%! If the prices increase every year it is really not at all interesting as it seemed to be at first with attractive prices but
which increases from year to very disappointed year</v>
      </c>
    </row>
    <row r="738" ht="15.75" customHeight="1">
      <c r="A738" s="2">
        <v>3.0</v>
      </c>
      <c r="B738" s="2" t="s">
        <v>2082</v>
      </c>
      <c r="C738" s="2" t="s">
        <v>2083</v>
      </c>
      <c r="D738" s="2" t="s">
        <v>37</v>
      </c>
      <c r="E738" s="2" t="s">
        <v>27</v>
      </c>
      <c r="F738" s="2" t="s">
        <v>15</v>
      </c>
      <c r="G738" s="2" t="s">
        <v>1301</v>
      </c>
      <c r="H738" s="2" t="s">
        <v>62</v>
      </c>
      <c r="I738" s="2" t="str">
        <f>IFERROR(__xludf.DUMMYFUNCTION("GOOGLETRANSLATE(C738,""fr"",""en"")"),"I am happy with your service, thank you very much for this moment or I must fill a minimum notice of 150 characters I have a lot to tell you so I wish you a great day bizou ++")</f>
        <v>I am happy with your service, thank you very much for this moment or I must fill a minimum notice of 150 characters I have a lot to tell you so I wish you a great day bizou ++</v>
      </c>
    </row>
    <row r="739" ht="15.75" customHeight="1">
      <c r="A739" s="2">
        <v>5.0</v>
      </c>
      <c r="B739" s="2" t="s">
        <v>2084</v>
      </c>
      <c r="C739" s="2" t="s">
        <v>2085</v>
      </c>
      <c r="D739" s="2" t="s">
        <v>37</v>
      </c>
      <c r="E739" s="2" t="s">
        <v>27</v>
      </c>
      <c r="F739" s="2" t="s">
        <v>15</v>
      </c>
      <c r="G739" s="2" t="s">
        <v>1494</v>
      </c>
      <c r="H739" s="2" t="s">
        <v>62</v>
      </c>
      <c r="I739" s="2" t="str">
        <f>IFERROR(__xludf.DUMMYFUNCTION("GOOGLETRANSLATE(C739,""fr"",""en"")"),"Competitive price. I can't wait to check in the long term the qualities of this insurance at the right time when the quality of the insurance service.")</f>
        <v>Competitive price. I can't wait to check in the long term the qualities of this insurance at the right time when the quality of the insurance service.</v>
      </c>
    </row>
    <row r="740" ht="15.75" customHeight="1">
      <c r="A740" s="2">
        <v>3.0</v>
      </c>
      <c r="B740" s="2" t="s">
        <v>2086</v>
      </c>
      <c r="C740" s="2" t="s">
        <v>2087</v>
      </c>
      <c r="D740" s="2" t="s">
        <v>37</v>
      </c>
      <c r="E740" s="2" t="s">
        <v>27</v>
      </c>
      <c r="F740" s="2" t="s">
        <v>15</v>
      </c>
      <c r="G740" s="2" t="s">
        <v>187</v>
      </c>
      <c r="H740" s="2" t="s">
        <v>188</v>
      </c>
      <c r="I740" s="2" t="str">
        <f>IFERROR(__xludf.DUMMYFUNCTION("GOOGLETRANSLATE(C740,""fr"",""en"")"),"Simple and practical it lacks the price to the third party not precisely the rest being already a customer I am satisfied with the service and the relational by such if possible send me a quote to the third party this will allow me to see the difference a"&amp;"nd to decide today")</f>
        <v>Simple and practical it lacks the price to the third party not precisely the rest being already a customer I am satisfied with the service and the relational by such if possible send me a quote to the third party this will allow me to see the difference and to decide today</v>
      </c>
    </row>
    <row r="741" ht="15.75" customHeight="1">
      <c r="A741" s="2">
        <v>3.0</v>
      </c>
      <c r="B741" s="2" t="s">
        <v>2088</v>
      </c>
      <c r="C741" s="2" t="s">
        <v>2089</v>
      </c>
      <c r="D741" s="2" t="s">
        <v>234</v>
      </c>
      <c r="E741" s="2" t="s">
        <v>21</v>
      </c>
      <c r="F741" s="2" t="s">
        <v>15</v>
      </c>
      <c r="G741" s="2" t="s">
        <v>1203</v>
      </c>
      <c r="H741" s="2" t="s">
        <v>80</v>
      </c>
      <c r="I741" s="2" t="str">
        <f>IFERROR(__xludf.DUMMYFUNCTION("GOOGLETRANSLATE(C741,""fr"",""en"")"),"Insured since the beginning of January 2020 departure date abroad, but the VOC19 has arrived and I am always blocked abroad suddenly I will settle in Vietnam for a few years I want to terminate but impossible having not created My space before my departur"&amp;"e and not having the information on my Mutual N how to do it? Of course I cannot be reachable with my Tel France, I contacted the broker who sold me this mutual but I have no answer")</f>
        <v>Insured since the beginning of January 2020 departure date abroad, but the VOC19 has arrived and I am always blocked abroad suddenly I will settle in Vietnam for a few years I want to terminate but impossible having not created My space before my departure and not having the information on my Mutual N how to do it? Of course I cannot be reachable with my Tel France, I contacted the broker who sold me this mutual but I have no answer</v>
      </c>
    </row>
    <row r="742" ht="15.75" customHeight="1">
      <c r="A742" s="2">
        <v>4.0</v>
      </c>
      <c r="B742" s="2" t="s">
        <v>2090</v>
      </c>
      <c r="C742" s="2" t="s">
        <v>2091</v>
      </c>
      <c r="D742" s="2" t="s">
        <v>107</v>
      </c>
      <c r="E742" s="2" t="s">
        <v>21</v>
      </c>
      <c r="F742" s="2" t="s">
        <v>15</v>
      </c>
      <c r="G742" s="2" t="s">
        <v>1672</v>
      </c>
      <c r="H742" s="2" t="s">
        <v>141</v>
      </c>
      <c r="I742" s="2" t="str">
        <f>IFERROR(__xludf.DUMMYFUNCTION("GOOGLETRANSLATE(C742,""fr"",""en"")"),"Hello, thank you to Mr. Labi for having been this morning at my listening to solve my adhesion problem, very friendly and human person, thank you again.")</f>
        <v>Hello, thank you to Mr. Labi for having been this morning at my listening to solve my adhesion problem, very friendly and human person, thank you again.</v>
      </c>
    </row>
    <row r="743" ht="15.75" customHeight="1">
      <c r="A743" s="2">
        <v>1.0</v>
      </c>
      <c r="B743" s="2" t="s">
        <v>2092</v>
      </c>
      <c r="C743" s="2" t="s">
        <v>2093</v>
      </c>
      <c r="D743" s="2" t="s">
        <v>48</v>
      </c>
      <c r="E743" s="2" t="s">
        <v>21</v>
      </c>
      <c r="F743" s="2" t="s">
        <v>15</v>
      </c>
      <c r="G743" s="2" t="s">
        <v>2094</v>
      </c>
      <c r="H743" s="2" t="s">
        <v>336</v>
      </c>
      <c r="I743" s="2" t="str">
        <f>IFERROR(__xludf.DUMMYFUNCTION("GOOGLETRANSLATE(C743,""fr"",""en"")"),"I am an interim, obligation to join the group mutual. I send my termination a mutual harmony accompanied by a health interim certificate stipulating the compulsory nature of membership in complementary health AG2R. I receive an answer after a month saying"&amp;" to me radiation refused incomplete file.")</f>
        <v>I am an interim, obligation to join the group mutual. I send my termination a mutual harmony accompanied by a health interim certificate stipulating the compulsory nature of membership in complementary health AG2R. I receive an answer after a month saying to me radiation refused incomplete file.</v>
      </c>
    </row>
    <row r="744" ht="15.75" customHeight="1">
      <c r="A744" s="2">
        <v>3.0</v>
      </c>
      <c r="B744" s="2" t="s">
        <v>2095</v>
      </c>
      <c r="C744" s="2" t="s">
        <v>2096</v>
      </c>
      <c r="D744" s="2" t="s">
        <v>26</v>
      </c>
      <c r="E744" s="2" t="s">
        <v>27</v>
      </c>
      <c r="F744" s="2" t="s">
        <v>15</v>
      </c>
      <c r="G744" s="2" t="s">
        <v>1118</v>
      </c>
      <c r="H744" s="2" t="s">
        <v>661</v>
      </c>
      <c r="I744" s="2" t="str">
        <f>IFERROR(__xludf.DUMMYFUNCTION("GOOGLETRANSLATE(C744,""fr"",""en"")"),"Hello,
I am a little disappointed by your administrative services because the documents have been sent by mail since October 15 and no return.
It doesn't bode well and I hope to be wrong.")</f>
        <v>Hello,
I am a little disappointed by your administrative services because the documents have been sent by mail since October 15 and no return.
It doesn't bode well and I hope to be wrong.</v>
      </c>
    </row>
    <row r="745" ht="15.75" customHeight="1">
      <c r="A745" s="2">
        <v>2.0</v>
      </c>
      <c r="B745" s="2" t="s">
        <v>2097</v>
      </c>
      <c r="C745" s="2" t="s">
        <v>2098</v>
      </c>
      <c r="D745" s="2" t="s">
        <v>490</v>
      </c>
      <c r="E745" s="2" t="s">
        <v>27</v>
      </c>
      <c r="F745" s="2" t="s">
        <v>15</v>
      </c>
      <c r="G745" s="2" t="s">
        <v>2099</v>
      </c>
      <c r="H745" s="2" t="s">
        <v>222</v>
      </c>
      <c r="I745" s="2" t="str">
        <f>IFERROR(__xludf.DUMMYFUNCTION("GOOGLETRANSLATE(C745,""fr"",""en"")"),"Horrible insurance!
It is unacceptable, a claim declared on January 12, 2019 and we are on November 22, 2019. 2 recommended letters with reception notice were sent unanswered. Unable to contact them by phone. They just have you when you have a problem. I"&amp;"nsurance to flee immediately I assure you. It is a lack of total professionalism on their part.")</f>
        <v>Horrible insurance!
It is unacceptable, a claim declared on January 12, 2019 and we are on November 22, 2019. 2 recommended letters with reception notice were sent unanswered. Unable to contact them by phone. They just have you when you have a problem. Insurance to flee immediately I assure you. It is a lack of total professionalism on their part.</v>
      </c>
    </row>
    <row r="746" ht="15.75" customHeight="1">
      <c r="A746" s="2">
        <v>4.0</v>
      </c>
      <c r="B746" s="2" t="s">
        <v>2100</v>
      </c>
      <c r="C746" s="2" t="s">
        <v>2101</v>
      </c>
      <c r="D746" s="2" t="s">
        <v>26</v>
      </c>
      <c r="E746" s="2" t="s">
        <v>27</v>
      </c>
      <c r="F746" s="2" t="s">
        <v>15</v>
      </c>
      <c r="G746" s="2" t="s">
        <v>58</v>
      </c>
      <c r="H746" s="2" t="s">
        <v>23</v>
      </c>
      <c r="I746" s="2" t="str">
        <f>IFERROR(__xludf.DUMMYFUNCTION("GOOGLETRANSLATE(C746,""fr"",""en"")"),"I am satisfied with the service, the advisor I had on the phone was very clear and patient. The explanations given were not superfluous. The answers to the various questions I had were clear and precise.")</f>
        <v>I am satisfied with the service, the advisor I had on the phone was very clear and patient. The explanations given were not superfluous. The answers to the various questions I had were clear and precise.</v>
      </c>
    </row>
    <row r="747" ht="15.75" customHeight="1">
      <c r="A747" s="2">
        <v>5.0</v>
      </c>
      <c r="B747" s="2" t="s">
        <v>2102</v>
      </c>
      <c r="C747" s="2" t="s">
        <v>2103</v>
      </c>
      <c r="D747" s="2" t="s">
        <v>300</v>
      </c>
      <c r="E747" s="2" t="s">
        <v>27</v>
      </c>
      <c r="F747" s="2" t="s">
        <v>15</v>
      </c>
      <c r="G747" s="2" t="s">
        <v>251</v>
      </c>
      <c r="H747" s="2" t="s">
        <v>23</v>
      </c>
      <c r="I747" s="2" t="str">
        <f>IFERROR(__xludf.DUMMYFUNCTION("GOOGLETRANSLATE(C747,""fr"",""en"")"),"Reasonable prices, a reactive and human service ... One word; Cheer !
A satisfied customer is a client who advertises you, that's what I am :-)")</f>
        <v>Reasonable prices, a reactive and human service ... One word; Cheer !
A satisfied customer is a client who advertises you, that's what I am :-)</v>
      </c>
    </row>
    <row r="748" ht="15.75" customHeight="1">
      <c r="A748" s="2">
        <v>4.0</v>
      </c>
      <c r="B748" s="2" t="s">
        <v>2104</v>
      </c>
      <c r="C748" s="2" t="s">
        <v>2105</v>
      </c>
      <c r="D748" s="2" t="s">
        <v>234</v>
      </c>
      <c r="E748" s="2" t="s">
        <v>21</v>
      </c>
      <c r="F748" s="2" t="s">
        <v>15</v>
      </c>
      <c r="G748" s="2" t="s">
        <v>2106</v>
      </c>
      <c r="H748" s="2" t="s">
        <v>592</v>
      </c>
      <c r="I748" s="2" t="str">
        <f>IFERROR(__xludf.DUMMYFUNCTION("GOOGLETRANSLATE(C748,""fr"",""en"")"),"Contact with Zackary very good pleasant and precise and apparently effective.")</f>
        <v>Contact with Zackary very good pleasant and precise and apparently effective.</v>
      </c>
    </row>
    <row r="749" ht="15.75" customHeight="1">
      <c r="A749" s="2">
        <v>1.0</v>
      </c>
      <c r="B749" s="2" t="s">
        <v>2107</v>
      </c>
      <c r="C749" s="2" t="s">
        <v>2108</v>
      </c>
      <c r="D749" s="2" t="s">
        <v>48</v>
      </c>
      <c r="E749" s="2" t="s">
        <v>21</v>
      </c>
      <c r="F749" s="2" t="s">
        <v>15</v>
      </c>
      <c r="G749" s="2" t="s">
        <v>1203</v>
      </c>
      <c r="H749" s="2" t="s">
        <v>80</v>
      </c>
      <c r="I749" s="2" t="str">
        <f>IFERROR(__xludf.DUMMYFUNCTION("GOOGLETRANSLATE(C749,""fr"",""en"")"),"In 2020 it is still necessary to wait to receive the documents by post when an urgent operation is scheduled, while a simple email would save time for everyone and would be much more ecological.")</f>
        <v>In 2020 it is still necessary to wait to receive the documents by post when an urgent operation is scheduled, while a simple email would save time for everyone and would be much more ecological.</v>
      </c>
    </row>
    <row r="750" ht="15.75" customHeight="1">
      <c r="A750" s="2">
        <v>4.0</v>
      </c>
      <c r="B750" s="2" t="s">
        <v>2109</v>
      </c>
      <c r="C750" s="2" t="s">
        <v>2110</v>
      </c>
      <c r="D750" s="2" t="s">
        <v>26</v>
      </c>
      <c r="E750" s="2" t="s">
        <v>27</v>
      </c>
      <c r="F750" s="2" t="s">
        <v>15</v>
      </c>
      <c r="G750" s="2" t="s">
        <v>965</v>
      </c>
      <c r="H750" s="2" t="s">
        <v>62</v>
      </c>
      <c r="I750" s="2" t="str">
        <f>IFERROR(__xludf.DUMMYFUNCTION("GOOGLETRANSLATE(C750,""fr"",""en"")"),"I am satisfied with the service The prices suit me simple and practical competitive price compared to other insurance very well informed by phone")</f>
        <v>I am satisfied with the service The prices suit me simple and practical competitive price compared to other insurance very well informed by phone</v>
      </c>
    </row>
    <row r="751" ht="15.75" customHeight="1">
      <c r="A751" s="2">
        <v>2.0</v>
      </c>
      <c r="B751" s="2" t="s">
        <v>2111</v>
      </c>
      <c r="C751" s="2" t="s">
        <v>2112</v>
      </c>
      <c r="D751" s="2" t="s">
        <v>217</v>
      </c>
      <c r="E751" s="2" t="s">
        <v>27</v>
      </c>
      <c r="F751" s="2" t="s">
        <v>15</v>
      </c>
      <c r="G751" s="2" t="s">
        <v>2113</v>
      </c>
      <c r="H751" s="2" t="s">
        <v>54</v>
      </c>
      <c r="I751" s="2" t="str">
        <f>IFERROR(__xludf.DUMMYFUNCTION("GOOGLETRANSLATE(C751,""fr"",""en"")"),"Incompetent staff
Insurance very well from the moment there is no claim
I have had a car flight for 3 months when the contract stipulates well 30 days after we receive the regulations nothing to date and without reason. obliged to bring them to justice.")</f>
        <v>Incompetent staff
Insurance very well from the moment there is no claim
I have had a car flight for 3 months when the contract stipulates well 30 days after we receive the regulations nothing to date and without reason. obliged to bring them to justice.</v>
      </c>
    </row>
    <row r="752" ht="15.75" customHeight="1">
      <c r="A752" s="2">
        <v>1.0</v>
      </c>
      <c r="B752" s="2" t="s">
        <v>2114</v>
      </c>
      <c r="C752" s="2" t="s">
        <v>2115</v>
      </c>
      <c r="D752" s="2" t="s">
        <v>880</v>
      </c>
      <c r="E752" s="2" t="s">
        <v>289</v>
      </c>
      <c r="F752" s="2" t="s">
        <v>15</v>
      </c>
      <c r="G752" s="2" t="s">
        <v>2116</v>
      </c>
      <c r="H752" s="2" t="s">
        <v>54</v>
      </c>
      <c r="I752" s="2" t="str">
        <f>IFERROR(__xludf.DUMMYFUNCTION("GOOGLETRANSLATE(C752,""fr"",""en"")"),"Following a canvassing at my home, the advisor analyzes your capacity to contribute to the enrichment of Generali, then he unplods his argument by making you aware of the risk incurred in the event of loss of income or death. Scary. As a result, you subsc"&amp;"ribe to very expensive services. Example, Generali Protection Life with Optima Relais and Conjoitn Protection: your money loses looking almost 10% per 1st year. Fortunately, the insurance code provides for a period of 30 days to give it up")</f>
        <v>Following a canvassing at my home, the advisor analyzes your capacity to contribute to the enrichment of Generali, then he unplods his argument by making you aware of the risk incurred in the event of loss of income or death. Scary. As a result, you subscribe to very expensive services. Example, Generali Protection Life with Optima Relais and Conjoitn Protection: your money loses looking almost 10% per 1st year. Fortunately, the insurance code provides for a period of 30 days to give it up</v>
      </c>
    </row>
    <row r="753" ht="15.75" customHeight="1">
      <c r="A753" s="2">
        <v>5.0</v>
      </c>
      <c r="B753" s="2" t="s">
        <v>2117</v>
      </c>
      <c r="C753" s="2" t="s">
        <v>2118</v>
      </c>
      <c r="D753" s="2" t="s">
        <v>26</v>
      </c>
      <c r="E753" s="2" t="s">
        <v>27</v>
      </c>
      <c r="F753" s="2" t="s">
        <v>15</v>
      </c>
      <c r="G753" s="2" t="s">
        <v>2119</v>
      </c>
      <c r="H753" s="2" t="s">
        <v>630</v>
      </c>
      <c r="I753" s="2" t="str">
        <f>IFERROR(__xludf.DUMMYFUNCTION("GOOGLETRANSLATE(C753,""fr"",""en"")"),"Insurance with exceptional value for money. Listening and responsive, I changed for the price but I can confirm that they are, in addition, much more serious than the other large insurances")</f>
        <v>Insurance with exceptional value for money. Listening and responsive, I changed for the price but I can confirm that they are, in addition, much more serious than the other large insurances</v>
      </c>
    </row>
    <row r="754" ht="15.75" customHeight="1">
      <c r="A754" s="2">
        <v>4.0</v>
      </c>
      <c r="B754" s="2" t="s">
        <v>2120</v>
      </c>
      <c r="C754" s="2" t="s">
        <v>2121</v>
      </c>
      <c r="D754" s="2" t="s">
        <v>32</v>
      </c>
      <c r="E754" s="2" t="s">
        <v>21</v>
      </c>
      <c r="F754" s="2" t="s">
        <v>15</v>
      </c>
      <c r="G754" s="2" t="s">
        <v>33</v>
      </c>
      <c r="H754" s="2" t="s">
        <v>34</v>
      </c>
      <c r="I754" s="2" t="str">
        <f>IFERROR(__xludf.DUMMYFUNCTION("GOOGLETRANSLATE(C754,""fr"",""en"")"),"Professional mutual which offers suitable guarantees. Very advantageous for institutions, and as for the prices I find them honest but only they offer what it takes.")</f>
        <v>Professional mutual which offers suitable guarantees. Very advantageous for institutions, and as for the prices I find them honest but only they offer what it takes.</v>
      </c>
    </row>
    <row r="755" ht="15.75" customHeight="1">
      <c r="A755" s="2">
        <v>1.0</v>
      </c>
      <c r="B755" s="2" t="s">
        <v>2122</v>
      </c>
      <c r="C755" s="2" t="s">
        <v>2123</v>
      </c>
      <c r="D755" s="2" t="s">
        <v>99</v>
      </c>
      <c r="E755" s="2" t="s">
        <v>27</v>
      </c>
      <c r="F755" s="2" t="s">
        <v>15</v>
      </c>
      <c r="G755" s="2" t="s">
        <v>2124</v>
      </c>
      <c r="H755" s="2" t="s">
        <v>258</v>
      </c>
      <c r="I755" s="2" t="str">
        <f>IFERROR(__xludf.DUMMYFUNCTION("GOOGLETRANSLATE(C755,""fr"",""en"")"),"Victim of a non -responsible disaster in parking, a small stripe on my door handle, inability of the Allianz group and the Alliance Expert group to accompany me correctly in the settlement of this claim which led after three months of ""galley"" to reques"&amp;"t the closing of the claim without my vehicle being repaired.")</f>
        <v>Victim of a non -responsible disaster in parking, a small stripe on my door handle, inability of the Allianz group and the Alliance Expert group to accompany me correctly in the settlement of this claim which led after three months of "galley" to request the closing of the claim without my vehicle being repaired.</v>
      </c>
    </row>
    <row r="756" ht="15.75" customHeight="1">
      <c r="A756" s="2">
        <v>4.0</v>
      </c>
      <c r="B756" s="2" t="s">
        <v>2125</v>
      </c>
      <c r="C756" s="2" t="s">
        <v>2126</v>
      </c>
      <c r="D756" s="2" t="s">
        <v>37</v>
      </c>
      <c r="E756" s="2" t="s">
        <v>27</v>
      </c>
      <c r="F756" s="2" t="s">
        <v>15</v>
      </c>
      <c r="G756" s="2" t="s">
        <v>2127</v>
      </c>
      <c r="H756" s="2" t="s">
        <v>34</v>
      </c>
      <c r="I756" s="2" t="str">
        <f>IFERROR(__xludf.DUMMYFUNCTION("GOOGLETRANSLATE(C756,""fr"",""en"")"),"I find unacceptable the increase of more than 6% sent at the end of October 2020 to my wife when we know that the French have hardly driven in 2020.
I specify that there was no claim.")</f>
        <v>I find unacceptable the increase of more than 6% sent at the end of October 2020 to my wife when we know that the French have hardly driven in 2020.
I specify that there was no claim.</v>
      </c>
    </row>
    <row r="757" ht="15.75" customHeight="1">
      <c r="A757" s="2">
        <v>4.0</v>
      </c>
      <c r="B757" s="2" t="s">
        <v>2128</v>
      </c>
      <c r="C757" s="2" t="s">
        <v>2129</v>
      </c>
      <c r="D757" s="2" t="s">
        <v>194</v>
      </c>
      <c r="E757" s="2" t="s">
        <v>14</v>
      </c>
      <c r="F757" s="2" t="s">
        <v>15</v>
      </c>
      <c r="G757" s="2" t="s">
        <v>1790</v>
      </c>
      <c r="H757" s="2" t="s">
        <v>134</v>
      </c>
      <c r="I757" s="2" t="str">
        <f>IFERROR(__xludf.DUMMYFUNCTION("GOOGLETRANSLATE(C757,""fr"",""en"")"),"I am satisfied this service the price suits me. I opted for a formula that is adapted to me. I recommend Zen Up to those around me, hoping that they too are satisfied.")</f>
        <v>I am satisfied this service the price suits me. I opted for a formula that is adapted to me. I recommend Zen Up to those around me, hoping that they too are satisfied.</v>
      </c>
    </row>
    <row r="758" ht="15.75" customHeight="1">
      <c r="A758" s="2">
        <v>4.0</v>
      </c>
      <c r="B758" s="2" t="s">
        <v>2130</v>
      </c>
      <c r="C758" s="2" t="s">
        <v>2131</v>
      </c>
      <c r="D758" s="2" t="s">
        <v>234</v>
      </c>
      <c r="E758" s="2" t="s">
        <v>21</v>
      </c>
      <c r="F758" s="2" t="s">
        <v>15</v>
      </c>
      <c r="G758" s="2" t="s">
        <v>1803</v>
      </c>
      <c r="H758" s="2" t="s">
        <v>112</v>
      </c>
      <c r="I758" s="2" t="str">
        <f>IFERROR(__xludf.DUMMYFUNCTION("GOOGLETRANSLATE(C758,""fr"",""en"")"),"Hello, the insurer who informed me was very courteous, he informed me very well and guided throughout my request. Very professional and I thank him.")</f>
        <v>Hello, the insurer who informed me was very courteous, he informed me very well and guided throughout my request. Very professional and I thank him.</v>
      </c>
    </row>
    <row r="759" ht="15.75" customHeight="1">
      <c r="A759" s="2">
        <v>2.0</v>
      </c>
      <c r="B759" s="2" t="s">
        <v>2132</v>
      </c>
      <c r="C759" s="2" t="s">
        <v>2133</v>
      </c>
      <c r="D759" s="2" t="s">
        <v>37</v>
      </c>
      <c r="E759" s="2" t="s">
        <v>27</v>
      </c>
      <c r="F759" s="2" t="s">
        <v>15</v>
      </c>
      <c r="G759" s="2" t="s">
        <v>1260</v>
      </c>
      <c r="H759" s="2" t="s">
        <v>29</v>
      </c>
      <c r="I759" s="2" t="str">
        <f>IFERROR(__xludf.DUMMYFUNCTION("GOOGLETRANSLATE(C759,""fr"",""en"")"),"Quite simple with clear options. A choice of means to pay more or less according to our needs.
Vehicle protection or rather passengers and other priorities.")</f>
        <v>Quite simple with clear options. A choice of means to pay more or less according to our needs.
Vehicle protection or rather passengers and other priorities.</v>
      </c>
    </row>
    <row r="760" ht="15.75" customHeight="1">
      <c r="A760" s="2">
        <v>4.0</v>
      </c>
      <c r="B760" s="2" t="s">
        <v>2134</v>
      </c>
      <c r="C760" s="2" t="s">
        <v>2135</v>
      </c>
      <c r="D760" s="2" t="s">
        <v>300</v>
      </c>
      <c r="E760" s="2" t="s">
        <v>27</v>
      </c>
      <c r="F760" s="2" t="s">
        <v>15</v>
      </c>
      <c r="G760" s="2" t="s">
        <v>361</v>
      </c>
      <c r="H760" s="2" t="s">
        <v>62</v>
      </c>
      <c r="I760" s="2" t="str">
        <f>IFERROR(__xludf.DUMMYFUNCTION("GOOGLETRANSLATE(C760,""fr"",""en"")"),"I am satisfied with my insurance which in general meets my needs well and quickly. The prices are correct and competitive. I do not plan to change insurance in the coming months.")</f>
        <v>I am satisfied with my insurance which in general meets my needs well and quickly. The prices are correct and competitive. I do not plan to change insurance in the coming months.</v>
      </c>
    </row>
    <row r="761" ht="15.75" customHeight="1">
      <c r="A761" s="2">
        <v>1.0</v>
      </c>
      <c r="B761" s="2" t="s">
        <v>2136</v>
      </c>
      <c r="C761" s="2" t="s">
        <v>2137</v>
      </c>
      <c r="D761" s="2" t="s">
        <v>13</v>
      </c>
      <c r="E761" s="2" t="s">
        <v>14</v>
      </c>
      <c r="F761" s="2" t="s">
        <v>15</v>
      </c>
      <c r="G761" s="2" t="s">
        <v>2138</v>
      </c>
      <c r="H761" s="2" t="s">
        <v>874</v>
      </c>
      <c r="I761" s="2" t="str">
        <f>IFERROR(__xludf.DUMMYFUNCTION("GOOGLETRANSLATE(C761,""fr"",""en"")"),"We closed our home loan in April 2017, sending the termination mail with AR in September and since no news. We were forced to block the sample. To date, still no news ... Mail sent via the site and we do not intend to sit on 400 euros
Is there really a c"&amp;"ustomer service?")</f>
        <v>We closed our home loan in April 2017, sending the termination mail with AR in September and since no news. We were forced to block the sample. To date, still no news ... Mail sent via the site and we do not intend to sit on 400 euros
Is there really a customer service?</v>
      </c>
    </row>
    <row r="762" ht="15.75" customHeight="1">
      <c r="A762" s="2">
        <v>1.0</v>
      </c>
      <c r="B762" s="2" t="s">
        <v>2139</v>
      </c>
      <c r="C762" s="2" t="s">
        <v>2140</v>
      </c>
      <c r="D762" s="2" t="s">
        <v>48</v>
      </c>
      <c r="E762" s="2" t="s">
        <v>21</v>
      </c>
      <c r="F762" s="2" t="s">
        <v>15</v>
      </c>
      <c r="G762" s="2" t="s">
        <v>2141</v>
      </c>
      <c r="H762" s="2" t="s">
        <v>222</v>
      </c>
      <c r="I762" s="2" t="str">
        <f>IFERROR(__xludf.DUMMYFUNCTION("GOOGLETRANSLATE(C762,""fr"",""en"")"),"We are on 30/11/2019, hospitalized from 07/27/2019 to 31/07/2019, the daily costs covered by my health contract are still not paid to the Metz hospital. Harmonie Mutuelle tells me that care is sent to the hospital, the latter tells me that he has received"&amp;" nothing. After my ndth call with harmony, I asked them to send me this care by email so that I transmit it to the hospital. Thus, the latter could no longer tell me that he had not received it. I have been waiting for more than a week for this care which"&amp;" was to arrive by email. I call harmony again, they tell me that the document in question had to be discharged before sending by email; It takes time and they don't know when this email shipment will take place. Except that my invoice from the hospital ha"&amp;"s moved into litigation, the public accountant will exercise a forced recovery by entering my bank account without counting bank charges that this opposition to third party holder by the public accountant. This is not the first time that this mutual has p"&amp;"ut me in this kind of situation.")</f>
        <v>We are on 30/11/2019, hospitalized from 07/27/2019 to 31/07/2019, the daily costs covered by my health contract are still not paid to the Metz hospital. Harmonie Mutuelle tells me that care is sent to the hospital, the latter tells me that he has received nothing. After my ndth call with harmony, I asked them to send me this care by email so that I transmit it to the hospital. Thus, the latter could no longer tell me that he had not received it. I have been waiting for more than a week for this care which was to arrive by email. I call harmony again, they tell me that the document in question had to be discharged before sending by email; It takes time and they don't know when this email shipment will take place. Except that my invoice from the hospital has moved into litigation, the public accountant will exercise a forced recovery by entering my bank account without counting bank charges that this opposition to third party holder by the public accountant. This is not the first time that this mutual has put me in this kind of situation.</v>
      </c>
    </row>
    <row r="763" ht="15.75" customHeight="1">
      <c r="A763" s="2">
        <v>1.0</v>
      </c>
      <c r="B763" s="2" t="s">
        <v>2142</v>
      </c>
      <c r="C763" s="2" t="s">
        <v>2143</v>
      </c>
      <c r="D763" s="2" t="s">
        <v>490</v>
      </c>
      <c r="E763" s="2" t="s">
        <v>27</v>
      </c>
      <c r="F763" s="2" t="s">
        <v>15</v>
      </c>
      <c r="G763" s="2" t="s">
        <v>2144</v>
      </c>
      <c r="H763" s="2" t="s">
        <v>592</v>
      </c>
      <c r="I763" s="2" t="str">
        <f>IFERROR(__xludf.DUMMYFUNCTION("GOOGLETRANSLATE(C763,""fr"",""en"")"),"I made myself vandalize my car the August fourteen of this anne my car was recognized by an expert economically irreparable because there was too much repair he expertise my car three miles three hundred euros I have ceded my car on October two The Matmut"&amp;" The scrap dealer came to recover at my place by starting it to get it on the truck and now I still pay attention to my car and he maintains me that the oil pump of my car was HS out of the car is driving and that it A zero seeing light on the dashboards "&amp;"still to their today and now my file has just changed service so since the month of August I am Pieton and I still have not been compensated for my disaster as long as you have no sinister It's great if there is a sinister good luck")</f>
        <v>I made myself vandalize my car the August fourteen of this anne my car was recognized by an expert economically irreparable because there was too much repair he expertise my car three miles three hundred euros I have ceded my car on October two The Matmut The scrap dealer came to recover at my place by starting it to get it on the truck and now I still pay attention to my car and he maintains me that the oil pump of my car was HS out of the car is driving and that it A zero seeing light on the dashboards still to their today and now my file has just changed service so since the month of August I am Pieton and I still have not been compensated for my disaster as long as you have no sinister It's great if there is a sinister good luck</v>
      </c>
    </row>
    <row r="764" ht="15.75" customHeight="1">
      <c r="A764" s="2">
        <v>4.0</v>
      </c>
      <c r="B764" s="2" t="s">
        <v>2145</v>
      </c>
      <c r="C764" s="2" t="s">
        <v>2146</v>
      </c>
      <c r="D764" s="2" t="s">
        <v>26</v>
      </c>
      <c r="E764" s="2" t="s">
        <v>27</v>
      </c>
      <c r="F764" s="2" t="s">
        <v>15</v>
      </c>
      <c r="G764" s="2" t="s">
        <v>582</v>
      </c>
      <c r="H764" s="2" t="s">
        <v>88</v>
      </c>
      <c r="I764" s="2" t="str">
        <f>IFERROR(__xludf.DUMMYFUNCTION("GOOGLETRANSLATE(C764,""fr"",""en"")"),"I am satisfied with the service, the prices suit me. Simple and efficient.
Happy to be part of your customers.
I hope this will continue during this year.")</f>
        <v>I am satisfied with the service, the prices suit me. Simple and efficient.
Happy to be part of your customers.
I hope this will continue during this year.</v>
      </c>
    </row>
    <row r="765" ht="15.75" customHeight="1">
      <c r="A765" s="2">
        <v>1.0</v>
      </c>
      <c r="B765" s="2" t="s">
        <v>2147</v>
      </c>
      <c r="C765" s="2" t="s">
        <v>2148</v>
      </c>
      <c r="D765" s="2" t="s">
        <v>37</v>
      </c>
      <c r="E765" s="2" t="s">
        <v>27</v>
      </c>
      <c r="F765" s="2" t="s">
        <v>15</v>
      </c>
      <c r="G765" s="2" t="s">
        <v>2149</v>
      </c>
      <c r="H765" s="2" t="s">
        <v>206</v>
      </c>
      <c r="I765" s="2" t="str">
        <f>IFERROR(__xludf.DUMMYFUNCTION("GOOGLETRANSLATE(C765,""fr"",""en"")"),"Hello insured since 2014 being misfortune by entering the price was rather suitable 3 years passed without any disaster with my vehicle except breakfast insurance did not stop increasing every year despite the penalty that has transformed As a bonus I end"&amp;"ed up changing vehicles and insurance formula passing from a maximum tier at all risk + tranquility pack
3 months of insurance and there no chance a loss responsible then there the battle begins I was towed by the assistance which offers me an approved g"&amp;"arage which I accept telling me that it could only benefit the management of my sinister
But there is nothing my car has been in the garage for 11 days soon and I have no progress on my file I had to call myself everywhere so that my file advances and ob"&amp;"tain on my own by dint of 'Calls and emails to the expert to obtain an expertise appointment The Direct Insurance Sinister Council running in circles telling me that I would have a loan car by the garage but by calling the garage no loan car Possible and "&amp;"they confirm to me that they had well warned insurance on this point I keep making back and forth garage-essence-expertise without obtaining anything the sinister service does not even know my file I must say each call to say that I have the tranquility p"&amp;"ack but worse than that I am confirmed at the beginning of the disaster that I would be compensated up to 30 euros per day for a car rental which I had to find myself again and now we said 10 euros per day and see for a possibility Ilité of 30 euros per d"&amp;"ay I think I dream my contract any risk only has the name not the more conditions I do not find normal to have to call to advance my file
The expert was not even aware that there must be an expertise on my vehicle during my last call I had to make an app"&amp;"ointment myself the sinister management does not know anything at all the advice tells me to make an appointment Garage to take the expertise photo of my vehicle and the envoy to the expert Le Garage also was very taken aback to say
 It's the world upsid"&amp;"e down I may have to do the expertise myself too, right?
Finally to date I have neither my car nor a loan car I had to rent a car 11 days for an amount of 621 euros! Who will never be reimbursed to me according to my disaster advisor Ah what good advice "&amp;"when I try to have a solutions to go to work I am reminding me that I am 100% responsible and that basically bah I had only to have accident except that without accident the insurance would be useless
I am horribly disappointed and dissatisfied with dire"&amp;"ct insurance it is certain that this experience convinced me not to stay there and not to recommend that those around me to subscribe to them when all goes well the money is removed but when it comes to have a service there there is no one left")</f>
        <v>Hello insured since 2014 being misfortune by entering the price was rather suitable 3 years passed without any disaster with my vehicle except breakfast insurance did not stop increasing every year despite the penalty that has transformed As a bonus I ended up changing vehicles and insurance formula passing from a maximum tier at all risk + tranquility pack
3 months of insurance and there no chance a loss responsible then there the battle begins I was towed by the assistance which offers me an approved garage which I accept telling me that it could only benefit the management of my sinister
But there is nothing my car has been in the garage for 11 days soon and I have no progress on my file I had to call myself everywhere so that my file advances and obtain on my own by dint of 'Calls and emails to the expert to obtain an expertise appointment The Direct Insurance Sinister Council running in circles telling me that I would have a loan car by the garage but by calling the garage no loan car Possible and they confirm to me that they had well warned insurance on this point I keep making back and forth garage-essence-expertise without obtaining anything the sinister service does not even know my file I must say each call to say that I have the tranquility pack but worse than that I am confirmed at the beginning of the disaster that I would be compensated up to 30 euros per day for a car rental which I had to find myself again and now we said 10 euros per day and see for a possibility Ilité of 30 euros per day I think I dream my contract any risk only has the name not the more conditions I do not find normal to have to call to advance my file
The expert was not even aware that there must be an expertise on my vehicle during my last call I had to make an appointment myself the sinister management does not know anything at all the advice tells me to make an appointment Garage to take the expertise photo of my vehicle and the envoy to the expert Le Garage also was very taken aback to say
 It's the world upside down I may have to do the expertise myself too, right?
Finally to date I have neither my car nor a loan car I had to rent a car 11 days for an amount of 621 euros! Who will never be reimbursed to me according to my disaster advisor Ah what good advice when I try to have a solutions to go to work I am reminding me that I am 100% responsible and that basically bah I had only to have accident except that without accident the insurance would be useless
I am horribly disappointed and dissatisfied with direct insurance it is certain that this experience convinced me not to stay there and not to recommend that those around me to subscribe to them when all goes well the money is removed but when it comes to have a service there there is no one left</v>
      </c>
    </row>
    <row r="766" ht="15.75" customHeight="1">
      <c r="A766" s="2">
        <v>1.0</v>
      </c>
      <c r="B766" s="2" t="s">
        <v>2150</v>
      </c>
      <c r="C766" s="2" t="s">
        <v>2151</v>
      </c>
      <c r="D766" s="2" t="s">
        <v>99</v>
      </c>
      <c r="E766" s="2" t="s">
        <v>27</v>
      </c>
      <c r="F766" s="2" t="s">
        <v>15</v>
      </c>
      <c r="G766" s="2" t="s">
        <v>399</v>
      </c>
      <c r="H766" s="2" t="s">
        <v>29</v>
      </c>
      <c r="I766" s="2" t="str">
        <f>IFERROR(__xludf.DUMMYFUNCTION("GOOGLETRANSLATE(C766,""fr"",""en"")"),"To flee, does not answer phone or emails. Unable to send a schedule, reclaims payments corresponding in any way. I was at All Secur without worries and since the merger in early 2021, it is impossible to join anyone!")</f>
        <v>To flee, does not answer phone or emails. Unable to send a schedule, reclaims payments corresponding in any way. I was at All Secur without worries and since the merger in early 2021, it is impossible to join anyone!</v>
      </c>
    </row>
    <row r="767" ht="15.75" customHeight="1">
      <c r="A767" s="2">
        <v>2.0</v>
      </c>
      <c r="B767" s="2" t="s">
        <v>2152</v>
      </c>
      <c r="C767" s="2" t="s">
        <v>2153</v>
      </c>
      <c r="D767" s="2" t="s">
        <v>264</v>
      </c>
      <c r="E767" s="2" t="s">
        <v>27</v>
      </c>
      <c r="F767" s="2" t="s">
        <v>15</v>
      </c>
      <c r="G767" s="2" t="s">
        <v>560</v>
      </c>
      <c r="H767" s="2" t="s">
        <v>336</v>
      </c>
      <c r="I767" s="2" t="str">
        <f>IFERROR(__xludf.DUMMYFUNCTION("GOOGLETRANSLATE(C767,""fr"",""en"")"),"Hello,
I would like to share with you a return of negative experience with Active Insurance. I opened a file with them to ensure a mini Cooper, and they made me an attractive offer at 200 €. They immediately debited my account and asked me to provide t"&amp;"hem with the necessary documents. After several exchanges of emails, they only lacked the information statement that I provided to them.
This statement did not suit them, even if it covered the requested legal period. After two weeks, I asked for my reim"&amp;"bursement, cannot complete the insurance file. Without response from them, I returned a request by copying the Furet.com which served as an intermediary in a file. They finally agreed to reimburse me for half of the sum after two months, but by taking hal"&amp;"f the amount for file fees ... Avoid these insurance if you do not return to the criteria.
The subtraction of the day:
Deposit: € 202.90
Refund: 107.60 €
")</f>
        <v>Hello,
I would like to share with you a return of negative experience with Active Insurance. I opened a file with them to ensure a mini Cooper, and they made me an attractive offer at 200 €. They immediately debited my account and asked me to provide them with the necessary documents. After several exchanges of emails, they only lacked the information statement that I provided to them.
This statement did not suit them, even if it covered the requested legal period. After two weeks, I asked for my reimbursement, cannot complete the insurance file. Without response from them, I returned a request by copying the Furet.com which served as an intermediary in a file. They finally agreed to reimburse me for half of the sum after two months, but by taking half the amount for file fees ... Avoid these insurance if you do not return to the criteria.
The subtraction of the day:
Deposit: € 202.90
Refund: 107.60 €
</v>
      </c>
    </row>
    <row r="768" ht="15.75" customHeight="1">
      <c r="A768" s="2">
        <v>3.0</v>
      </c>
      <c r="B768" s="2" t="s">
        <v>2154</v>
      </c>
      <c r="C768" s="2" t="s">
        <v>2155</v>
      </c>
      <c r="D768" s="2" t="s">
        <v>234</v>
      </c>
      <c r="E768" s="2" t="s">
        <v>21</v>
      </c>
      <c r="F768" s="2" t="s">
        <v>15</v>
      </c>
      <c r="G768" s="2" t="s">
        <v>2156</v>
      </c>
      <c r="H768" s="2" t="s">
        <v>840</v>
      </c>
      <c r="I768" s="2" t="str">
        <f>IFERROR(__xludf.DUMMYFUNCTION("GOOGLETRANSLATE(C768,""fr"",""en"")"),"Hello, I had a telephone process on Tuesday 21st 2020; the person told me that according to the new reform and believing that it was a state organization I gave my bank details that I regret bitterly Because when reflecting in the evening and after phonin"&amp;"g my mutual that told me that I could cancel because I am very well covered, from ONC on Wednesday I recalled the person I had on Tuesday asking him to cancel him The contract if there is because I have been asked to send them the code so that a broker ca"&amp;"n sign in my place that I did not do and despite everything the person told me that it is already in lessons and that I cannot cancel it but normally for a contract we are entitled to reflect and I told them that I would like to retract because I do not n"&amp;"eed new insurance but despite everything the person tells me that I can't do anything about it because it's already in class you find it normal you! Waiting for a response from you thank you in advance")</f>
        <v>Hello, I had a telephone process on Tuesday 21st 2020; the person told me that according to the new reform and believing that it was a state organization I gave my bank details that I regret bitterly Because when reflecting in the evening and after phoning my mutual that told me that I could cancel because I am very well covered, from ONC on Wednesday I recalled the person I had on Tuesday asking him to cancel him The contract if there is because I have been asked to send them the code so that a broker can sign in my place that I did not do and despite everything the person told me that it is already in lessons and that I cannot cancel it but normally for a contract we are entitled to reflect and I told them that I would like to retract because I do not need new insurance but despite everything the person tells me that I can't do anything about it because it's already in class you find it normal you! Waiting for a response from you thank you in advance</v>
      </c>
    </row>
    <row r="769" ht="15.75" customHeight="1">
      <c r="A769" s="2">
        <v>5.0</v>
      </c>
      <c r="B769" s="2" t="s">
        <v>2157</v>
      </c>
      <c r="C769" s="2" t="s">
        <v>2158</v>
      </c>
      <c r="D769" s="2" t="s">
        <v>368</v>
      </c>
      <c r="E769" s="2" t="s">
        <v>68</v>
      </c>
      <c r="F769" s="2" t="s">
        <v>15</v>
      </c>
      <c r="G769" s="2" t="s">
        <v>2159</v>
      </c>
      <c r="H769" s="2" t="s">
        <v>88</v>
      </c>
      <c r="I769" s="2" t="str">
        <f>IFERROR(__xludf.DUMMYFUNCTION("GOOGLETRANSLATE(C769,""fr"",""en"")"),"Ease of payment . Very advantageous levels rate. Super easy filling back. Ensure at the minute. Price defying all competitions. I highly recommend")</f>
        <v>Ease of payment . Very advantageous levels rate. Super easy filling back. Ensure at the minute. Price defying all competitions. I highly recommend</v>
      </c>
    </row>
    <row r="770" ht="15.75" customHeight="1">
      <c r="A770" s="2">
        <v>5.0</v>
      </c>
      <c r="B770" s="2" t="s">
        <v>2160</v>
      </c>
      <c r="C770" s="2" t="s">
        <v>2161</v>
      </c>
      <c r="D770" s="2" t="s">
        <v>26</v>
      </c>
      <c r="E770" s="2" t="s">
        <v>27</v>
      </c>
      <c r="F770" s="2" t="s">
        <v>15</v>
      </c>
      <c r="G770" s="2" t="s">
        <v>406</v>
      </c>
      <c r="H770" s="2" t="s">
        <v>29</v>
      </c>
      <c r="I770" s="2" t="str">
        <f>IFERROR(__xludf.DUMMYFUNCTION("GOOGLETRANSLATE(C770,""fr"",""en"")"),"Very good telephonic contact, rapidity and simplicity by hoping that in the event of a problem this will remain identical, but no worries !!! Hoping for a good collaboration")</f>
        <v>Very good telephonic contact, rapidity and simplicity by hoping that in the event of a problem this will remain identical, but no worries !!! Hoping for a good collaboration</v>
      </c>
    </row>
    <row r="771" ht="15.75" customHeight="1">
      <c r="A771" s="2">
        <v>1.0</v>
      </c>
      <c r="B771" s="2" t="s">
        <v>2162</v>
      </c>
      <c r="C771" s="2" t="s">
        <v>2163</v>
      </c>
      <c r="D771" s="2" t="s">
        <v>368</v>
      </c>
      <c r="E771" s="2" t="s">
        <v>68</v>
      </c>
      <c r="F771" s="2" t="s">
        <v>15</v>
      </c>
      <c r="G771" s="2" t="s">
        <v>61</v>
      </c>
      <c r="H771" s="2" t="s">
        <v>62</v>
      </c>
      <c r="I771" s="2" t="str">
        <f>IFERROR(__xludf.DUMMYFUNCTION("GOOGLETRANSLATE(C771,""fr"",""en"")"),"Super fast insurance for procedures and subscription. But once you have a disaster, nothing. Almost 3 months of waiting to be able to repair my motorcycle when it was parked and the fault has signed the amicable observation. Each time they tell me we had "&amp;"no return from the other insurer. In the meantime they have offered me anything, when I can no longer use my motorcycle")</f>
        <v>Super fast insurance for procedures and subscription. But once you have a disaster, nothing. Almost 3 months of waiting to be able to repair my motorcycle when it was parked and the fault has signed the amicable observation. Each time they tell me we had no return from the other insurer. In the meantime they have offered me anything, when I can no longer use my motorcycle</v>
      </c>
    </row>
    <row r="772" ht="15.75" customHeight="1">
      <c r="A772" s="2">
        <v>4.0</v>
      </c>
      <c r="B772" s="2" t="s">
        <v>2164</v>
      </c>
      <c r="C772" s="2" t="s">
        <v>2165</v>
      </c>
      <c r="D772" s="2" t="s">
        <v>26</v>
      </c>
      <c r="E772" s="2" t="s">
        <v>27</v>
      </c>
      <c r="F772" s="2" t="s">
        <v>15</v>
      </c>
      <c r="G772" s="2" t="s">
        <v>2166</v>
      </c>
      <c r="H772" s="2" t="s">
        <v>112</v>
      </c>
      <c r="I772" s="2" t="str">
        <f>IFERROR(__xludf.DUMMYFUNCTION("GOOGLETRANSLATE(C772,""fr"",""en"")"),"The telephone reception was perfect, the very kind people and the prices are better than elsewhere for the same guarantees, I highly recommend!")</f>
        <v>The telephone reception was perfect, the very kind people and the prices are better than elsewhere for the same guarantees, I highly recommend!</v>
      </c>
    </row>
    <row r="773" ht="15.75" customHeight="1">
      <c r="A773" s="2">
        <v>4.0</v>
      </c>
      <c r="B773" s="2" t="s">
        <v>2167</v>
      </c>
      <c r="C773" s="2" t="s">
        <v>2168</v>
      </c>
      <c r="D773" s="2" t="s">
        <v>37</v>
      </c>
      <c r="E773" s="2" t="s">
        <v>27</v>
      </c>
      <c r="F773" s="2" t="s">
        <v>15</v>
      </c>
      <c r="G773" s="2" t="s">
        <v>848</v>
      </c>
      <c r="H773" s="2" t="s">
        <v>134</v>
      </c>
      <c r="I773" s="2" t="str">
        <f>IFERROR(__xludf.DUMMYFUNCTION("GOOGLETRANSLATE(C773,""fr"",""en"")"),"I am sastified from the service and wait until you can accompany me with my RC on the physical damage that we have suffered. Following the assault and our immobilization our stay. Because we think we are still 2 months old on site")</f>
        <v>I am sastified from the service and wait until you can accompany me with my RC on the physical damage that we have suffered. Following the assault and our immobilization our stay. Because we think we are still 2 months old on site</v>
      </c>
    </row>
    <row r="774" ht="15.75" customHeight="1">
      <c r="A774" s="2">
        <v>4.0</v>
      </c>
      <c r="B774" s="2" t="s">
        <v>2169</v>
      </c>
      <c r="C774" s="2" t="s">
        <v>2170</v>
      </c>
      <c r="D774" s="2" t="s">
        <v>300</v>
      </c>
      <c r="E774" s="2" t="s">
        <v>27</v>
      </c>
      <c r="F774" s="2" t="s">
        <v>15</v>
      </c>
      <c r="G774" s="2" t="s">
        <v>2171</v>
      </c>
      <c r="H774" s="2" t="s">
        <v>29</v>
      </c>
      <c r="I774" s="2" t="str">
        <f>IFERROR(__xludf.DUMMYFUNCTION("GOOGLETRANSLATE(C774,""fr"",""en"")"),"I am satisfied with the GMF, nothing to report at the rate level, conscientious insurance, no problem, even at the level of your assistance which works well in the required times. Ras")</f>
        <v>I am satisfied with the GMF, nothing to report at the rate level, conscientious insurance, no problem, even at the level of your assistance which works well in the required times. Ras</v>
      </c>
    </row>
    <row r="775" ht="15.75" customHeight="1">
      <c r="A775" s="2">
        <v>4.0</v>
      </c>
      <c r="B775" s="2" t="s">
        <v>2172</v>
      </c>
      <c r="C775" s="2" t="s">
        <v>2173</v>
      </c>
      <c r="D775" s="2" t="s">
        <v>37</v>
      </c>
      <c r="E775" s="2" t="s">
        <v>27</v>
      </c>
      <c r="F775" s="2" t="s">
        <v>15</v>
      </c>
      <c r="G775" s="2" t="s">
        <v>2174</v>
      </c>
      <c r="H775" s="2" t="s">
        <v>188</v>
      </c>
      <c r="I775" s="2" t="str">
        <f>IFERROR(__xludf.DUMMYFUNCTION("GOOGLETRANSLATE(C775,""fr"",""en"")"),"The service satisfies me at the moment. I hope my case allow me to make sure here. The price seems correct, affordable. Which is pleasant.")</f>
        <v>The service satisfies me at the moment. I hope my case allow me to make sure here. The price seems correct, affordable. Which is pleasant.</v>
      </c>
    </row>
    <row r="776" ht="15.75" customHeight="1">
      <c r="A776" s="2">
        <v>2.0</v>
      </c>
      <c r="B776" s="2" t="s">
        <v>2175</v>
      </c>
      <c r="C776" s="2" t="s">
        <v>2176</v>
      </c>
      <c r="D776" s="2" t="s">
        <v>264</v>
      </c>
      <c r="E776" s="2" t="s">
        <v>27</v>
      </c>
      <c r="F776" s="2" t="s">
        <v>15</v>
      </c>
      <c r="G776" s="2" t="s">
        <v>2177</v>
      </c>
      <c r="H776" s="2" t="s">
        <v>116</v>
      </c>
      <c r="I776" s="2" t="str">
        <f>IFERROR(__xludf.DUMMYFUNCTION("GOOGLETRANSLATE(C776,""fr"",""en"")"),"After providing my documents 4 times I still have no receipt my green card. My emails remain unanswered and the telephone service is to be flee. I am very disappointed with their behavior. For the subscription I was harassed by the advisers on the other h"&amp;"and once the first payment made radio silence")</f>
        <v>After providing my documents 4 times I still have no receipt my green card. My emails remain unanswered and the telephone service is to be flee. I am very disappointed with their behavior. For the subscription I was harassed by the advisers on the other hand once the first payment made radio silence</v>
      </c>
    </row>
    <row r="777" ht="15.75" customHeight="1">
      <c r="A777" s="2">
        <v>2.0</v>
      </c>
      <c r="B777" s="2" t="s">
        <v>2178</v>
      </c>
      <c r="C777" s="2" t="s">
        <v>2179</v>
      </c>
      <c r="D777" s="2" t="s">
        <v>264</v>
      </c>
      <c r="E777" s="2" t="s">
        <v>27</v>
      </c>
      <c r="F777" s="2" t="s">
        <v>15</v>
      </c>
      <c r="G777" s="2" t="s">
        <v>2180</v>
      </c>
      <c r="H777" s="2" t="s">
        <v>121</v>
      </c>
      <c r="I777" s="2" t="str">
        <f>IFERROR(__xludf.DUMMYFUNCTION("GOOGLETRANSLATE(C777,""fr"",""en"")"),"Unbearable customer service, difficult to go right to the goal in our request the person at the other end makes the parrot and stupidly recites his prompter.")</f>
        <v>Unbearable customer service, difficult to go right to the goal in our request the person at the other end makes the parrot and stupidly recites his prompter.</v>
      </c>
    </row>
    <row r="778" ht="15.75" customHeight="1">
      <c r="A778" s="2">
        <v>4.0</v>
      </c>
      <c r="B778" s="2" t="s">
        <v>2181</v>
      </c>
      <c r="C778" s="2" t="s">
        <v>2182</v>
      </c>
      <c r="D778" s="2" t="s">
        <v>37</v>
      </c>
      <c r="E778" s="2" t="s">
        <v>27</v>
      </c>
      <c r="F778" s="2" t="s">
        <v>15</v>
      </c>
      <c r="G778" s="2" t="s">
        <v>1403</v>
      </c>
      <c r="H778" s="2" t="s">
        <v>29</v>
      </c>
      <c r="I778" s="2" t="str">
        <f>IFERROR(__xludf.DUMMYFUNCTION("GOOGLETRANSLATE(C778,""fr"",""en"")"),"Satisfied with the online quote - Communication advisor is very good
 To make a decision on the prices.
The most would have been insurance at km ...............
Maybe in the future")</f>
        <v>Satisfied with the online quote - Communication advisor is very good
 To make a decision on the prices.
The most would have been insurance at km ...............
Maybe in the future</v>
      </c>
    </row>
    <row r="779" ht="15.75" customHeight="1">
      <c r="A779" s="2">
        <v>1.0</v>
      </c>
      <c r="B779" s="2" t="s">
        <v>2183</v>
      </c>
      <c r="C779" s="2" t="s">
        <v>2184</v>
      </c>
      <c r="D779" s="2" t="s">
        <v>99</v>
      </c>
      <c r="E779" s="2" t="s">
        <v>27</v>
      </c>
      <c r="F779" s="2" t="s">
        <v>15</v>
      </c>
      <c r="G779" s="2" t="s">
        <v>2185</v>
      </c>
      <c r="H779" s="2" t="s">
        <v>170</v>
      </c>
      <c r="I779" s="2" t="str">
        <f>IFERROR(__xludf.DUMMYFUNCTION("GOOGLETRANSLATE(C779,""fr"",""en"")"),"I am very very disappointed with this insurance for a little shock without gravity we withdraw from the bonus to Gogo and we allow ourselves to tell us we will take 5 years to recover all this where are you going?
")</f>
        <v>I am very very disappointed with this insurance for a little shock without gravity we withdraw from the bonus to Gogo and we allow ourselves to tell us we will take 5 years to recover all this where are you going?
</v>
      </c>
    </row>
    <row r="780" ht="15.75" customHeight="1">
      <c r="A780" s="2">
        <v>3.0</v>
      </c>
      <c r="B780" s="2" t="s">
        <v>2186</v>
      </c>
      <c r="C780" s="2" t="s">
        <v>2187</v>
      </c>
      <c r="D780" s="2" t="s">
        <v>26</v>
      </c>
      <c r="E780" s="2" t="s">
        <v>27</v>
      </c>
      <c r="F780" s="2" t="s">
        <v>15</v>
      </c>
      <c r="G780" s="2" t="s">
        <v>2188</v>
      </c>
      <c r="H780" s="2" t="s">
        <v>62</v>
      </c>
      <c r="I780" s="2" t="str">
        <f>IFERROR(__xludf.DUMMYFUNCTION("GOOGLETRANSLATE(C780,""fr"",""en"")"),"Always too expensive insurance :-), but otherwise I find it really practical I did everything by phone, my brother my sponsored and I am not disappointed at the moment.")</f>
        <v>Always too expensive insurance :-), but otherwise I find it really practical I did everything by phone, my brother my sponsored and I am not disappointed at the moment.</v>
      </c>
    </row>
    <row r="781" ht="15.75" customHeight="1">
      <c r="A781" s="2">
        <v>2.0</v>
      </c>
      <c r="B781" s="2" t="s">
        <v>2189</v>
      </c>
      <c r="C781" s="2" t="s">
        <v>2190</v>
      </c>
      <c r="D781" s="2" t="s">
        <v>234</v>
      </c>
      <c r="E781" s="2" t="s">
        <v>21</v>
      </c>
      <c r="F781" s="2" t="s">
        <v>15</v>
      </c>
      <c r="G781" s="2" t="s">
        <v>38</v>
      </c>
      <c r="H781" s="2" t="s">
        <v>39</v>
      </c>
      <c r="I781" s="2" t="str">
        <f>IFERROR(__xludf.DUMMYFUNCTION("GOOGLETRANSLATE(C781,""fr"",""en"")"),"No response to emails no serious follow -up, reimbursements that are long overdue. A phone line that is difficult to reach. Difficult for seniors!")</f>
        <v>No response to emails no serious follow -up, reimbursements that are long overdue. A phone line that is difficult to reach. Difficult for seniors!</v>
      </c>
    </row>
    <row r="782" ht="15.75" customHeight="1">
      <c r="A782" s="2">
        <v>2.0</v>
      </c>
      <c r="B782" s="2" t="s">
        <v>2191</v>
      </c>
      <c r="C782" s="2" t="s">
        <v>2192</v>
      </c>
      <c r="D782" s="2" t="s">
        <v>217</v>
      </c>
      <c r="E782" s="2" t="s">
        <v>43</v>
      </c>
      <c r="F782" s="2" t="s">
        <v>15</v>
      </c>
      <c r="G782" s="2" t="s">
        <v>623</v>
      </c>
      <c r="H782" s="2" t="s">
        <v>88</v>
      </c>
      <c r="I782" s="2" t="str">
        <f>IFERROR(__xludf.DUMMYFUNCTION("GOOGLETRANSLATE(C782,""fr"",""en"")"),"Insured for my 18 years at the Macif, they refused to ensure the property I inherited from my grandparents (former mill) yet covered with a direct competitor for several decades and without the presence of dispute (sinister) in their archives. After multi"&amp;"ple telephone appointments and a physical maintenance I had to restart them by phone to get their answer, not very professional.")</f>
        <v>Insured for my 18 years at the Macif, they refused to ensure the property I inherited from my grandparents (former mill) yet covered with a direct competitor for several decades and without the presence of dispute (sinister) in their archives. After multiple telephone appointments and a physical maintenance I had to restart them by phone to get their answer, not very professional.</v>
      </c>
    </row>
    <row r="783" ht="15.75" customHeight="1">
      <c r="A783" s="2">
        <v>3.0</v>
      </c>
      <c r="B783" s="2" t="s">
        <v>2193</v>
      </c>
      <c r="C783" s="2" t="s">
        <v>2194</v>
      </c>
      <c r="D783" s="2" t="s">
        <v>437</v>
      </c>
      <c r="E783" s="2" t="s">
        <v>43</v>
      </c>
      <c r="F783" s="2" t="s">
        <v>15</v>
      </c>
      <c r="G783" s="2" t="s">
        <v>173</v>
      </c>
      <c r="H783" s="2" t="s">
        <v>174</v>
      </c>
      <c r="I783" s="2" t="str">
        <f>IFERROR(__xludf.DUMMYFUNCTION("GOOGLETRANSLATE(C783,""fr"",""en"")"),"Poor monitoring of the Coral 3000 contract - Annual bonus 765 euros for furniture capital 175,000 euros which should have arrested the client charge during the declaration of a loud tv lighter at 50 euros .... Besides, no refund for this claim -")</f>
        <v>Poor monitoring of the Coral 3000 contract - Annual bonus 765 euros for furniture capital 175,000 euros which should have arrested the client charge during the declaration of a loud tv lighter at 50 euros .... Besides, no refund for this claim -</v>
      </c>
    </row>
    <row r="784" ht="15.75" customHeight="1">
      <c r="A784" s="2">
        <v>5.0</v>
      </c>
      <c r="B784" s="2" t="s">
        <v>2195</v>
      </c>
      <c r="C784" s="2" t="s">
        <v>2196</v>
      </c>
      <c r="D784" s="2" t="s">
        <v>26</v>
      </c>
      <c r="E784" s="2" t="s">
        <v>27</v>
      </c>
      <c r="F784" s="2" t="s">
        <v>15</v>
      </c>
      <c r="G784" s="2" t="s">
        <v>61</v>
      </c>
      <c r="H784" s="2" t="s">
        <v>62</v>
      </c>
      <c r="I784" s="2" t="str">
        <f>IFERROR(__xludf.DUMMYFUNCTION("GOOGLETRANSLATE(C784,""fr"",""en"")"),"Registration is easy, correct prices. My previous car was insured at home and I was quickly compensated, the people who took care of my file was listening to me. Thanks to them. I leave confident at home.")</f>
        <v>Registration is easy, correct prices. My previous car was insured at home and I was quickly compensated, the people who took care of my file was listening to me. Thanks to them. I leave confident at home.</v>
      </c>
    </row>
    <row r="785" ht="15.75" customHeight="1">
      <c r="A785" s="2">
        <v>3.0</v>
      </c>
      <c r="B785" s="2" t="s">
        <v>2197</v>
      </c>
      <c r="C785" s="2" t="s">
        <v>2198</v>
      </c>
      <c r="D785" s="2" t="s">
        <v>37</v>
      </c>
      <c r="E785" s="2" t="s">
        <v>27</v>
      </c>
      <c r="F785" s="2" t="s">
        <v>15</v>
      </c>
      <c r="G785" s="2" t="s">
        <v>261</v>
      </c>
      <c r="H785" s="2" t="s">
        <v>23</v>
      </c>
      <c r="I785" s="2" t="str">
        <f>IFERROR(__xludf.DUMMYFUNCTION("GOOGLETRANSLATE(C785,""fr"",""en"")"),"Very well, good contact with the customer advisor, available, attentive, good advice, sympathetic, and I just arrive at the 150 characters obliged.")</f>
        <v>Very well, good contact with the customer advisor, available, attentive, good advice, sympathetic, and I just arrive at the 150 characters obliged.</v>
      </c>
    </row>
    <row r="786" ht="15.75" customHeight="1">
      <c r="A786" s="2">
        <v>2.0</v>
      </c>
      <c r="B786" s="2" t="s">
        <v>2199</v>
      </c>
      <c r="C786" s="2" t="s">
        <v>2200</v>
      </c>
      <c r="D786" s="2" t="s">
        <v>26</v>
      </c>
      <c r="E786" s="2" t="s">
        <v>27</v>
      </c>
      <c r="F786" s="2" t="s">
        <v>15</v>
      </c>
      <c r="G786" s="2" t="s">
        <v>2201</v>
      </c>
      <c r="H786" s="2" t="s">
        <v>345</v>
      </c>
      <c r="I786" s="2" t="str">
        <f>IFERROR(__xludf.DUMMYFUNCTION("GOOGLETRANSLATE(C786,""fr"",""en"")"),"I do not recommend this insurance, I had a disaster while I was a pedestrian door open by positioning my son on the siege a car strikes the door. Once I have sent the observation I receive an email qualifying me responsible for the disaster after contesti"&amp;"ng I have never received a response from their sans and that for two months !!")</f>
        <v>I do not recommend this insurance, I had a disaster while I was a pedestrian door open by positioning my son on the siege a car strikes the door. Once I have sent the observation I receive an email qualifying me responsible for the disaster after contesting I have never received a response from their sans and that for two months !!</v>
      </c>
    </row>
    <row r="787" ht="15.75" customHeight="1">
      <c r="A787" s="2">
        <v>2.0</v>
      </c>
      <c r="B787" s="2" t="s">
        <v>2202</v>
      </c>
      <c r="C787" s="2" t="s">
        <v>2203</v>
      </c>
      <c r="D787" s="2" t="s">
        <v>300</v>
      </c>
      <c r="E787" s="2" t="s">
        <v>27</v>
      </c>
      <c r="F787" s="2" t="s">
        <v>15</v>
      </c>
      <c r="G787" s="2" t="s">
        <v>2204</v>
      </c>
      <c r="H787" s="2" t="s">
        <v>258</v>
      </c>
      <c r="I787" s="2" t="str">
        <f>IFERROR(__xludf.DUMMYFUNCTION("GOOGLETRANSLATE(C787,""fr"",""en"")"),"Despite all the years that I did with GMF I was terminated for a reason independent of my will because I had sat all my insurance at GMF and my payments were affected anyway: I paid for the Auto insurance they allocated it to health insurance and terminat"&amp;"ed my car insurance and force me to pay in one my car insurance which is impossible for me in my current financial situation")</f>
        <v>Despite all the years that I did with GMF I was terminated for a reason independent of my will because I had sat all my insurance at GMF and my payments were affected anyway: I paid for the Auto insurance they allocated it to health insurance and terminated my car insurance and force me to pay in one my car insurance which is impossible for me in my current financial situation</v>
      </c>
    </row>
    <row r="788" ht="15.75" customHeight="1">
      <c r="A788" s="2">
        <v>3.0</v>
      </c>
      <c r="B788" s="2" t="s">
        <v>2205</v>
      </c>
      <c r="C788" s="2" t="s">
        <v>2206</v>
      </c>
      <c r="D788" s="2" t="s">
        <v>283</v>
      </c>
      <c r="E788" s="2" t="s">
        <v>14</v>
      </c>
      <c r="F788" s="2" t="s">
        <v>15</v>
      </c>
      <c r="G788" s="2" t="s">
        <v>2207</v>
      </c>
      <c r="H788" s="2" t="s">
        <v>141</v>
      </c>
      <c r="I788" s="2" t="str">
        <f>IFERROR(__xludf.DUMMYFUNCTION("GOOGLETRANSLATE(C788,""fr"",""en"")"),"Caci insurer based in Ireland, to avoid because if you go through the LCL and you take the CACI borrower insurance coupled with your loan and you have an accident with permanent consequences, not only should you be able to make the declaration Even follow"&amp;"ing a severe head trauma with committed vital prognosis and then when you manage to survive and you manage to declare, no compensation or support for your loan, visit one of their doctor who without studying the file and in 20 minutes in full covid, decid"&amp;"es that you are consolidated and healed while you are recognized by more than 80%, that you can no longer drive, no longer work and get out of your home. WELL DONE")</f>
        <v>Caci insurer based in Ireland, to avoid because if you go through the LCL and you take the CACI borrower insurance coupled with your loan and you have an accident with permanent consequences, not only should you be able to make the declaration Even following a severe head trauma with committed vital prognosis and then when you manage to survive and you manage to declare, no compensation or support for your loan, visit one of their doctor who without studying the file and in 20 minutes in full covid, decides that you are consolidated and healed while you are recognized by more than 80%, that you can no longer drive, no longer work and get out of your home. WELL DONE</v>
      </c>
    </row>
    <row r="789" ht="15.75" customHeight="1">
      <c r="A789" s="2">
        <v>1.0</v>
      </c>
      <c r="B789" s="2" t="s">
        <v>2208</v>
      </c>
      <c r="C789" s="2" t="s">
        <v>2209</v>
      </c>
      <c r="D789" s="2" t="s">
        <v>37</v>
      </c>
      <c r="E789" s="2" t="s">
        <v>27</v>
      </c>
      <c r="F789" s="2" t="s">
        <v>15</v>
      </c>
      <c r="G789" s="2" t="s">
        <v>2210</v>
      </c>
      <c r="H789" s="2" t="s">
        <v>206</v>
      </c>
      <c r="I789" s="2" t="str">
        <f>IFERROR(__xludf.DUMMYFUNCTION("GOOGLETRANSLATE(C789,""fr"",""en"")"),"Very very bad a problem following a person who made a hs car flight offense and then this was a bazard not possible on 2000 e of expenses I was reimbursed just 180 th even with a depot of complaint nothing he has even had to pay the towing and yet I paid "&amp;"near 80th per month for a laguna")</f>
        <v>Very very bad a problem following a person who made a hs car flight offense and then this was a bazard not possible on 2000 e of expenses I was reimbursed just 180 th even with a depot of complaint nothing he has even had to pay the towing and yet I paid near 80th per month for a laguna</v>
      </c>
    </row>
    <row r="790" ht="15.75" customHeight="1">
      <c r="A790" s="2">
        <v>5.0</v>
      </c>
      <c r="B790" s="2" t="s">
        <v>2211</v>
      </c>
      <c r="C790" s="2" t="s">
        <v>2212</v>
      </c>
      <c r="D790" s="2" t="s">
        <v>67</v>
      </c>
      <c r="E790" s="2" t="s">
        <v>68</v>
      </c>
      <c r="F790" s="2" t="s">
        <v>15</v>
      </c>
      <c r="G790" s="2" t="s">
        <v>88</v>
      </c>
      <c r="H790" s="2" t="s">
        <v>88</v>
      </c>
      <c r="I790" s="2" t="str">
        <f>IFERROR(__xludf.DUMMYFUNCTION("GOOGLETRANSLATE(C790,""fr"",""en"")"),"I debate with you so see if I am satisfied in time and especially thank you to my dealer the beautiful motorcycles in Nice for recommending you")</f>
        <v>I debate with you so see if I am satisfied in time and especially thank you to my dealer the beautiful motorcycles in Nice for recommending you</v>
      </c>
    </row>
    <row r="791" ht="15.75" customHeight="1">
      <c r="A791" s="2">
        <v>3.0</v>
      </c>
      <c r="B791" s="2" t="s">
        <v>2213</v>
      </c>
      <c r="C791" s="2" t="s">
        <v>2214</v>
      </c>
      <c r="D791" s="2" t="s">
        <v>448</v>
      </c>
      <c r="E791" s="2" t="s">
        <v>27</v>
      </c>
      <c r="F791" s="2" t="s">
        <v>15</v>
      </c>
      <c r="G791" s="2" t="s">
        <v>974</v>
      </c>
      <c r="H791" s="2" t="s">
        <v>88</v>
      </c>
      <c r="I791" s="2" t="str">
        <f>IFERROR(__xludf.DUMMYFUNCTION("GOOGLETRANSLATE(C791,""fr"",""en"")"),"There is nothing to do, it is more the maaf that I prefer. In insurance contracts, there is always a bone ... I was ""pushed"" at the exit of a roundabout, despite the respect of Highway code in these ALACON crossroads, I have recovered all the responsibi"&amp;"lity, so now it's up to enter and go out.")</f>
        <v>There is nothing to do, it is more the maaf that I prefer. In insurance contracts, there is always a bone ... I was "pushed" at the exit of a roundabout, despite the respect of Highway code in these ALACON crossroads, I have recovered all the responsibility, so now it's up to enter and go out.</v>
      </c>
    </row>
    <row r="792" ht="15.75" customHeight="1">
      <c r="A792" s="2">
        <v>5.0</v>
      </c>
      <c r="B792" s="2" t="s">
        <v>2215</v>
      </c>
      <c r="C792" s="2" t="s">
        <v>2216</v>
      </c>
      <c r="D792" s="2" t="s">
        <v>37</v>
      </c>
      <c r="E792" s="2" t="s">
        <v>27</v>
      </c>
      <c r="F792" s="2" t="s">
        <v>15</v>
      </c>
      <c r="G792" s="2" t="s">
        <v>1790</v>
      </c>
      <c r="H792" s="2" t="s">
        <v>134</v>
      </c>
      <c r="I792" s="2" t="str">
        <f>IFERROR(__xludf.DUMMYFUNCTION("GOOGLETRANSLATE(C792,""fr"",""en"")"),"First registration. It's easy to understand and fill. We are well directed between the various requests. The prices are detailed.
Simple and practical")</f>
        <v>First registration. It's easy to understand and fill. We are well directed between the various requests. The prices are detailed.
Simple and practical</v>
      </c>
    </row>
    <row r="793" ht="15.75" customHeight="1">
      <c r="A793" s="2">
        <v>1.0</v>
      </c>
      <c r="B793" s="2" t="s">
        <v>2217</v>
      </c>
      <c r="C793" s="2" t="s">
        <v>2218</v>
      </c>
      <c r="D793" s="2" t="s">
        <v>448</v>
      </c>
      <c r="E793" s="2" t="s">
        <v>27</v>
      </c>
      <c r="F793" s="2" t="s">
        <v>15</v>
      </c>
      <c r="G793" s="2" t="s">
        <v>336</v>
      </c>
      <c r="H793" s="2" t="s">
        <v>336</v>
      </c>
      <c r="I793" s="2" t="str">
        <f>IFERROR(__xludf.DUMMYFUNCTION("GOOGLETRANSLATE(C793,""fr"",""en"")"),"At Maaf everything is fine, as long as everything is fine ... You must not have a self -problem and call Maaf Assistance, because in my case, 5 days after the request, the vehicle is still not towed .... And I count on my feet for my trips.")</f>
        <v>At Maaf everything is fine, as long as everything is fine ... You must not have a self -problem and call Maaf Assistance, because in my case, 5 days after the request, the vehicle is still not towed .... And I count on my feet for my trips.</v>
      </c>
    </row>
    <row r="794" ht="15.75" customHeight="1">
      <c r="A794" s="2">
        <v>3.0</v>
      </c>
      <c r="B794" s="2" t="s">
        <v>2219</v>
      </c>
      <c r="C794" s="2" t="s">
        <v>2220</v>
      </c>
      <c r="D794" s="2" t="s">
        <v>368</v>
      </c>
      <c r="E794" s="2" t="s">
        <v>68</v>
      </c>
      <c r="F794" s="2" t="s">
        <v>15</v>
      </c>
      <c r="G794" s="2" t="s">
        <v>2221</v>
      </c>
      <c r="H794" s="2" t="s">
        <v>84</v>
      </c>
      <c r="I794" s="2" t="str">
        <f>IFERROR(__xludf.DUMMYFUNCTION("GOOGLETRANSLATE(C794,""fr"",""en"")"),"Raissed on 05/12/2017: A car changes file without a flashing light sees me panic gets back in the original queue (the one I was therefore) battery: frontal shock 110km/h (no fracture nor Fortunately serious bruises!) On the other hand the motorcycle has u"&amp;"ndergone ...
I had to pay the transfer fees of my motorcycle which was in another garage (around € 700) which will be reimbursed following the fence of the file. But now we are on 02/26 and I still have no return, I had to contact the services that wer"&amp;"e present (firefighters) myself to, thereafter, that AMV contacts in turn! The quality of the service is just distressing. It's as if we paid: they are happy; We have an accident: we no longer exist.
If they don't move I don't recommend them!")</f>
        <v>Raissed on 05/12/2017: A car changes file without a flashing light sees me panic gets back in the original queue (the one I was therefore) battery: frontal shock 110km/h (no fracture nor Fortunately serious bruises!) On the other hand the motorcycle has undergone ...
I had to pay the transfer fees of my motorcycle which was in another garage (around € 700) which will be reimbursed following the fence of the file. But now we are on 02/26 and I still have no return, I had to contact the services that were present (firefighters) myself to, thereafter, that AMV contacts in turn! The quality of the service is just distressing. It's as if we paid: they are happy; We have an accident: we no longer exist.
If they don't move I don't recommend them!</v>
      </c>
    </row>
    <row r="795" ht="15.75" customHeight="1">
      <c r="A795" s="2">
        <v>5.0</v>
      </c>
      <c r="B795" s="2" t="s">
        <v>2222</v>
      </c>
      <c r="C795" s="2" t="s">
        <v>2223</v>
      </c>
      <c r="D795" s="2" t="s">
        <v>26</v>
      </c>
      <c r="E795" s="2" t="s">
        <v>27</v>
      </c>
      <c r="F795" s="2" t="s">
        <v>15</v>
      </c>
      <c r="G795" s="2" t="s">
        <v>412</v>
      </c>
      <c r="H795" s="2" t="s">
        <v>112</v>
      </c>
      <c r="I795" s="2" t="str">
        <f>IFERROR(__xludf.DUMMYFUNCTION("GOOGLETRANSLATE(C795,""fr"",""en"")"),"Simple, practice of access. A listening and very explicit advisor in the presentation of the file, steps to take. Patient and clear, pleasant exchange")</f>
        <v>Simple, practice of access. A listening and very explicit advisor in the presentation of the file, steps to take. Patient and clear, pleasant exchange</v>
      </c>
    </row>
    <row r="796" ht="15.75" customHeight="1">
      <c r="A796" s="2">
        <v>5.0</v>
      </c>
      <c r="B796" s="2" t="s">
        <v>2224</v>
      </c>
      <c r="C796" s="2" t="s">
        <v>2225</v>
      </c>
      <c r="D796" s="2" t="s">
        <v>26</v>
      </c>
      <c r="E796" s="2" t="s">
        <v>27</v>
      </c>
      <c r="F796" s="2" t="s">
        <v>15</v>
      </c>
      <c r="G796" s="2" t="s">
        <v>2226</v>
      </c>
      <c r="H796" s="2" t="s">
        <v>661</v>
      </c>
      <c r="I796" s="2" t="str">
        <f>IFERROR(__xludf.DUMMYFUNCTION("GOOGLETRANSLATE(C796,""fr"",""en"")"),"I am satisfied with the service very well received
The nice and well clarified advisor to answer all my questions
The price suits me
Simple, practical and efficient")</f>
        <v>I am satisfied with the service very well received
The nice and well clarified advisor to answer all my questions
The price suits me
Simple, practical and efficient</v>
      </c>
    </row>
    <row r="797" ht="15.75" customHeight="1">
      <c r="A797" s="2">
        <v>4.0</v>
      </c>
      <c r="B797" s="2" t="s">
        <v>2227</v>
      </c>
      <c r="C797" s="2" t="s">
        <v>2228</v>
      </c>
      <c r="D797" s="2" t="s">
        <v>37</v>
      </c>
      <c r="E797" s="2" t="s">
        <v>27</v>
      </c>
      <c r="F797" s="2" t="s">
        <v>15</v>
      </c>
      <c r="G797" s="2" t="s">
        <v>157</v>
      </c>
      <c r="H797" s="2" t="s">
        <v>134</v>
      </c>
      <c r="I797" s="2" t="str">
        <f>IFERROR(__xludf.DUMMYFUNCTION("GOOGLETRANSLATE(C797,""fr"",""en"")"),"I would have liked a discount for adding a second contract with you. It even cost me more than the simulation made the day before. But it remained competitive")</f>
        <v>I would have liked a discount for adding a second contract with you. It even cost me more than the simulation made the day before. But it remained competitive</v>
      </c>
    </row>
    <row r="798" ht="15.75" customHeight="1">
      <c r="A798" s="2">
        <v>2.0</v>
      </c>
      <c r="B798" s="2" t="s">
        <v>2229</v>
      </c>
      <c r="C798" s="2" t="s">
        <v>2230</v>
      </c>
      <c r="D798" s="2" t="s">
        <v>599</v>
      </c>
      <c r="E798" s="2" t="s">
        <v>168</v>
      </c>
      <c r="F798" s="2" t="s">
        <v>15</v>
      </c>
      <c r="G798" s="2" t="s">
        <v>563</v>
      </c>
      <c r="H798" s="2" t="s">
        <v>96</v>
      </c>
      <c r="I798" s="2" t="str">
        <f>IFERROR(__xludf.DUMMYFUNCTION("GOOGLETRANSLATE(C798,""fr"",""en"")"),"Unnecessary insurance, very hard to terminate a contact, continues to take them after having terminated. Very desagreable advise. Care sheet to do ourselves in 2019")</f>
        <v>Unnecessary insurance, very hard to terminate a contact, continues to take them after having terminated. Very desagreable advise. Care sheet to do ourselves in 2019</v>
      </c>
    </row>
    <row r="799" ht="15.75" customHeight="1">
      <c r="A799" s="2">
        <v>1.0</v>
      </c>
      <c r="B799" s="2" t="s">
        <v>2231</v>
      </c>
      <c r="C799" s="2" t="s">
        <v>2232</v>
      </c>
      <c r="D799" s="2" t="s">
        <v>880</v>
      </c>
      <c r="E799" s="2" t="s">
        <v>120</v>
      </c>
      <c r="F799" s="2" t="s">
        <v>15</v>
      </c>
      <c r="G799" s="2" t="s">
        <v>2233</v>
      </c>
      <c r="H799" s="2" t="s">
        <v>345</v>
      </c>
      <c r="I799" s="2" t="str">
        <f>IFERROR(__xludf.DUMMYFUNCTION("GOOGLETRANSLATE(C799,""fr"",""en"")"),"a shame! By phone nothing to fuck .... I go through at least a dozen people and my file still not processed! I simply asked for the compensation service loss of salary for an individual! Three quard hour on the phone to finish that we narrow my nose ....."&amp;" Disgus and I don't know what to do! For you, go time that there is still time !!!")</f>
        <v>a shame! By phone nothing to fuck .... I go through at least a dozen people and my file still not processed! I simply asked for the compensation service loss of salary for an individual! Three quard hour on the phone to finish that we narrow my nose ..... Disgus and I don't know what to do! For you, go time that there is still time !!!</v>
      </c>
    </row>
    <row r="800" ht="15.75" customHeight="1">
      <c r="A800" s="2">
        <v>3.0</v>
      </c>
      <c r="B800" s="2" t="s">
        <v>2234</v>
      </c>
      <c r="C800" s="2" t="s">
        <v>2235</v>
      </c>
      <c r="D800" s="2" t="s">
        <v>300</v>
      </c>
      <c r="E800" s="2" t="s">
        <v>27</v>
      </c>
      <c r="F800" s="2" t="s">
        <v>15</v>
      </c>
      <c r="G800" s="2" t="s">
        <v>886</v>
      </c>
      <c r="H800" s="2" t="s">
        <v>62</v>
      </c>
      <c r="I800" s="2" t="str">
        <f>IFERROR(__xludf.DUMMYFUNCTION("GOOGLETRANSLATE(C800,""fr"",""en"")"),"I am satisfied but I think that in view of my seniority and practically no claim, I could have more interesting discounts.
Cordially.")</f>
        <v>I am satisfied but I think that in view of my seniority and practically no claim, I could have more interesting discounts.
Cordially.</v>
      </c>
    </row>
    <row r="801" ht="15.75" customHeight="1">
      <c r="A801" s="2">
        <v>5.0</v>
      </c>
      <c r="B801" s="2" t="s">
        <v>2236</v>
      </c>
      <c r="C801" s="2" t="s">
        <v>2237</v>
      </c>
      <c r="D801" s="2" t="s">
        <v>67</v>
      </c>
      <c r="E801" s="2" t="s">
        <v>68</v>
      </c>
      <c r="F801" s="2" t="s">
        <v>15</v>
      </c>
      <c r="G801" s="2" t="s">
        <v>2238</v>
      </c>
      <c r="H801" s="2" t="s">
        <v>134</v>
      </c>
      <c r="I801" s="2" t="str">
        <f>IFERROR(__xludf.DUMMYFUNCTION("GOOGLETRANSLATE(C801,""fr"",""en"")"),"I am satisfied with the insurance price and the site which is secure. I filled the forms without any problems. So I say thank you and very well early.")</f>
        <v>I am satisfied with the insurance price and the site which is secure. I filled the forms without any problems. So I say thank you and very well early.</v>
      </c>
    </row>
    <row r="802" ht="15.75" customHeight="1">
      <c r="A802" s="2">
        <v>5.0</v>
      </c>
      <c r="B802" s="2" t="s">
        <v>2239</v>
      </c>
      <c r="C802" s="2" t="s">
        <v>2240</v>
      </c>
      <c r="D802" s="2" t="s">
        <v>107</v>
      </c>
      <c r="E802" s="2" t="s">
        <v>21</v>
      </c>
      <c r="F802" s="2" t="s">
        <v>15</v>
      </c>
      <c r="G802" s="2" t="s">
        <v>210</v>
      </c>
      <c r="H802" s="2" t="s">
        <v>134</v>
      </c>
      <c r="I802" s="2" t="str">
        <f>IFERROR(__xludf.DUMMYFUNCTION("GOOGLETRANSLATE(C802,""fr"",""en"")"),"I had a very good contact with Maria, her information was very useful.
Thank you to her for her speed and professionalism, I recommend")</f>
        <v>I had a very good contact with Maria, her information was very useful.
Thank you to her for her speed and professionalism, I recommend</v>
      </c>
    </row>
    <row r="803" ht="15.75" customHeight="1">
      <c r="A803" s="2">
        <v>3.0</v>
      </c>
      <c r="B803" s="2" t="s">
        <v>2241</v>
      </c>
      <c r="C803" s="2" t="s">
        <v>2242</v>
      </c>
      <c r="D803" s="2" t="s">
        <v>37</v>
      </c>
      <c r="E803" s="2" t="s">
        <v>27</v>
      </c>
      <c r="F803" s="2" t="s">
        <v>15</v>
      </c>
      <c r="G803" s="2" t="s">
        <v>1406</v>
      </c>
      <c r="H803" s="2" t="s">
        <v>23</v>
      </c>
      <c r="I803" s="2" t="str">
        <f>IFERROR(__xludf.DUMMYFUNCTION("GOOGLETRANSLATE(C803,""fr"",""en"")"),"I find that prices are always expensive despite the number of years I am at home. You have to review the prices especially in this period of crisis everyone must make an effort on you insurance.")</f>
        <v>I find that prices are always expensive despite the number of years I am at home. You have to review the prices especially in this period of crisis everyone must make an effort on you insurance.</v>
      </c>
    </row>
    <row r="804" ht="15.75" customHeight="1">
      <c r="A804" s="2">
        <v>5.0</v>
      </c>
      <c r="B804" s="2" t="s">
        <v>2243</v>
      </c>
      <c r="C804" s="2" t="s">
        <v>2244</v>
      </c>
      <c r="D804" s="2" t="s">
        <v>26</v>
      </c>
      <c r="E804" s="2" t="s">
        <v>27</v>
      </c>
      <c r="F804" s="2" t="s">
        <v>15</v>
      </c>
      <c r="G804" s="2" t="s">
        <v>191</v>
      </c>
      <c r="H804" s="2" t="s">
        <v>23</v>
      </c>
      <c r="I804" s="2" t="str">
        <f>IFERROR(__xludf.DUMMYFUNCTION("GOOGLETRANSLATE(C804,""fr"",""en"")"),"Apart from one time when I came across QQ1 very unpleasant, I am very satisfied with the Olivier Insurance Level Tariff and listening to the advisers.")</f>
        <v>Apart from one time when I came across QQ1 very unpleasant, I am very satisfied with the Olivier Insurance Level Tariff and listening to the advisers.</v>
      </c>
    </row>
    <row r="805" ht="15.75" customHeight="1">
      <c r="A805" s="2">
        <v>1.0</v>
      </c>
      <c r="B805" s="2" t="s">
        <v>2245</v>
      </c>
      <c r="C805" s="2" t="s">
        <v>2246</v>
      </c>
      <c r="D805" s="2" t="s">
        <v>26</v>
      </c>
      <c r="E805" s="2" t="s">
        <v>27</v>
      </c>
      <c r="F805" s="2" t="s">
        <v>15</v>
      </c>
      <c r="G805" s="2" t="s">
        <v>2247</v>
      </c>
      <c r="H805" s="2" t="s">
        <v>50</v>
      </c>
      <c r="I805" s="2" t="str">
        <f>IFERROR(__xludf.DUMMYFUNCTION("GOOGLETRANSLATE(C805,""fr"",""en"")"),"I am very disappointed with this company. I have been insured since 08/15/2019 and I learn by wanting to ask for the new green sticker, that since July 15 I have been terminated my contract without warning me either by mail and I find myself during the ho"&amp;"lidays Without insurance and in order to rent a vehicle at a high price (€ 844) which cannot cancel the holidays at the last minute to the happiness of my family and children. I had the impossibility of subscribing to another insurance because the Olivier"&amp;" Insurance made an error when terminating by putting a reason a termination on the subscription date (impossible) and suddenly no insurers could take me back (the all because of 2 non -responsible claims). I find unfair the treatment I have undergone and "&amp;"especially at this period of pandemic or we still need insurance I intend to take legal measures and not leave this type of action for a benevolence of future consumers.")</f>
        <v>I am very disappointed with this company. I have been insured since 08/15/2019 and I learn by wanting to ask for the new green sticker, that since July 15 I have been terminated my contract without warning me either by mail and I find myself during the holidays Without insurance and in order to rent a vehicle at a high price (€ 844) which cannot cancel the holidays at the last minute to the happiness of my family and children. I had the impossibility of subscribing to another insurance because the Olivier Insurance made an error when terminating by putting a reason a termination on the subscription date (impossible) and suddenly no insurers could take me back (the all because of 2 non -responsible claims). I find unfair the treatment I have undergone and especially at this period of pandemic or we still need insurance I intend to take legal measures and not leave this type of action for a benevolence of future consumers.</v>
      </c>
    </row>
    <row r="806" ht="15.75" customHeight="1">
      <c r="A806" s="2">
        <v>5.0</v>
      </c>
      <c r="B806" s="2" t="s">
        <v>2248</v>
      </c>
      <c r="C806" s="2" t="s">
        <v>2249</v>
      </c>
      <c r="D806" s="2" t="s">
        <v>37</v>
      </c>
      <c r="E806" s="2" t="s">
        <v>27</v>
      </c>
      <c r="F806" s="2" t="s">
        <v>15</v>
      </c>
      <c r="G806" s="2" t="s">
        <v>2250</v>
      </c>
      <c r="H806" s="2" t="s">
        <v>62</v>
      </c>
      <c r="I806" s="2" t="str">
        <f>IFERROR(__xludf.DUMMYFUNCTION("GOOGLETRANSLATE(C806,""fr"",""en"")"),"I am satisfied the price is cheap, I like it very much, thank you very much, thank you
I will buy it in the future
I am satisfied the price is cheap, I like it very much, thank you very much, thank you
I will buy it in the future")</f>
        <v>I am satisfied the price is cheap, I like it very much, thank you very much, thank you
I will buy it in the future
I am satisfied the price is cheap, I like it very much, thank you very much, thank you
I will buy it in the future</v>
      </c>
    </row>
    <row r="807" ht="15.75" customHeight="1">
      <c r="A807" s="2">
        <v>5.0</v>
      </c>
      <c r="B807" s="2" t="s">
        <v>2251</v>
      </c>
      <c r="C807" s="2" t="s">
        <v>2252</v>
      </c>
      <c r="D807" s="2" t="s">
        <v>26</v>
      </c>
      <c r="E807" s="2" t="s">
        <v>27</v>
      </c>
      <c r="F807" s="2" t="s">
        <v>15</v>
      </c>
      <c r="G807" s="2" t="s">
        <v>2253</v>
      </c>
      <c r="H807" s="2" t="s">
        <v>141</v>
      </c>
      <c r="I807" s="2" t="str">
        <f>IFERROR(__xludf.DUMMYFUNCTION("GOOGLETRANSLATE(C807,""fr"",""en"")"),"Advisor to the very professional phone, I could not note it after the call because of a telephone bug, information and complete advice. Competitive price and equivalent guarantees.")</f>
        <v>Advisor to the very professional phone, I could not note it after the call because of a telephone bug, information and complete advice. Competitive price and equivalent guarantees.</v>
      </c>
    </row>
    <row r="808" ht="15.75" customHeight="1">
      <c r="A808" s="2">
        <v>5.0</v>
      </c>
      <c r="B808" s="2" t="s">
        <v>2254</v>
      </c>
      <c r="C808" s="2" t="s">
        <v>2255</v>
      </c>
      <c r="D808" s="2" t="s">
        <v>26</v>
      </c>
      <c r="E808" s="2" t="s">
        <v>27</v>
      </c>
      <c r="F808" s="2" t="s">
        <v>15</v>
      </c>
      <c r="G808" s="2" t="s">
        <v>2256</v>
      </c>
      <c r="H808" s="2" t="s">
        <v>661</v>
      </c>
      <c r="I808" s="2" t="str">
        <f>IFERROR(__xludf.DUMMYFUNCTION("GOOGLETRANSLATE(C808,""fr"",""en"")"),"I am very satisfied with the service, the quality and price are good, good information on the car contract and the very sympathetic advisor, I recommend.")</f>
        <v>I am very satisfied with the service, the quality and price are good, good information on the car contract and the very sympathetic advisor, I recommend.</v>
      </c>
    </row>
    <row r="809" ht="15.75" customHeight="1">
      <c r="A809" s="2">
        <v>2.0</v>
      </c>
      <c r="B809" s="2" t="s">
        <v>2257</v>
      </c>
      <c r="C809" s="2" t="s">
        <v>2258</v>
      </c>
      <c r="D809" s="2" t="s">
        <v>37</v>
      </c>
      <c r="E809" s="2" t="s">
        <v>27</v>
      </c>
      <c r="F809" s="2" t="s">
        <v>15</v>
      </c>
      <c r="G809" s="2" t="s">
        <v>164</v>
      </c>
      <c r="H809" s="2" t="s">
        <v>112</v>
      </c>
      <c r="I809" s="2" t="str">
        <f>IFERROR(__xludf.DUMMYFUNCTION("GOOGLETRANSLATE(C809,""fr"",""en"")"),"Often very long telephone expectations to have someone.
Direct Insurance seems relatively low coast but in reality given the service, availability and their coverage, it is anything but an economy.
The customer is considered a bank account number. No "&amp;"respect.
Example: I had two cars at home one for two years without disaster, the other 3 claims, two of which are non-responsible and minimal with 0 cost for direct insurance, and a 50% accident two years ago unimportant repair .
They terminated me with"&amp;" these three claims including 0 responsible accident without warning me before!
This is recorded in my history as someone who has been terminated (like people who have delicious speeding, blood alcohol, ... Yet I have no responsible or serious accident"&amp;", I do not drink, I do not I never had a lower problem with my license ...)
This is the consideration of this insurance which has no consideration for the customer.
")</f>
        <v>Often very long telephone expectations to have someone.
Direct Insurance seems relatively low coast but in reality given the service, availability and their coverage, it is anything but an economy.
The customer is considered a bank account number. No respect.
Example: I had two cars at home one for two years without disaster, the other 3 claims, two of which are non-responsible and minimal with 0 cost for direct insurance, and a 50% accident two years ago unimportant repair .
They terminated me with these three claims including 0 responsible accident without warning me before!
This is recorded in my history as someone who has been terminated (like people who have delicious speeding, blood alcohol, ... Yet I have no responsible or serious accident, I do not drink, I do not I never had a lower problem with my license ...)
This is the consideration of this insurance which has no consideration for the customer.
</v>
      </c>
    </row>
    <row r="810" ht="15.75" customHeight="1">
      <c r="A810" s="2">
        <v>1.0</v>
      </c>
      <c r="B810" s="2" t="s">
        <v>2259</v>
      </c>
      <c r="C810" s="2" t="s">
        <v>2260</v>
      </c>
      <c r="D810" s="2" t="s">
        <v>48</v>
      </c>
      <c r="E810" s="2" t="s">
        <v>21</v>
      </c>
      <c r="F810" s="2" t="s">
        <v>15</v>
      </c>
      <c r="G810" s="2" t="s">
        <v>762</v>
      </c>
      <c r="H810" s="2" t="s">
        <v>310</v>
      </c>
      <c r="I810" s="2" t="str">
        <f>IFERROR(__xludf.DUMMYFUNCTION("GOOGLETRANSLATE(C810,""fr"",""en"")"),"Shame with mutual harmony !!!
My little sister died on January 31, leaving her companion and her 2 children (14 and 20 years old). His mutual insurance company had to pay part of the funeral (1000 euros), had to give a sum of money and give my nephews a "&amp;"small sum every month until the end of their studies.
8 months have passed and still nothing, they don't even answer the phone anymore.
Help me make them move !! That the most people put it on their")</f>
        <v>Shame with mutual harmony !!!
My little sister died on January 31, leaving her companion and her 2 children (14 and 20 years old). His mutual insurance company had to pay part of the funeral (1000 euros), had to give a sum of money and give my nephews a small sum every month until the end of their studies.
8 months have passed and still nothing, they don't even answer the phone anymore.
Help me make them move !! That the most people put it on their</v>
      </c>
    </row>
    <row r="811" ht="15.75" customHeight="1">
      <c r="A811" s="2">
        <v>1.0</v>
      </c>
      <c r="B811" s="2" t="s">
        <v>2261</v>
      </c>
      <c r="C811" s="2" t="s">
        <v>2262</v>
      </c>
      <c r="D811" s="2" t="s">
        <v>37</v>
      </c>
      <c r="E811" s="2" t="s">
        <v>27</v>
      </c>
      <c r="F811" s="2" t="s">
        <v>15</v>
      </c>
      <c r="G811" s="2" t="s">
        <v>2263</v>
      </c>
      <c r="H811" s="2" t="s">
        <v>112</v>
      </c>
      <c r="I811" s="2" t="str">
        <f>IFERROR(__xludf.DUMMYFUNCTION("GOOGLETRANSLATE(C811,""fr"",""en"")"),"Being a young driver The Yudrive formula is a proposal that seduced me. By being responsible I make 50% of money on my bill every month. Non -negligible when you see the price of insurance for young drivers.
Today, I change vehicle and a simple call this"&amp;" transforms into commercial hell. The advisers are adorable, however, we feel that they have a very low maneuvering and cannot help me. I ask to speak to a manager to have more explanation and understand why the prices vary significantly from one day to t"&amp;"he next. I am promised to remind me. It has been a week today and despite my many recolsians !!! Why do you leave your advice on the front line without the weapons to respond to your customers (so far satisfied) and do you not hold your commitments? One w"&amp;"onders what your managers are busy to be so little reactive.
Either they take extended breaks (which I hope in the end). Either you have so many unhappy customers to manage that they are underwater.
My first contact dates from 30/03, we are on 04/14 I s"&amp;"till have no answer to my questions. What will happen the day I had an accident and I would need your responsiveness while I wait on the side of the road with my child in my arms ... Direct insurance at attractive prices but I pray every day so as not to "&amp;"need to activate the service! And I am apparently not the only one")</f>
        <v>Being a young driver The Yudrive formula is a proposal that seduced me. By being responsible I make 50% of money on my bill every month. Non -negligible when you see the price of insurance for young drivers.
Today, I change vehicle and a simple call this transforms into commercial hell. The advisers are adorable, however, we feel that they have a very low maneuvering and cannot help me. I ask to speak to a manager to have more explanation and understand why the prices vary significantly from one day to the next. I am promised to remind me. It has been a week today and despite my many recolsians !!! Why do you leave your advice on the front line without the weapons to respond to your customers (so far satisfied) and do you not hold your commitments? One wonders what your managers are busy to be so little reactive.
Either they take extended breaks (which I hope in the end). Either you have so many unhappy customers to manage that they are underwater.
My first contact dates from 30/03, we are on 04/14 I still have no answer to my questions. What will happen the day I had an accident and I would need your responsiveness while I wait on the side of the road with my child in my arms ... Direct insurance at attractive prices but I pray every day so as not to need to activate the service! And I am apparently not the only one</v>
      </c>
    </row>
    <row r="812" ht="15.75" customHeight="1">
      <c r="A812" s="2">
        <v>2.0</v>
      </c>
      <c r="B812" s="2" t="s">
        <v>2264</v>
      </c>
      <c r="C812" s="2" t="s">
        <v>2265</v>
      </c>
      <c r="D812" s="2" t="s">
        <v>37</v>
      </c>
      <c r="E812" s="2" t="s">
        <v>27</v>
      </c>
      <c r="F812" s="2" t="s">
        <v>15</v>
      </c>
      <c r="G812" s="2" t="s">
        <v>980</v>
      </c>
      <c r="H812" s="2" t="s">
        <v>596</v>
      </c>
      <c r="I812" s="2" t="str">
        <f>IFERROR(__xludf.DUMMYFUNCTION("GOOGLETRANSLATE(C812,""fr"",""en"")"),"Attention very bad company one advice avoid at all costs")</f>
        <v>Attention very bad company one advice avoid at all costs</v>
      </c>
    </row>
    <row r="813" ht="15.75" customHeight="1">
      <c r="A813" s="2">
        <v>2.0</v>
      </c>
      <c r="B813" s="2" t="s">
        <v>2266</v>
      </c>
      <c r="C813" s="2" t="s">
        <v>2267</v>
      </c>
      <c r="D813" s="2" t="s">
        <v>107</v>
      </c>
      <c r="E813" s="2" t="s">
        <v>21</v>
      </c>
      <c r="F813" s="2" t="s">
        <v>15</v>
      </c>
      <c r="G813" s="2" t="s">
        <v>629</v>
      </c>
      <c r="H813" s="2" t="s">
        <v>630</v>
      </c>
      <c r="I813" s="2" t="str">
        <f>IFERROR(__xludf.DUMMYFUNCTION("GOOGLETRANSLATE(C813,""fr"",""en"")"),"I have been with them since January 2019 and I already meet reimbursement concerns, when I go to my customer account I am marked that I have been reimbursed an act of radiography in the amount of 20.70 I do not know Where did this transfer passed it does "&amp;"not appear on my bank account I have called several times, sent emails always no answer")</f>
        <v>I have been with them since January 2019 and I already meet reimbursement concerns, when I go to my customer account I am marked that I have been reimbursed an act of radiography in the amount of 20.70 I do not know Where did this transfer passed it does not appear on my bank account I have called several times, sent emails always no answer</v>
      </c>
    </row>
    <row r="814" ht="15.75" customHeight="1">
      <c r="A814" s="2">
        <v>4.0</v>
      </c>
      <c r="B814" s="2" t="s">
        <v>2268</v>
      </c>
      <c r="C814" s="2" t="s">
        <v>2269</v>
      </c>
      <c r="D814" s="2" t="s">
        <v>37</v>
      </c>
      <c r="E814" s="2" t="s">
        <v>27</v>
      </c>
      <c r="F814" s="2" t="s">
        <v>15</v>
      </c>
      <c r="G814" s="2" t="s">
        <v>2270</v>
      </c>
      <c r="H814" s="2" t="s">
        <v>29</v>
      </c>
      <c r="I814" s="2" t="str">
        <f>IFERROR(__xludf.DUMMYFUNCTION("GOOGLETRANSLATE(C814,""fr"",""en"")"),"I am satisfied with the prices, it suits me and in ten years of permit I have never had an accident or something else so what good to go see more expensive insurers ...")</f>
        <v>I am satisfied with the prices, it suits me and in ten years of permit I have never had an accident or something else so what good to go see more expensive insurers ...</v>
      </c>
    </row>
    <row r="815" ht="15.75" customHeight="1">
      <c r="A815" s="2">
        <v>4.0</v>
      </c>
      <c r="B815" s="2" t="s">
        <v>2271</v>
      </c>
      <c r="C815" s="2" t="s">
        <v>2272</v>
      </c>
      <c r="D815" s="2" t="s">
        <v>37</v>
      </c>
      <c r="E815" s="2" t="s">
        <v>27</v>
      </c>
      <c r="F815" s="2" t="s">
        <v>15</v>
      </c>
      <c r="G815" s="2" t="s">
        <v>2273</v>
      </c>
      <c r="H815" s="2" t="s">
        <v>88</v>
      </c>
      <c r="I815" s="2" t="str">
        <f>IFERROR(__xludf.DUMMYFUNCTION("GOOGLETRANSLATE(C815,""fr"",""en"")"),"I am satisfied with the very attractive price service The subscription was very fast
A few minutes we are enough
I recommend everyone
Satisfied
")</f>
        <v>I am satisfied with the very attractive price service The subscription was very fast
A few minutes we are enough
I recommend everyone
Satisfied
</v>
      </c>
    </row>
    <row r="816" ht="15.75" customHeight="1">
      <c r="A816" s="2">
        <v>1.0</v>
      </c>
      <c r="B816" s="2" t="s">
        <v>2274</v>
      </c>
      <c r="C816" s="2" t="s">
        <v>2275</v>
      </c>
      <c r="D816" s="2" t="s">
        <v>37</v>
      </c>
      <c r="E816" s="2" t="s">
        <v>27</v>
      </c>
      <c r="F816" s="2" t="s">
        <v>15</v>
      </c>
      <c r="G816" s="2" t="s">
        <v>2276</v>
      </c>
      <c r="H816" s="2" t="s">
        <v>1112</v>
      </c>
      <c r="I816" s="2" t="str">
        <f>IFERROR(__xludf.DUMMYFUNCTION("GOOGLETRANSLATE(C816,""fr"",""en"")"),"A disaster! No claim with them in recent years, and I have the price that has risen every year .... they do nothing to retain the customer. I call this morning to ensure another vehicle, replacement, I remind them 10 min later because in fact this born no"&amp;"t a replacement vehicle but a sup vehicle because I plan to sell the other later. And there, the advisor tells me that it is too late, what is said is said, he that I would not have better offers for the sup vehicle, I ask him to send me a quote, and he a"&amp;"nswers me not laughing. No problem, I work in the automobile, I would never consider this insurance and I just signed at the MAAF for the same price (Twingo 3) but more serious.")</f>
        <v>A disaster! No claim with them in recent years, and I have the price that has risen every year .... they do nothing to retain the customer. I call this morning to ensure another vehicle, replacement, I remind them 10 min later because in fact this born not a replacement vehicle but a sup vehicle because I plan to sell the other later. And there, the advisor tells me that it is too late, what is said is said, he that I would not have better offers for the sup vehicle, I ask him to send me a quote, and he answers me not laughing. No problem, I work in the automobile, I would never consider this insurance and I just signed at the MAAF for the same price (Twingo 3) but more serious.</v>
      </c>
    </row>
    <row r="817" ht="15.75" customHeight="1">
      <c r="A817" s="2">
        <v>2.0</v>
      </c>
      <c r="B817" s="2" t="s">
        <v>2277</v>
      </c>
      <c r="C817" s="2" t="s">
        <v>2278</v>
      </c>
      <c r="D817" s="2" t="s">
        <v>37</v>
      </c>
      <c r="E817" s="2" t="s">
        <v>27</v>
      </c>
      <c r="F817" s="2" t="s">
        <v>15</v>
      </c>
      <c r="G817" s="2" t="s">
        <v>112</v>
      </c>
      <c r="H817" s="2" t="s">
        <v>112</v>
      </c>
      <c r="I817" s="2" t="str">
        <f>IFERROR(__xludf.DUMMYFUNCTION("GOOGLETRANSLATE(C817,""fr"",""en"")"),"Home insurance takes another 4% increase in 2021
27.67 % increase in 5 years despite no claim from the start!
It's time to take a look at the competition!")</f>
        <v>Home insurance takes another 4% increase in 2021
27.67 % increase in 5 years despite no claim from the start!
It's time to take a look at the competition!</v>
      </c>
    </row>
    <row r="818" ht="15.75" customHeight="1">
      <c r="A818" s="2">
        <v>1.0</v>
      </c>
      <c r="B818" s="2" t="s">
        <v>2279</v>
      </c>
      <c r="C818" s="2" t="s">
        <v>2280</v>
      </c>
      <c r="D818" s="2" t="s">
        <v>599</v>
      </c>
      <c r="E818" s="2" t="s">
        <v>168</v>
      </c>
      <c r="F818" s="2" t="s">
        <v>15</v>
      </c>
      <c r="G818" s="2" t="s">
        <v>2281</v>
      </c>
      <c r="H818" s="2" t="s">
        <v>274</v>
      </c>
      <c r="I818" s="2" t="str">
        <f>IFERROR(__xludf.DUMMYFUNCTION("GOOGLETRANSLATE(C818,""fr"",""en"")"),"Insured from then October I can hardly be reimbursed for the first aid of my cat !! He had to make radios following an accident (fall); During the subscription I was assured that there was only one treatment sheet to have the veto or then I was asked for "&amp;"a certificate made by my veto that it was indeed An accident .... my veterinary was surprised because how to attest to an accident which he had not witnessed !!! In short, I finally send the said paper and there radio silence! ....... I relaunch by email "&amp;"...... radio silence !!!! And then after having hardly managed to join them by such I am told that you have to send everything if not the file is not processed .... uh how to say that they have the bill and the care sheet for 2 months! !!!! In short, insu"&amp;"rance in the worthy line of carpet selling insurers !! We take but we do not reimburse I am chosen to have been made by the apparent sympathy of the commercial !!!")</f>
        <v>Insured from then October I can hardly be reimbursed for the first aid of my cat !! He had to make radios following an accident (fall); During the subscription I was assured that there was only one treatment sheet to have the veto or then I was asked for a certificate made by my veto that it was indeed An accident .... my veterinary was surprised because how to attest to an accident which he had not witnessed !!! In short, I finally send the said paper and there radio silence! ....... I relaunch by email ...... radio silence !!!! And then after having hardly managed to join them by such I am told that you have to send everything if not the file is not processed .... uh how to say that they have the bill and the care sheet for 2 months! !!!! In short, insurance in the worthy line of carpet selling insurers !! We take but we do not reimburse I am chosen to have been made by the apparent sympathy of the commercial !!!</v>
      </c>
    </row>
    <row r="819" ht="15.75" customHeight="1">
      <c r="A819" s="2">
        <v>3.0</v>
      </c>
      <c r="B819" s="2" t="s">
        <v>2282</v>
      </c>
      <c r="C819" s="2" t="s">
        <v>2283</v>
      </c>
      <c r="D819" s="2" t="s">
        <v>300</v>
      </c>
      <c r="E819" s="2" t="s">
        <v>27</v>
      </c>
      <c r="F819" s="2" t="s">
        <v>15</v>
      </c>
      <c r="G819" s="2" t="s">
        <v>441</v>
      </c>
      <c r="H819" s="2" t="s">
        <v>29</v>
      </c>
      <c r="I819" s="2" t="str">
        <f>IFERROR(__xludf.DUMMYFUNCTION("GOOGLETRANSLATE(C819,""fr"",""en"")"),"Non -existent monthly payment for ease of payment
Review Cost and Assistance
Responsibility of GMF during an adventure you put yourself little forward. Always a solution to avoid repaying us, seen by your customers.
Best regards.")</f>
        <v>Non -existent monthly payment for ease of payment
Review Cost and Assistance
Responsibility of GMF during an adventure you put yourself little forward. Always a solution to avoid repaying us, seen by your customers.
Best regards.</v>
      </c>
    </row>
    <row r="820" ht="15.75" customHeight="1">
      <c r="A820" s="2">
        <v>1.0</v>
      </c>
      <c r="B820" s="2" t="s">
        <v>2284</v>
      </c>
      <c r="C820" s="2" t="s">
        <v>2285</v>
      </c>
      <c r="D820" s="2" t="s">
        <v>355</v>
      </c>
      <c r="E820" s="2" t="s">
        <v>68</v>
      </c>
      <c r="F820" s="2" t="s">
        <v>15</v>
      </c>
      <c r="G820" s="2" t="s">
        <v>2286</v>
      </c>
      <c r="H820" s="2" t="s">
        <v>523</v>
      </c>
      <c r="I820" s="2" t="str">
        <f>IFERROR(__xludf.DUMMYFUNCTION("GOOGLETRANSLATE(C820,""fr"",""en"")"),"Hello,
I come back to this forum because it is the only way I found to be able to communicate with people from AXA and be taken care of when you are insured at Assur Bon Plan.
It has been 1 year now that I had a disaster with my vehicle, I was pleasantl"&amp;"y supported by AXA but in no case by Assur Bon Plan (which continue to make the dead).
Nevertheless, at present I received a letter from the departmental road management of my region indicating that I must reimburse the damage caused to a safety slide wh"&amp;"ile the insurance subscribed at that time at Assur good plan obviously takes care of the payment of these damage!
I therefore find myself unable to be able to pay such a sum of my own pocket and the impossibility of contacting anyone from Assur Bon Plan."&amp;"
I hope that a person of AXA will want to take care of my file, otherwise, I will turn to a lawyer for the processing of this file.")</f>
        <v>Hello,
I come back to this forum because it is the only way I found to be able to communicate with people from AXA and be taken care of when you are insured at Assur Bon Plan.
It has been 1 year now that I had a disaster with my vehicle, I was pleasantly supported by AXA but in no case by Assur Bon Plan (which continue to make the dead).
Nevertheless, at present I received a letter from the departmental road management of my region indicating that I must reimburse the damage caused to a safety slide while the insurance subscribed at that time at Assur good plan obviously takes care of the payment of these damage!
I therefore find myself unable to be able to pay such a sum of my own pocket and the impossibility of contacting anyone from Assur Bon Plan.
I hope that a person of AXA will want to take care of my file, otherwise, I will turn to a lawyer for the processing of this file.</v>
      </c>
    </row>
    <row r="821" ht="15.75" customHeight="1">
      <c r="A821" s="2">
        <v>1.0</v>
      </c>
      <c r="B821" s="2" t="s">
        <v>2287</v>
      </c>
      <c r="C821" s="2" t="s">
        <v>2288</v>
      </c>
      <c r="D821" s="2" t="s">
        <v>37</v>
      </c>
      <c r="E821" s="2" t="s">
        <v>27</v>
      </c>
      <c r="F821" s="2" t="s">
        <v>15</v>
      </c>
      <c r="G821" s="2" t="s">
        <v>1309</v>
      </c>
      <c r="H821" s="2" t="s">
        <v>503</v>
      </c>
      <c r="I821" s="2" t="str">
        <f>IFERROR(__xludf.DUMMYFUNCTION("GOOGLETRANSLATE(C821,""fr"",""en"")"),"To forbid ! Following vehicle theft they are responsive to tell you that they do not cover you, and when you find the car to send you a letter to tell you if there is a damage they want to know anything .... In addition test on 2 vehicles they are more ex"&amp;"pensive than the Macif.
")</f>
        <v>To forbid ! Following vehicle theft they are responsive to tell you that they do not cover you, and when you find the car to send you a letter to tell you if there is a damage they want to know anything .... In addition test on 2 vehicles they are more expensive than the Macif.
</v>
      </c>
    </row>
    <row r="822" ht="15.75" customHeight="1">
      <c r="A822" s="2">
        <v>1.0</v>
      </c>
      <c r="B822" s="2" t="s">
        <v>2289</v>
      </c>
      <c r="C822" s="2" t="s">
        <v>2290</v>
      </c>
      <c r="D822" s="2" t="s">
        <v>57</v>
      </c>
      <c r="E822" s="2" t="s">
        <v>27</v>
      </c>
      <c r="F822" s="2" t="s">
        <v>15</v>
      </c>
      <c r="G822" s="2" t="s">
        <v>2291</v>
      </c>
      <c r="H822" s="2" t="s">
        <v>92</v>
      </c>
      <c r="I822" s="2" t="str">
        <f>IFERROR(__xludf.DUMMYFUNCTION("GOOGLETRANSLATE(C822,""fr"",""en"")"),"To flee ! Asks me for the characteristics of my vehicle and offers me an interesting quote .... except that the vehicle type is different in the quote received and causes +6% of the price. Then increase imposed on January 1 while my contract is due July ."&amp;"... and icing on the significant increase cake in July: was too much, I terminated!")</f>
        <v>To flee ! Asks me for the characteristics of my vehicle and offers me an interesting quote .... except that the vehicle type is different in the quote received and causes +6% of the price. Then increase imposed on January 1 while my contract is due July .... and icing on the significant increase cake in July: was too much, I terminated!</v>
      </c>
    </row>
    <row r="823" ht="15.75" customHeight="1">
      <c r="A823" s="2">
        <v>4.0</v>
      </c>
      <c r="B823" s="2" t="s">
        <v>2292</v>
      </c>
      <c r="C823" s="2" t="s">
        <v>2293</v>
      </c>
      <c r="D823" s="2" t="s">
        <v>37</v>
      </c>
      <c r="E823" s="2" t="s">
        <v>27</v>
      </c>
      <c r="F823" s="2" t="s">
        <v>15</v>
      </c>
      <c r="G823" s="2" t="s">
        <v>623</v>
      </c>
      <c r="H823" s="2" t="s">
        <v>88</v>
      </c>
      <c r="I823" s="2" t="str">
        <f>IFERROR(__xludf.DUMMYFUNCTION("GOOGLETRANSLATE(C823,""fr"",""en"")"),"Correct price, can do better like dropping deductible.
Reactive and listening customer service.
satisfied and I recommend for new drivers.")</f>
        <v>Correct price, can do better like dropping deductible.
Reactive and listening customer service.
satisfied and I recommend for new drivers.</v>
      </c>
    </row>
    <row r="824" ht="15.75" customHeight="1">
      <c r="A824" s="2">
        <v>3.0</v>
      </c>
      <c r="B824" s="2" t="s">
        <v>2294</v>
      </c>
      <c r="C824" s="2" t="s">
        <v>2295</v>
      </c>
      <c r="D824" s="2" t="s">
        <v>1268</v>
      </c>
      <c r="E824" s="2" t="s">
        <v>120</v>
      </c>
      <c r="F824" s="2" t="s">
        <v>15</v>
      </c>
      <c r="G824" s="2" t="s">
        <v>2296</v>
      </c>
      <c r="H824" s="2" t="s">
        <v>96</v>
      </c>
      <c r="I824" s="2" t="str">
        <f>IFERROR(__xludf.DUMMYFUNCTION("GOOGLETRANSLATE(C824,""fr"",""en"")"),"I am awaiting my compensation (disability cat 2) since August 2018 (following several email and several calls I am indicated that the amount of the pension is still in calculations ????)
Please find out how to get out of this mental and financial black h"&amp;"ole
Thank you")</f>
        <v>I am awaiting my compensation (disability cat 2) since August 2018 (following several email and several calls I am indicated that the amount of the pension is still in calculations ????)
Please find out how to get out of this mental and financial black hole
Thank you</v>
      </c>
    </row>
    <row r="825" ht="15.75" customHeight="1">
      <c r="A825" s="2">
        <v>1.0</v>
      </c>
      <c r="B825" s="2" t="s">
        <v>2297</v>
      </c>
      <c r="C825" s="2" t="s">
        <v>2298</v>
      </c>
      <c r="D825" s="2" t="s">
        <v>264</v>
      </c>
      <c r="E825" s="2" t="s">
        <v>27</v>
      </c>
      <c r="F825" s="2" t="s">
        <v>15</v>
      </c>
      <c r="G825" s="2" t="s">
        <v>350</v>
      </c>
      <c r="H825" s="2" t="s">
        <v>310</v>
      </c>
      <c r="I825" s="2" t="str">
        <f>IFERROR(__xludf.DUMMYFUNCTION("GOOGLETRANSLATE(C825,""fr"",""en"")"),"Shameful shameful how can we be still legitimate after so many negative comments how does this make this assurance still active? How is it possible after so many people in distress? How can it be that it is not yet going to justice if justice exists? It w"&amp;"ill not be long since I hope it greatly! What a shame but what a shame I have been in a black wet since I am at home it is impossible for me to get rid of it impossible ...")</f>
        <v>Shameful shameful how can we be still legitimate after so many negative comments how does this make this assurance still active? How is it possible after so many people in distress? How can it be that it is not yet going to justice if justice exists? It will not be long since I hope it greatly! What a shame but what a shame I have been in a black wet since I am at home it is impossible for me to get rid of it impossible ...</v>
      </c>
    </row>
    <row r="826" ht="15.75" customHeight="1">
      <c r="A826" s="2">
        <v>5.0</v>
      </c>
      <c r="B826" s="2" t="s">
        <v>2299</v>
      </c>
      <c r="C826" s="2" t="s">
        <v>2300</v>
      </c>
      <c r="D826" s="2" t="s">
        <v>26</v>
      </c>
      <c r="E826" s="2" t="s">
        <v>27</v>
      </c>
      <c r="F826" s="2" t="s">
        <v>15</v>
      </c>
      <c r="G826" s="2" t="s">
        <v>2301</v>
      </c>
      <c r="H826" s="2" t="s">
        <v>661</v>
      </c>
      <c r="I826" s="2" t="str">
        <f>IFERROR(__xludf.DUMMYFUNCTION("GOOGLETRANSLATE(C826,""fr"",""en"")"),"I am very satisfied with the service, the online service is very effective and simple. I have already sent all the documents requested now I await the arrival of the green card. I still haven't received a document response, I forgot to send it and I need "&amp;"the green card as soon as possible. It's been two months and I don't want to be without insurance one day. thank you for your comprehension")</f>
        <v>I am very satisfied with the service, the online service is very effective and simple. I have already sent all the documents requested now I await the arrival of the green card. I still haven't received a document response, I forgot to send it and I need the green card as soon as possible. It's been two months and I don't want to be without insurance one day. thank you for your comprehension</v>
      </c>
    </row>
    <row r="827" ht="15.75" customHeight="1">
      <c r="A827" s="2">
        <v>2.0</v>
      </c>
      <c r="B827" s="2" t="s">
        <v>2302</v>
      </c>
      <c r="C827" s="2" t="s">
        <v>2303</v>
      </c>
      <c r="D827" s="2" t="s">
        <v>152</v>
      </c>
      <c r="E827" s="2" t="s">
        <v>68</v>
      </c>
      <c r="F827" s="2" t="s">
        <v>15</v>
      </c>
      <c r="G827" s="2" t="s">
        <v>1968</v>
      </c>
      <c r="H827" s="2" t="s">
        <v>80</v>
      </c>
      <c r="I827" s="2" t="str">
        <f>IFERROR(__xludf.DUMMYFUNCTION("GOOGLETRANSLATE(C827,""fr"",""en"")"),"LMDM is not an insurance that I recommend! The deadlines are always long and telephone assistance is nonexistent! I had 2 motorcycle accidents and I have always struggled to have someone on the phone. Fortunately, we can do it online otherwise I couldn't "&amp;"even have declared it the same day! Ditto I want my information statement to go to another insurer and I have to call 10 times a day to hope that someone won. COVID-19 period or not the telephone service has always been deplorable.")</f>
        <v>LMDM is not an insurance that I recommend! The deadlines are always long and telephone assistance is nonexistent! I had 2 motorcycle accidents and I have always struggled to have someone on the phone. Fortunately, we can do it online otherwise I couldn't even have declared it the same day! Ditto I want my information statement to go to another insurer and I have to call 10 times a day to hope that someone won. COVID-19 period or not the telephone service has always been deplorable.</v>
      </c>
    </row>
    <row r="828" ht="15.75" customHeight="1">
      <c r="A828" s="2">
        <v>5.0</v>
      </c>
      <c r="B828" s="2" t="s">
        <v>2304</v>
      </c>
      <c r="C828" s="2" t="s">
        <v>2305</v>
      </c>
      <c r="D828" s="2" t="s">
        <v>300</v>
      </c>
      <c r="E828" s="2" t="s">
        <v>27</v>
      </c>
      <c r="F828" s="2" t="s">
        <v>15</v>
      </c>
      <c r="G828" s="2" t="s">
        <v>585</v>
      </c>
      <c r="H828" s="2" t="s">
        <v>88</v>
      </c>
      <c r="I828" s="2" t="str">
        <f>IFERROR(__xludf.DUMMYFUNCTION("GOOGLETRANSLATE(C828,""fr"",""en"")"),"I am satisfied with the service
Thank you for the speed of the action
I recommend your insurance
Just downside this famous opinion which is long to write.")</f>
        <v>I am satisfied with the service
Thank you for the speed of the action
I recommend your insurance
Just downside this famous opinion which is long to write.</v>
      </c>
    </row>
    <row r="829" ht="15.75" customHeight="1">
      <c r="A829" s="2">
        <v>4.0</v>
      </c>
      <c r="B829" s="2" t="s">
        <v>2306</v>
      </c>
      <c r="C829" s="2" t="s">
        <v>2307</v>
      </c>
      <c r="D829" s="2" t="s">
        <v>300</v>
      </c>
      <c r="E829" s="2" t="s">
        <v>27</v>
      </c>
      <c r="F829" s="2" t="s">
        <v>15</v>
      </c>
      <c r="G829" s="2" t="s">
        <v>2308</v>
      </c>
      <c r="H829" s="2" t="s">
        <v>134</v>
      </c>
      <c r="I829" s="2" t="str">
        <f>IFERROR(__xludf.DUMMYFUNCTION("GOOGLETRANSLATE(C829,""fr"",""en"")"),"I am satisfied with the service provided by the GMF both in terms of my home insurance and at the insurance level of my various vehicles.")</f>
        <v>I am satisfied with the service provided by the GMF both in terms of my home insurance and at the insurance level of my various vehicles.</v>
      </c>
    </row>
    <row r="830" ht="15.75" customHeight="1">
      <c r="A830" s="2">
        <v>5.0</v>
      </c>
      <c r="B830" s="2" t="s">
        <v>2309</v>
      </c>
      <c r="C830" s="2" t="s">
        <v>2310</v>
      </c>
      <c r="D830" s="2" t="s">
        <v>37</v>
      </c>
      <c r="E830" s="2" t="s">
        <v>27</v>
      </c>
      <c r="F830" s="2" t="s">
        <v>15</v>
      </c>
      <c r="G830" s="2" t="s">
        <v>2311</v>
      </c>
      <c r="H830" s="2" t="s">
        <v>228</v>
      </c>
      <c r="I830" s="2" t="str">
        <f>IFERROR(__xludf.DUMMYFUNCTION("GOOGLETRANSLATE(C830,""fr"",""en"")"),"Very satisfied with everything.
The price of my car insurance is more than competitive.
Customer service is top and very responsive.
I have already recommended my loved ones.")</f>
        <v>Very satisfied with everything.
The price of my car insurance is more than competitive.
Customer service is top and very responsive.
I have already recommended my loved ones.</v>
      </c>
    </row>
    <row r="831" ht="15.75" customHeight="1">
      <c r="A831" s="2">
        <v>3.0</v>
      </c>
      <c r="B831" s="2" t="s">
        <v>2312</v>
      </c>
      <c r="C831" s="2" t="s">
        <v>2313</v>
      </c>
      <c r="D831" s="2" t="s">
        <v>300</v>
      </c>
      <c r="E831" s="2" t="s">
        <v>27</v>
      </c>
      <c r="F831" s="2" t="s">
        <v>15</v>
      </c>
      <c r="G831" s="2" t="s">
        <v>2314</v>
      </c>
      <c r="H831" s="2" t="s">
        <v>50</v>
      </c>
      <c r="I831" s="2" t="str">
        <f>IFERROR(__xludf.DUMMYFUNCTION("GOOGLETRANSLATE(C831,""fr"",""en"")"),"Years that I have been at home. Online they are not really at the point, however, the advisers I have in Toul 54 are very competent. Never annoy for reimbursements. Only downside the broken ice supposed to cover all the windows does not cover the panorami"&amp;"c roof ... in all risks it is incomprehensible .... otherwise I really recommend them")</f>
        <v>Years that I have been at home. Online they are not really at the point, however, the advisers I have in Toul 54 are very competent. Never annoy for reimbursements. Only downside the broken ice supposed to cover all the windows does not cover the panoramic roof ... in all risks it is incomprehensible .... otherwise I really recommend them</v>
      </c>
    </row>
    <row r="832" ht="15.75" customHeight="1">
      <c r="A832" s="2">
        <v>1.0</v>
      </c>
      <c r="B832" s="2" t="s">
        <v>2315</v>
      </c>
      <c r="C832" s="2" t="s">
        <v>2316</v>
      </c>
      <c r="D832" s="2" t="s">
        <v>209</v>
      </c>
      <c r="E832" s="2" t="s">
        <v>21</v>
      </c>
      <c r="F832" s="2" t="s">
        <v>15</v>
      </c>
      <c r="G832" s="2" t="s">
        <v>1348</v>
      </c>
      <c r="H832" s="2" t="s">
        <v>101</v>
      </c>
      <c r="I832" s="2" t="str">
        <f>IFERROR(__xludf.DUMMYFUNCTION("GOOGLETRANSLATE(C832,""fr"",""en"")"),"We tested and ... it's just catastrophic.
Each visit to a healthcare professional requires a few days later time and energy to understand and have the MGEN's mistakes rectify.
So many incompetence gathered in a single ""company"" hat!
")</f>
        <v>We tested and ... it's just catastrophic.
Each visit to a healthcare professional requires a few days later time and energy to understand and have the MGEN's mistakes rectify.
So many incompetence gathered in a single "company" hat!
</v>
      </c>
    </row>
    <row r="833" ht="15.75" customHeight="1">
      <c r="A833" s="2">
        <v>3.0</v>
      </c>
      <c r="B833" s="2" t="s">
        <v>2317</v>
      </c>
      <c r="C833" s="2" t="s">
        <v>2318</v>
      </c>
      <c r="D833" s="2" t="s">
        <v>254</v>
      </c>
      <c r="E833" s="2" t="s">
        <v>168</v>
      </c>
      <c r="F833" s="2" t="s">
        <v>15</v>
      </c>
      <c r="G833" s="2" t="s">
        <v>2319</v>
      </c>
      <c r="H833" s="2" t="s">
        <v>121</v>
      </c>
      <c r="I833" s="2" t="str">
        <f>IFERROR(__xludf.DUMMYFUNCTION("GOOGLETRANSLATE(C833,""fr"",""en"")"),"I was contacted by phone, did not let me read the conditions, nor think, I had to do it immediately I was in a hurry so I did it, then I read all his opinions !!! Seriously, I sent backward mail with the photo of the retraction letter which goes tomorrow "&amp;"in AR, if they do not solve my contract, its will be my legal protection which will take care of it and I make opposition to my bank because it must take only in September")</f>
        <v>I was contacted by phone, did not let me read the conditions, nor think, I had to do it immediately I was in a hurry so I did it, then I read all his opinions !!! Seriously, I sent backward mail with the photo of the retraction letter which goes tomorrow in AR, if they do not solve my contract, its will be my legal protection which will take care of it and I make opposition to my bank because it must take only in September</v>
      </c>
    </row>
    <row r="834" ht="15.75" customHeight="1">
      <c r="A834" s="2">
        <v>4.0</v>
      </c>
      <c r="B834" s="2" t="s">
        <v>2320</v>
      </c>
      <c r="C834" s="2" t="s">
        <v>2321</v>
      </c>
      <c r="D834" s="2" t="s">
        <v>26</v>
      </c>
      <c r="E834" s="2" t="s">
        <v>27</v>
      </c>
      <c r="F834" s="2" t="s">
        <v>15</v>
      </c>
      <c r="G834" s="2" t="s">
        <v>657</v>
      </c>
      <c r="H834" s="2" t="s">
        <v>228</v>
      </c>
      <c r="I834" s="2" t="str">
        <f>IFERROR(__xludf.DUMMYFUNCTION("GOOGLETRANSLATE(C834,""fr"",""en"")"),"Bravo, a very practical and competent insurance company, I recommend friends and acquaintances, make shine! I wish full success to the creators of such a wonderful business")</f>
        <v>Bravo, a very practical and competent insurance company, I recommend friends and acquaintances, make shine! I wish full success to the creators of such a wonderful business</v>
      </c>
    </row>
    <row r="835" ht="15.75" customHeight="1">
      <c r="A835" s="2">
        <v>5.0</v>
      </c>
      <c r="B835" s="2" t="s">
        <v>2322</v>
      </c>
      <c r="C835" s="2" t="s">
        <v>2323</v>
      </c>
      <c r="D835" s="2" t="s">
        <v>209</v>
      </c>
      <c r="E835" s="2" t="s">
        <v>21</v>
      </c>
      <c r="F835" s="2" t="s">
        <v>15</v>
      </c>
      <c r="G835" s="2" t="s">
        <v>2324</v>
      </c>
      <c r="H835" s="2" t="s">
        <v>1112</v>
      </c>
      <c r="I835" s="2" t="str">
        <f>IFERROR(__xludf.DUMMYFUNCTION("GOOGLETRANSLATE(C835,""fr"",""en"")"),"A real mutual for complete health and foresight coverage. No competition with equal coverage.")</f>
        <v>A real mutual for complete health and foresight coverage. No competition with equal coverage.</v>
      </c>
    </row>
    <row r="836" ht="15.75" customHeight="1">
      <c r="A836" s="2">
        <v>2.0</v>
      </c>
      <c r="B836" s="2" t="s">
        <v>2325</v>
      </c>
      <c r="C836" s="2" t="s">
        <v>2326</v>
      </c>
      <c r="D836" s="2" t="s">
        <v>37</v>
      </c>
      <c r="E836" s="2" t="s">
        <v>27</v>
      </c>
      <c r="F836" s="2" t="s">
        <v>15</v>
      </c>
      <c r="G836" s="2" t="s">
        <v>1567</v>
      </c>
      <c r="H836" s="2" t="s">
        <v>228</v>
      </c>
      <c r="I836" s="2" t="str">
        <f>IFERROR(__xludf.DUMMYFUNCTION("GOOGLETRANSLATE(C836,""fr"",""en"")"),"The membership service is rather practical. On the other hand on the price side, disappointed for this 3rd vehicle which remains expensive to third party + broken ice knowing that I have 50%bonus.
I go over a year but I would certainly see to ensure it e"&amp;"lsewhere afterwards.")</f>
        <v>The membership service is rather practical. On the other hand on the price side, disappointed for this 3rd vehicle which remains expensive to third party + broken ice knowing that I have 50%bonus.
I go over a year but I would certainly see to ensure it elsewhere afterwards.</v>
      </c>
    </row>
    <row r="837" ht="15.75" customHeight="1">
      <c r="A837" s="2">
        <v>1.0</v>
      </c>
      <c r="B837" s="2" t="s">
        <v>2327</v>
      </c>
      <c r="C837" s="2" t="s">
        <v>2328</v>
      </c>
      <c r="D837" s="2" t="s">
        <v>288</v>
      </c>
      <c r="E837" s="2" t="s">
        <v>289</v>
      </c>
      <c r="F837" s="2" t="s">
        <v>15</v>
      </c>
      <c r="G837" s="2" t="s">
        <v>2329</v>
      </c>
      <c r="H837" s="2" t="s">
        <v>45</v>
      </c>
      <c r="I837" s="2" t="str">
        <f>IFERROR(__xludf.DUMMYFUNCTION("GOOGLETRANSLATE(C837,""fr"",""en"")"),"Succession still not resolved ????
I see that I am not the only one in this case ......")</f>
        <v>Succession still not resolved ????
I see that I am not the only one in this case ......</v>
      </c>
    </row>
    <row r="838" ht="15.75" customHeight="1">
      <c r="A838" s="2">
        <v>4.0</v>
      </c>
      <c r="B838" s="2" t="s">
        <v>2330</v>
      </c>
      <c r="C838" s="2" t="s">
        <v>2331</v>
      </c>
      <c r="D838" s="2" t="s">
        <v>37</v>
      </c>
      <c r="E838" s="2" t="s">
        <v>27</v>
      </c>
      <c r="F838" s="2" t="s">
        <v>15</v>
      </c>
      <c r="G838" s="2" t="s">
        <v>2332</v>
      </c>
      <c r="H838" s="2" t="s">
        <v>228</v>
      </c>
      <c r="I838" s="2" t="str">
        <f>IFERROR(__xludf.DUMMYFUNCTION("GOOGLETRANSLATE(C838,""fr"",""en"")"),"I am satisfied for the moment
I just regret not having an additional bonus because I have never had a claim since obtaining my license in 1992!")</f>
        <v>I am satisfied for the moment
I just regret not having an additional bonus because I have never had a claim since obtaining my license in 1992!</v>
      </c>
    </row>
    <row r="839" ht="15.75" customHeight="1">
      <c r="A839" s="2">
        <v>1.0</v>
      </c>
      <c r="B839" s="2" t="s">
        <v>2333</v>
      </c>
      <c r="C839" s="2" t="s">
        <v>2334</v>
      </c>
      <c r="D839" s="2" t="s">
        <v>946</v>
      </c>
      <c r="E839" s="2" t="s">
        <v>43</v>
      </c>
      <c r="F839" s="2" t="s">
        <v>15</v>
      </c>
      <c r="G839" s="2" t="s">
        <v>815</v>
      </c>
      <c r="H839" s="2" t="s">
        <v>39</v>
      </c>
      <c r="I839" s="2" t="str">
        <f>IFERROR(__xludf.DUMMYFUNCTION("GOOGLETRANSLATE(C839,""fr"",""en"")"),"To flee!! Go your way, I have been insured at home for many years, I have not met any claim, so everything is fine. My daughter was taken in a work -study company remotely from our home, so we took an apartment. Unfortunately, the company does not keep it"&amp;". We therefore terminated the rental contract and called Sogesur to suspend the insurance contract. The person told her that he had to wait for the inventory and send a letter of termination with a copy of the inventory of exit to prove his move. This inv"&amp;"entory being done at the end of the rental contract, we therefore waited for 1 month. After this period, I called it to have the address of sending mail, a very sympatric advisor communicates the address to me, confirms me to join the inventory, and tells"&amp;" me that it is not necessary to send it by registered mail !! I trust this person and immediately send the mail. 3 weeks later, my daughter receives a letter announcing that her request is not taken into account because the letter is not sent by registere"&amp;"d mail. They therefore received our request with proof of end of rental, and they decide not to take it into account. In addition they tell us that the end of the contract will take effect 1 month after receipt of the registered mail that I must return .."&amp;". with once again the copy of the inventory. We called in early December 2019, inventory 01/14/2020 Return from negative mail 02/28/2020 ... Deadline of one more month .... This gives them 3 months more paid for a no apartment busy!! These ways of doing t"&amp;"hings are really unacceptable and I will therefore change my insurance contract for our home as soon as possible ... They should be denounced to the repression of fraud it is really abuse !!")</f>
        <v>To flee!! Go your way, I have been insured at home for many years, I have not met any claim, so everything is fine. My daughter was taken in a work -study company remotely from our home, so we took an apartment. Unfortunately, the company does not keep it. We therefore terminated the rental contract and called Sogesur to suspend the insurance contract. The person told her that he had to wait for the inventory and send a letter of termination with a copy of the inventory of exit to prove his move. This inventory being done at the end of the rental contract, we therefore waited for 1 month. After this period, I called it to have the address of sending mail, a very sympatric advisor communicates the address to me, confirms me to join the inventory, and tells me that it is not necessary to send it by registered mail !! I trust this person and immediately send the mail. 3 weeks later, my daughter receives a letter announcing that her request is not taken into account because the letter is not sent by registered mail. They therefore received our request with proof of end of rental, and they decide not to take it into account. In addition they tell us that the end of the contract will take effect 1 month after receipt of the registered mail that I must return ... with once again the copy of the inventory. We called in early December 2019, inventory 01/14/2020 Return from negative mail 02/28/2020 ... Deadline of one more month .... This gives them 3 months more paid for a no apartment busy!! These ways of doing things are really unacceptable and I will therefore change my insurance contract for our home as soon as possible ... They should be denounced to the repression of fraud it is really abuse !!</v>
      </c>
    </row>
    <row r="840" ht="15.75" customHeight="1">
      <c r="A840" s="2">
        <v>1.0</v>
      </c>
      <c r="B840" s="2" t="s">
        <v>2335</v>
      </c>
      <c r="C840" s="2" t="s">
        <v>2336</v>
      </c>
      <c r="D840" s="2" t="s">
        <v>234</v>
      </c>
      <c r="E840" s="2" t="s">
        <v>21</v>
      </c>
      <c r="F840" s="2" t="s">
        <v>15</v>
      </c>
      <c r="G840" s="2" t="s">
        <v>770</v>
      </c>
      <c r="H840" s="2" t="s">
        <v>29</v>
      </c>
      <c r="I840" s="2" t="str">
        <f>IFERROR(__xludf.DUMMYFUNCTION("GOOGLETRANSLATE(C840,""fr"",""en"")"),"Above all, I strongly advise you to avoid this mutual health insurance. I have been one of the customers since 01/01/211. At the beginning of the year as the mutual could not connect to the remote transmission, which after a few months surprises me a lot,"&amp;" I had to write 3 times to Amélie and transmitted the answers to the mutual to have won the case february ?????
This mutual insurance company does not respond to any request, including the recommended letters with AR ??? I wrote to the address of the med"&amp;"iator appearing on the contract, answer can not be answered because this mutual insurance does not exist in their files? ??
I have in the contract possible reimbursements possible of alternative medicine up to 180 €, all this confirmed during my telephon"&amp;"e calls, since June 5, 21 I transmitted the invoice of the osteopathic doctor, despite the reminders by email, Contacts on their site I still do not have a reimbursement of 25 € which is due to me. I am answered on the phone that I have been reimbursed, w"&amp;"hen it is written reimbursement of € 25 and just below -25 €. Then the answer was ""it is a computer beug"" ???? In writing as I did relance every day I was told that I was 100%, and therefore the security reimbursed me, which is false because the prescri"&amp;"ption of the predisated osteopath doctor of two lines 30 € for the medical and a line 30 € for osteopathy ????
So do what you want but given my experience I commit you not to subscribe if good do not want to live what I live.
")</f>
        <v>Above all, I strongly advise you to avoid this mutual health insurance. I have been one of the customers since 01/01/211. At the beginning of the year as the mutual could not connect to the remote transmission, which after a few months surprises me a lot, I had to write 3 times to Amélie and transmitted the answers to the mutual to have won the case february ?????
This mutual insurance company does not respond to any request, including the recommended letters with AR ??? I wrote to the address of the mediator appearing on the contract, answer can not be answered because this mutual insurance does not exist in their files? ??
I have in the contract possible reimbursements possible of alternative medicine up to 180 €, all this confirmed during my telephone calls, since June 5, 21 I transmitted the invoice of the osteopathic doctor, despite the reminders by email, Contacts on their site I still do not have a reimbursement of 25 € which is due to me. I am answered on the phone that I have been reimbursed, when it is written reimbursement of € 25 and just below -25 €. Then the answer was "it is a computer beug" ???? In writing as I did relance every day I was told that I was 100%, and therefore the security reimbursed me, which is false because the prescription of the predisated osteopath doctor of two lines 30 € for the medical and a line 30 € for osteopathy ????
So do what you want but given my experience I commit you not to subscribe if good do not want to live what I live.
</v>
      </c>
    </row>
    <row r="841" ht="15.75" customHeight="1">
      <c r="A841" s="2">
        <v>4.0</v>
      </c>
      <c r="B841" s="2" t="s">
        <v>2337</v>
      </c>
      <c r="C841" s="2" t="s">
        <v>2338</v>
      </c>
      <c r="D841" s="2" t="s">
        <v>368</v>
      </c>
      <c r="E841" s="2" t="s">
        <v>68</v>
      </c>
      <c r="F841" s="2" t="s">
        <v>15</v>
      </c>
      <c r="G841" s="2" t="s">
        <v>1716</v>
      </c>
      <c r="H841" s="2" t="s">
        <v>62</v>
      </c>
      <c r="I841" s="2" t="str">
        <f>IFERROR(__xludf.DUMMYFUNCTION("GOOGLETRANSLATE(C841,""fr"",""en"")"),"The digital service is very practical, fluid, and easy to handle, the prices are unfortunately like all the insurance quite high but realistic, finally I find the customer service great!")</f>
        <v>The digital service is very practical, fluid, and easy to handle, the prices are unfortunately like all the insurance quite high but realistic, finally I find the customer service great!</v>
      </c>
    </row>
    <row r="842" ht="15.75" customHeight="1">
      <c r="A842" s="2">
        <v>4.0</v>
      </c>
      <c r="B842" s="2" t="s">
        <v>2339</v>
      </c>
      <c r="C842" s="2" t="s">
        <v>2340</v>
      </c>
      <c r="D842" s="2" t="s">
        <v>37</v>
      </c>
      <c r="E842" s="2" t="s">
        <v>27</v>
      </c>
      <c r="F842" s="2" t="s">
        <v>15</v>
      </c>
      <c r="G842" s="2" t="s">
        <v>854</v>
      </c>
      <c r="H842" s="2" t="s">
        <v>134</v>
      </c>
      <c r="I842" s="2" t="str">
        <f>IFERROR(__xludf.DUMMYFUNCTION("GOOGLETRANSLATE(C842,""fr"",""en"")"),"For the moment very satisfied but also all new at Direct Assurances. To see later! If unfortunately I happen to me, I hope to have the same opinion as today on this insurance.")</f>
        <v>For the moment very satisfied but also all new at Direct Assurances. To see later! If unfortunately I happen to me, I hope to have the same opinion as today on this insurance.</v>
      </c>
    </row>
    <row r="843" ht="15.75" customHeight="1">
      <c r="A843" s="2">
        <v>4.0</v>
      </c>
      <c r="B843" s="2" t="s">
        <v>2341</v>
      </c>
      <c r="C843" s="2" t="s">
        <v>2342</v>
      </c>
      <c r="D843" s="2" t="s">
        <v>67</v>
      </c>
      <c r="E843" s="2" t="s">
        <v>68</v>
      </c>
      <c r="F843" s="2" t="s">
        <v>15</v>
      </c>
      <c r="G843" s="2" t="s">
        <v>332</v>
      </c>
      <c r="H843" s="2" t="s">
        <v>29</v>
      </c>
      <c r="I843" s="2" t="str">
        <f>IFERROR(__xludf.DUMMYFUNCTION("GOOGLETRANSLATE(C843,""fr"",""en"")"),"Best rates so not super practical, I think that the payment of 2 first months in advance is a bit annoying but hey it gives you safety")</f>
        <v>Best rates so not super practical, I think that the payment of 2 first months in advance is a bit annoying but hey it gives you safety</v>
      </c>
    </row>
    <row r="844" ht="15.75" customHeight="1">
      <c r="A844" s="2">
        <v>4.0</v>
      </c>
      <c r="B844" s="2" t="s">
        <v>2343</v>
      </c>
      <c r="C844" s="2" t="s">
        <v>2344</v>
      </c>
      <c r="D844" s="2" t="s">
        <v>26</v>
      </c>
      <c r="E844" s="2" t="s">
        <v>27</v>
      </c>
      <c r="F844" s="2" t="s">
        <v>15</v>
      </c>
      <c r="G844" s="2" t="s">
        <v>1552</v>
      </c>
      <c r="H844" s="2" t="s">
        <v>134</v>
      </c>
      <c r="I844" s="2" t="str">
        <f>IFERROR(__xludf.DUMMYFUNCTION("GOOGLETRANSLATE(C844,""fr"",""en"")"),"Satisfied with the advice I had on the phone: patient, understanding and adapted to my request.
But very long on the phone and a solution adapted to my payment")</f>
        <v>Satisfied with the advice I had on the phone: patient, understanding and adapted to my request.
But very long on the phone and a solution adapted to my payment</v>
      </c>
    </row>
    <row r="845" ht="15.75" customHeight="1">
      <c r="A845" s="2">
        <v>3.0</v>
      </c>
      <c r="B845" s="2" t="s">
        <v>2345</v>
      </c>
      <c r="C845" s="2" t="s">
        <v>2346</v>
      </c>
      <c r="D845" s="2" t="s">
        <v>37</v>
      </c>
      <c r="E845" s="2" t="s">
        <v>27</v>
      </c>
      <c r="F845" s="2" t="s">
        <v>15</v>
      </c>
      <c r="G845" s="2" t="s">
        <v>2347</v>
      </c>
      <c r="H845" s="2" t="s">
        <v>174</v>
      </c>
      <c r="I845" s="2" t="str">
        <f>IFERROR(__xludf.DUMMYFUNCTION("GOOGLETRANSLATE(C845,""fr"",""en"")"),"Customer for 3 years at Direct Insurance, I was attracted by the low prices charged by this insurer.
Only on each anniversary date, the price increased even if I have never had any claim to declare.
Another insurer explained to me that the ""good driver"&amp;"s"" paid for ""bad"" at Direct Insurance.
Oh good ?! ... uh ... goodbye direct insurance.
")</f>
        <v>Customer for 3 years at Direct Insurance, I was attracted by the low prices charged by this insurer.
Only on each anniversary date, the price increased even if I have never had any claim to declare.
Another insurer explained to me that the "good drivers" paid for "bad" at Direct Insurance.
Oh good ?! ... uh ... goodbye direct insurance.
</v>
      </c>
    </row>
    <row r="846" ht="15.75" customHeight="1">
      <c r="A846" s="2">
        <v>4.0</v>
      </c>
      <c r="B846" s="2" t="s">
        <v>2348</v>
      </c>
      <c r="C846" s="2" t="s">
        <v>2349</v>
      </c>
      <c r="D846" s="2" t="s">
        <v>67</v>
      </c>
      <c r="E846" s="2" t="s">
        <v>68</v>
      </c>
      <c r="F846" s="2" t="s">
        <v>15</v>
      </c>
      <c r="G846" s="2" t="s">
        <v>399</v>
      </c>
      <c r="H846" s="2" t="s">
        <v>29</v>
      </c>
      <c r="I846" s="2" t="str">
        <f>IFERROR(__xludf.DUMMYFUNCTION("GOOGLETRANSLATE(C846,""fr"",""en"")"),"Simple and quick, satisfactory price, I recommend this site which is clear and well detailed, everything is perfect
Everything is done on the internet quote payment does not even bother to move save time")</f>
        <v>Simple and quick, satisfactory price, I recommend this site which is clear and well detailed, everything is perfect
Everything is done on the internet quote payment does not even bother to move save time</v>
      </c>
    </row>
    <row r="847" ht="15.75" customHeight="1">
      <c r="A847" s="2">
        <v>1.0</v>
      </c>
      <c r="B847" s="2" t="s">
        <v>2350</v>
      </c>
      <c r="C847" s="2" t="s">
        <v>2351</v>
      </c>
      <c r="D847" s="2" t="s">
        <v>48</v>
      </c>
      <c r="E847" s="2" t="s">
        <v>21</v>
      </c>
      <c r="F847" s="2" t="s">
        <v>15</v>
      </c>
      <c r="G847" s="2" t="s">
        <v>1814</v>
      </c>
      <c r="H847" s="2" t="s">
        <v>694</v>
      </c>
      <c r="I847" s="2" t="str">
        <f>IFERROR(__xludf.DUMMYFUNCTION("GOOGLETRANSLATE(C847,""fr"",""en"")"),"A scandal this mutual! To subscribe to no problem, everything is simple and quick. When it comes to terminating it because we have subscribed to another mutual (that of my company), this is another case: 4 months of waiting, I am told that the documents s"&amp;"ent are not correct and we continue to take every month from my account when the mutual is no longer active.
In short, a mutual to flee absolutely !!")</f>
        <v>A scandal this mutual! To subscribe to no problem, everything is simple and quick. When it comes to terminating it because we have subscribed to another mutual (that of my company), this is another case: 4 months of waiting, I am told that the documents sent are not correct and we continue to take every month from my account when the mutual is no longer active.
In short, a mutual to flee absolutely !!</v>
      </c>
    </row>
    <row r="848" ht="15.75" customHeight="1">
      <c r="A848" s="2">
        <v>2.0</v>
      </c>
      <c r="B848" s="2" t="s">
        <v>2352</v>
      </c>
      <c r="C848" s="2" t="s">
        <v>2353</v>
      </c>
      <c r="D848" s="2" t="s">
        <v>42</v>
      </c>
      <c r="E848" s="2" t="s">
        <v>43</v>
      </c>
      <c r="F848" s="2" t="s">
        <v>15</v>
      </c>
      <c r="G848" s="2" t="s">
        <v>2354</v>
      </c>
      <c r="H848" s="2" t="s">
        <v>497</v>
      </c>
      <c r="I848" s="2" t="str">
        <f>IFERROR(__xludf.DUMMYFUNCTION("GOOGLETRANSLATE(C848,""fr"",""en"")"),"Like many who testify here, I have been a member for more than 20 years to Maif. It seems that this insurance has taken a turn for two years, which has increased this year 2020. Me too after a water damage, their expert did not move and has underlined the"&amp;" damage. Naively I said that I wanted a counter expertise and during this time I advanced the money for part of the repairs. Result, the expert has still not moved and has established to pay 2 franchises instead of one, did not reassess the work saying th"&amp;"at in view of my annual subscription it was sufficient. I have been waiting for a month for the reimbursement check that Maif says he sent that I have never received. When I claimed it, the agent said it was a transfer, then said it was a check. In short,"&amp;" management of the file between contempt of the customer and negligence. What happened in this insurance reserved for teachers, who have become a Spanish inn for the benefit of the richest?")</f>
        <v>Like many who testify here, I have been a member for more than 20 years to Maif. It seems that this insurance has taken a turn for two years, which has increased this year 2020. Me too after a water damage, their expert did not move and has underlined the damage. Naively I said that I wanted a counter expertise and during this time I advanced the money for part of the repairs. Result, the expert has still not moved and has established to pay 2 franchises instead of one, did not reassess the work saying that in view of my annual subscription it was sufficient. I have been waiting for a month for the reimbursement check that Maif says he sent that I have never received. When I claimed it, the agent said it was a transfer, then said it was a check. In short, management of the file between contempt of the customer and negligence. What happened in this insurance reserved for teachers, who have become a Spanish inn for the benefit of the richest?</v>
      </c>
    </row>
    <row r="849" ht="15.75" customHeight="1">
      <c r="A849" s="2">
        <v>1.0</v>
      </c>
      <c r="B849" s="2" t="s">
        <v>2355</v>
      </c>
      <c r="C849" s="2" t="s">
        <v>2356</v>
      </c>
      <c r="D849" s="2" t="s">
        <v>13</v>
      </c>
      <c r="E849" s="2" t="s">
        <v>14</v>
      </c>
      <c r="F849" s="2" t="s">
        <v>15</v>
      </c>
      <c r="G849" s="2" t="s">
        <v>2357</v>
      </c>
      <c r="H849" s="2" t="s">
        <v>1177</v>
      </c>
      <c r="I849" s="2" t="str">
        <f>IFERROR(__xludf.DUMMYFUNCTION("GOOGLETRANSLATE(C849,""fr"",""en"")"),"Hello I am in invalidity category 2 since August 2015 I am declared Shyzophrene so the right of work we made feet and hands to have the property insurance worked for me to compensate me for 3 years in 2016 I was summoned by a Expert of their choices at 60"&amp;" kilometers from my home he put me in IPT April 2017 Reconconition before another expert there he said to me at the end of care by that less than 66/100 of invalidity having a small pension I can no longer Facing I will lose my house because of my illness"&amp;" I find that not just I don't know what to do now I do not recommend cardiff absolutely")</f>
        <v>Hello I am in invalidity category 2 since August 2015 I am declared Shyzophrene so the right of work we made feet and hands to have the property insurance worked for me to compensate me for 3 years in 2016 I was summoned by a Expert of their choices at 60 kilometers from my home he put me in IPT April 2017 Reconconition before another expert there he said to me at the end of care by that less than 66/100 of invalidity having a small pension I can no longer Facing I will lose my house because of my illness I find that not just I don't know what to do now I do not recommend cardiff absolutely</v>
      </c>
    </row>
    <row r="850" ht="15.75" customHeight="1">
      <c r="A850" s="2">
        <v>4.0</v>
      </c>
      <c r="B850" s="2" t="s">
        <v>2358</v>
      </c>
      <c r="C850" s="2" t="s">
        <v>2359</v>
      </c>
      <c r="D850" s="2" t="s">
        <v>32</v>
      </c>
      <c r="E850" s="2" t="s">
        <v>21</v>
      </c>
      <c r="F850" s="2" t="s">
        <v>15</v>
      </c>
      <c r="G850" s="2" t="s">
        <v>182</v>
      </c>
      <c r="H850" s="2" t="s">
        <v>182</v>
      </c>
      <c r="I850" s="2" t="str">
        <f>IFERROR(__xludf.DUMMYFUNCTION("GOOGLETRANSLATE(C850,""fr"",""en"")"),"Advisers who respond quickly, and who find solutions. The prices are a little high for the guarantees I can claim, for example the glasses packages")</f>
        <v>Advisers who respond quickly, and who find solutions. The prices are a little high for the guarantees I can claim, for example the glasses packages</v>
      </c>
    </row>
    <row r="851" ht="15.75" customHeight="1">
      <c r="A851" s="2">
        <v>2.0</v>
      </c>
      <c r="B851" s="2" t="s">
        <v>2360</v>
      </c>
      <c r="C851" s="2" t="s">
        <v>2361</v>
      </c>
      <c r="D851" s="2" t="s">
        <v>37</v>
      </c>
      <c r="E851" s="2" t="s">
        <v>27</v>
      </c>
      <c r="F851" s="2" t="s">
        <v>15</v>
      </c>
      <c r="G851" s="2" t="s">
        <v>2362</v>
      </c>
      <c r="H851" s="2" t="s">
        <v>228</v>
      </c>
      <c r="I851" s="2" t="str">
        <f>IFERROR(__xludf.DUMMYFUNCTION("GOOGLETRANSLATE(C851,""fr"",""en"")"),"Very well as long as you do not have the slightest concerns nickel samples ... but as soon as you call for the slightest concern the operator seeks the slightest flaw to avoid reimbursement, or to increase the amount of the franchise, example for a Ice br"&amp;"oken ""do you have no impact on your body? ..."" If you answer yes it is no longer the broken ice ...
For a break -in ice ""have you found the disappearance of a personal effect?
the same...
Be careful for pano roofs ...
Ok I let you discover or redis"&amp;"cover your contract ... hands a man warns in your lots of others !!!!!
")</f>
        <v>Very well as long as you do not have the slightest concerns nickel samples ... but as soon as you call for the slightest concern the operator seeks the slightest flaw to avoid reimbursement, or to increase the amount of the franchise, example for a Ice broken "do you have no impact on your body? ..." If you answer yes it is no longer the broken ice ...
For a break -in ice "have you found the disappearance of a personal effect?
the same...
Be careful for pano roofs ...
Ok I let you discover or rediscover your contract ... hands a man warns in your lots of others !!!!!
</v>
      </c>
    </row>
    <row r="852" ht="15.75" customHeight="1">
      <c r="A852" s="2">
        <v>5.0</v>
      </c>
      <c r="B852" s="2" t="s">
        <v>2363</v>
      </c>
      <c r="C852" s="2" t="s">
        <v>2364</v>
      </c>
      <c r="D852" s="2" t="s">
        <v>26</v>
      </c>
      <c r="E852" s="2" t="s">
        <v>27</v>
      </c>
      <c r="F852" s="2" t="s">
        <v>15</v>
      </c>
      <c r="G852" s="2" t="s">
        <v>1494</v>
      </c>
      <c r="H852" s="2" t="s">
        <v>62</v>
      </c>
      <c r="I852" s="2" t="str">
        <f>IFERROR(__xludf.DUMMYFUNCTION("GOOGLETRANSLATE(C852,""fr"",""en"")"),"Very warm telephone reception (by Maxime): expert, good advice, listening, attractive price without unpleasant surprise, simple and quick, I sincerely recommend")</f>
        <v>Very warm telephone reception (by Maxime): expert, good advice, listening, attractive price without unpleasant surprise, simple and quick, I sincerely recommend</v>
      </c>
    </row>
    <row r="853" ht="15.75" customHeight="1">
      <c r="A853" s="2">
        <v>1.0</v>
      </c>
      <c r="B853" s="2" t="s">
        <v>2365</v>
      </c>
      <c r="C853" s="2" t="s">
        <v>2366</v>
      </c>
      <c r="D853" s="2" t="s">
        <v>37</v>
      </c>
      <c r="E853" s="2" t="s">
        <v>27</v>
      </c>
      <c r="F853" s="2" t="s">
        <v>15</v>
      </c>
      <c r="G853" s="2" t="s">
        <v>2367</v>
      </c>
      <c r="H853" s="2" t="s">
        <v>228</v>
      </c>
      <c r="I853" s="2" t="str">
        <f>IFERROR(__xludf.DUMMYFUNCTION("GOOGLETRANSLATE(C853,""fr"",""en"")"),"Really disappointed with this insurance I advise against everyone when we need them they are unreachable and when we get there they hang up on us ??????????????? ????????????")</f>
        <v>Really disappointed with this insurance I advise against everyone when we need them they are unreachable and when we get there they hang up on us ??????????????? ????????????</v>
      </c>
    </row>
    <row r="854" ht="15.75" customHeight="1">
      <c r="A854" s="2">
        <v>3.0</v>
      </c>
      <c r="B854" s="2" t="s">
        <v>2368</v>
      </c>
      <c r="C854" s="2" t="s">
        <v>2369</v>
      </c>
      <c r="D854" s="2" t="s">
        <v>37</v>
      </c>
      <c r="E854" s="2" t="s">
        <v>27</v>
      </c>
      <c r="F854" s="2" t="s">
        <v>15</v>
      </c>
      <c r="G854" s="2" t="s">
        <v>191</v>
      </c>
      <c r="H854" s="2" t="s">
        <v>23</v>
      </c>
      <c r="I854" s="2" t="str">
        <f>IFERROR(__xludf.DUMMYFUNCTION("GOOGLETRANSLATE(C854,""fr"",""en"")"),"The problem with you is the annual increases, which are in total offsetting for the average annual index. And which make that after two or three years, it is more interesting to change your insurer!")</f>
        <v>The problem with you is the annual increases, which are in total offsetting for the average annual index. And which make that after two or three years, it is more interesting to change your insurer!</v>
      </c>
    </row>
    <row r="855" ht="15.75" customHeight="1">
      <c r="A855" s="2">
        <v>2.0</v>
      </c>
      <c r="B855" s="2" t="s">
        <v>2370</v>
      </c>
      <c r="C855" s="2" t="s">
        <v>2371</v>
      </c>
      <c r="D855" s="2" t="s">
        <v>37</v>
      </c>
      <c r="E855" s="2" t="s">
        <v>27</v>
      </c>
      <c r="F855" s="2" t="s">
        <v>15</v>
      </c>
      <c r="G855" s="2" t="s">
        <v>1280</v>
      </c>
      <c r="H855" s="2" t="s">
        <v>23</v>
      </c>
      <c r="I855" s="2" t="str">
        <f>IFERROR(__xludf.DUMMYFUNCTION("GOOGLETRANSLATE(C855,""fr"",""en"")"),"Not satisfied, I go to a quiet village, with a garage to park my car, and my subscription increases, because supposedly the rate is higher than in a big city.
I find out to go to my partner's assurance.")</f>
        <v>Not satisfied, I go to a quiet village, with a garage to park my car, and my subscription increases, because supposedly the rate is higher than in a big city.
I find out to go to my partner's assurance.</v>
      </c>
    </row>
    <row r="856" ht="15.75" customHeight="1">
      <c r="A856" s="2">
        <v>1.0</v>
      </c>
      <c r="B856" s="2" t="s">
        <v>2372</v>
      </c>
      <c r="C856" s="2" t="s">
        <v>2373</v>
      </c>
      <c r="D856" s="2" t="s">
        <v>180</v>
      </c>
      <c r="E856" s="2" t="s">
        <v>21</v>
      </c>
      <c r="F856" s="2" t="s">
        <v>15</v>
      </c>
      <c r="G856" s="2" t="s">
        <v>412</v>
      </c>
      <c r="H856" s="2" t="s">
        <v>112</v>
      </c>
      <c r="I856" s="2" t="str">
        <f>IFERROR(__xludf.DUMMYFUNCTION("GOOGLETRANSLATE(C856,""fr"",""en"")"),"Change of reimbursement criteria linked to modified orthodontics without clear communication and without decrease in the rate of direct debits.
A galley to reach them by phone, email ....
A great difficulty in changing contracts and then terminating.
N"&amp;"omotwind ++++++++")</f>
        <v>Change of reimbursement criteria linked to modified orthodontics without clear communication and without decrease in the rate of direct debits.
A galley to reach them by phone, email ....
A great difficulty in changing contracts and then terminating.
Nomotwind ++++++++</v>
      </c>
    </row>
    <row r="857" ht="15.75" customHeight="1">
      <c r="A857" s="2">
        <v>3.0</v>
      </c>
      <c r="B857" s="2" t="s">
        <v>2374</v>
      </c>
      <c r="C857" s="2" t="s">
        <v>2375</v>
      </c>
      <c r="D857" s="2" t="s">
        <v>37</v>
      </c>
      <c r="E857" s="2" t="s">
        <v>27</v>
      </c>
      <c r="F857" s="2" t="s">
        <v>15</v>
      </c>
      <c r="G857" s="2" t="s">
        <v>2376</v>
      </c>
      <c r="H857" s="2" t="s">
        <v>80</v>
      </c>
      <c r="I857" s="2" t="str">
        <f>IFERROR(__xludf.DUMMYFUNCTION("GOOGLETRANSLATE(C857,""fr"",""en"")"),"Fast and efficient regarding the establishment of quote! I recommend! Cheaper than most competitors! Offer offered attractive and ergonomic site")</f>
        <v>Fast and efficient regarding the establishment of quote! I recommend! Cheaper than most competitors! Offer offered attractive and ergonomic site</v>
      </c>
    </row>
    <row r="858" ht="15.75" customHeight="1">
      <c r="A858" s="2">
        <v>4.0</v>
      </c>
      <c r="B858" s="2" t="s">
        <v>2377</v>
      </c>
      <c r="C858" s="2" t="s">
        <v>2378</v>
      </c>
      <c r="D858" s="2" t="s">
        <v>26</v>
      </c>
      <c r="E858" s="2" t="s">
        <v>27</v>
      </c>
      <c r="F858" s="2" t="s">
        <v>15</v>
      </c>
      <c r="G858" s="2" t="s">
        <v>829</v>
      </c>
      <c r="H858" s="2" t="s">
        <v>62</v>
      </c>
      <c r="I858" s="2" t="str">
        <f>IFERROR(__xludf.DUMMYFUNCTION("GOOGLETRANSLATE(C858,""fr"",""en"")"),"Good value for money.
For the service, I cannot say the moment. It is in the event of a claim that we will know ...
But for telephone reception and service, very good!")</f>
        <v>Good value for money.
For the service, I cannot say the moment. It is in the event of a claim that we will know ...
But for telephone reception and service, very good!</v>
      </c>
    </row>
    <row r="859" ht="15.75" customHeight="1">
      <c r="A859" s="2">
        <v>5.0</v>
      </c>
      <c r="B859" s="2" t="s">
        <v>2379</v>
      </c>
      <c r="C859" s="2" t="s">
        <v>2380</v>
      </c>
      <c r="D859" s="2" t="s">
        <v>107</v>
      </c>
      <c r="E859" s="2" t="s">
        <v>21</v>
      </c>
      <c r="F859" s="2" t="s">
        <v>15</v>
      </c>
      <c r="G859" s="2" t="s">
        <v>195</v>
      </c>
      <c r="H859" s="2" t="s">
        <v>29</v>
      </c>
      <c r="I859" s="2" t="str">
        <f>IFERROR(__xludf.DUMMYFUNCTION("GOOGLETRANSLATE(C859,""fr"",""en"")"),"Hello I thank Witad for his skills friendships and his answers a little waiting my officials know that there are not everywhere networks and we are penalizing if you have to contact you by phone know that a person who calls you is to be taken In considera"&amp;"tion on internet communications means has not overwhelmed all cordially Ms. Benetier
")</f>
        <v>Hello I thank Witad for his skills friendships and his answers a little waiting my officials know that there are not everywhere networks and we are penalizing if you have to contact you by phone know that a person who calls you is to be taken In consideration on internet communications means has not overwhelmed all cordially Ms. Benetier
</v>
      </c>
    </row>
    <row r="860" ht="15.75" customHeight="1">
      <c r="A860" s="2">
        <v>5.0</v>
      </c>
      <c r="B860" s="2" t="s">
        <v>2381</v>
      </c>
      <c r="C860" s="2" t="s">
        <v>2382</v>
      </c>
      <c r="D860" s="2" t="s">
        <v>599</v>
      </c>
      <c r="E860" s="2" t="s">
        <v>168</v>
      </c>
      <c r="F860" s="2" t="s">
        <v>15</v>
      </c>
      <c r="G860" s="2" t="s">
        <v>1435</v>
      </c>
      <c r="H860" s="2" t="s">
        <v>23</v>
      </c>
      <c r="I860" s="2" t="str">
        <f>IFERROR(__xludf.DUMMYFUNCTION("GOOGLETRANSLATE(C860,""fr"",""en"")"),"Hello I..Suis insured at Assurropoil ... and I recently encountered a problem of termination with another insurance ... I had as an interlocutor the manager of the termination service who took my problem of a a very large Relief for me ... if all insuranc"&amp;"e could have people like him !!! Life would be easier ... I highly recommend this insurance")</f>
        <v>Hello I..Suis insured at Assurropoil ... and I recently encountered a problem of termination with another insurance ... I had as an interlocutor the manager of the termination service who took my problem of a a very large Relief for me ... if all insurance could have people like him !!! Life would be easier ... I highly recommend this insurance</v>
      </c>
    </row>
    <row r="861" ht="15.75" customHeight="1">
      <c r="A861" s="2">
        <v>1.0</v>
      </c>
      <c r="B861" s="2" t="s">
        <v>2383</v>
      </c>
      <c r="C861" s="2" t="s">
        <v>2384</v>
      </c>
      <c r="D861" s="2" t="s">
        <v>245</v>
      </c>
      <c r="E861" s="2" t="s">
        <v>21</v>
      </c>
      <c r="F861" s="2" t="s">
        <v>15</v>
      </c>
      <c r="G861" s="2" t="s">
        <v>2385</v>
      </c>
      <c r="H861" s="2" t="s">
        <v>50</v>
      </c>
      <c r="I861" s="2" t="str">
        <f>IFERROR(__xludf.DUMMYFUNCTION("GOOGLETRANSLATE(C861,""fr"",""en"")"),"Hello, I am very unhappy.
Following the AG2R pandemic decides to help up to the very good.
05/28/2020 sent the request by email, OK reception notice. And to date no answer (2 months), when I phone, file still not treated, we are overwhelmed, you will re"&amp;"cruit a letter !!!!
We are 08/04/2020 I phone them and for response ""file still not treated and we are not sure that your file is studied.
It is a joke by phone always the same and by email does not answer. Hoping to have an answer through your CITE.")</f>
        <v>Hello, I am very unhappy.
Following the AG2R pandemic decides to help up to the very good.
05/28/2020 sent the request by email, OK reception notice. And to date no answer (2 months), when I phone, file still not treated, we are overwhelmed, you will recruit a letter !!!!
We are 08/04/2020 I phone them and for response "file still not treated and we are not sure that your file is studied.
It is a joke by phone always the same and by email does not answer. Hoping to have an answer through your CITE.</v>
      </c>
    </row>
    <row r="862" ht="15.75" customHeight="1">
      <c r="A862" s="2">
        <v>4.0</v>
      </c>
      <c r="B862" s="2" t="s">
        <v>2386</v>
      </c>
      <c r="C862" s="2" t="s">
        <v>2387</v>
      </c>
      <c r="D862" s="2" t="s">
        <v>26</v>
      </c>
      <c r="E862" s="2" t="s">
        <v>27</v>
      </c>
      <c r="F862" s="2" t="s">
        <v>15</v>
      </c>
      <c r="G862" s="2" t="s">
        <v>1212</v>
      </c>
      <c r="H862" s="2" t="s">
        <v>134</v>
      </c>
      <c r="I862" s="2" t="str">
        <f>IFERROR(__xludf.DUMMYFUNCTION("GOOGLETRANSLATE(C862,""fr"",""en"")"),"The contract is satisfactory in terms of guarantee
The quote as well as the contract are simple to perform online
The franchises are however high
")</f>
        <v>The contract is satisfactory in terms of guarantee
The quote as well as the contract are simple to perform online
The franchises are however high
</v>
      </c>
    </row>
    <row r="863" ht="15.75" customHeight="1">
      <c r="A863" s="2">
        <v>2.0</v>
      </c>
      <c r="B863" s="2" t="s">
        <v>2388</v>
      </c>
      <c r="C863" s="2" t="s">
        <v>2389</v>
      </c>
      <c r="D863" s="2" t="s">
        <v>107</v>
      </c>
      <c r="E863" s="2" t="s">
        <v>21</v>
      </c>
      <c r="F863" s="2" t="s">
        <v>15</v>
      </c>
      <c r="G863" s="2" t="s">
        <v>792</v>
      </c>
      <c r="H863" s="2" t="s">
        <v>88</v>
      </c>
      <c r="I863" s="2" t="str">
        <f>IFERROR(__xludf.DUMMYFUNCTION("GOOGLETRANSLATE(C863,""fr"",""en"")"),"I am not particularly satisfied with this mutual health insurance but my interview with my interlocutor Emeline was satisfactory. His response to my call was immediate, my urgent request was immediately processed with great kindness.")</f>
        <v>I am not particularly satisfied with this mutual health insurance but my interview with my interlocutor Emeline was satisfactory. His response to my call was immediate, my urgent request was immediately processed with great kindness.</v>
      </c>
    </row>
    <row r="864" ht="15.75" customHeight="1">
      <c r="A864" s="2">
        <v>1.0</v>
      </c>
      <c r="B864" s="2" t="s">
        <v>2390</v>
      </c>
      <c r="C864" s="2" t="s">
        <v>2391</v>
      </c>
      <c r="D864" s="2" t="s">
        <v>355</v>
      </c>
      <c r="E864" s="2" t="s">
        <v>27</v>
      </c>
      <c r="F864" s="2" t="s">
        <v>15</v>
      </c>
      <c r="G864" s="2" t="s">
        <v>181</v>
      </c>
      <c r="H864" s="2" t="s">
        <v>182</v>
      </c>
      <c r="I864" s="2" t="str">
        <f>IFERROR(__xludf.DUMMYFUNCTION("GOOGLETRANSLATE(C864,""fr"",""en"")"),"I want to share with all users a disastrous experience see traumatic with the company AXA. In 2016 I was shot by my neighbor 10 times and 6 9mm caliber balls touched my car and just failed to kill me. The car insured at AXA was first inspected by the loca"&amp;"l gendarmerie before being removed by AXA to be examined by an expert who found that body repairs were higher than the price of the vehicle. The car in question, certainly an old 205 but in perfect condition, was then transferred to a breakage before bein"&amp;"g destroyed penalizing me, in addition to the trauma of the attempted murder, the slightest possibility of moving in rural areas that of no transport service. Since the facts (going back to November 16, 2016 !!!!), and after making the request for termina"&amp;"tion on numerous occasions, I was walked from one service to another and I was charged nearly 4 Years of contributions from a vehicle riddled with bullets and destroyed by the care of the AXA company. An ubiquitous situation which each time brings me back"&amp;" to the trauma of the attempted murder. Do you imagine one day getting shot and having to pay for the assurance of a destroyed car for almost 4 years without even being reimbursed the vehicle? It is simply unworthy of an insurance company of your renown a"&amp;"nd I would like to prevent users that the behavior of the AXA services have been due to incomprehensible respect given the already very violent nature of the facts preventing me for My share of diving back into a new legal battle after that lived with my "&amp;"attacker and which lasted more than three years. Shame on you Axa and I hope to have a return from your fast and effective part to put an end to this masquerade. L.R")</f>
        <v>I want to share with all users a disastrous experience see traumatic with the company AXA. In 2016 I was shot by my neighbor 10 times and 6 9mm caliber balls touched my car and just failed to kill me. The car insured at AXA was first inspected by the local gendarmerie before being removed by AXA to be examined by an expert who found that body repairs were higher than the price of the vehicle. The car in question, certainly an old 205 but in perfect condition, was then transferred to a breakage before being destroyed penalizing me, in addition to the trauma of the attempted murder, the slightest possibility of moving in rural areas that of no transport service. Since the facts (going back to November 16, 2016 !!!!), and after making the request for termination on numerous occasions, I was walked from one service to another and I was charged nearly 4 Years of contributions from a vehicle riddled with bullets and destroyed by the care of the AXA company. An ubiquitous situation which each time brings me back to the trauma of the attempted murder. Do you imagine one day getting shot and having to pay for the assurance of a destroyed car for almost 4 years without even being reimbursed the vehicle? It is simply unworthy of an insurance company of your renown and I would like to prevent users that the behavior of the AXA services have been due to incomprehensible respect given the already very violent nature of the facts preventing me for My share of diving back into a new legal battle after that lived with my attacker and which lasted more than three years. Shame on you Axa and I hope to have a return from your fast and effective part to put an end to this masquerade. L.R</v>
      </c>
    </row>
    <row r="865" ht="15.75" customHeight="1">
      <c r="A865" s="2">
        <v>4.0</v>
      </c>
      <c r="B865" s="2" t="s">
        <v>2392</v>
      </c>
      <c r="C865" s="2" t="s">
        <v>2393</v>
      </c>
      <c r="D865" s="2" t="s">
        <v>26</v>
      </c>
      <c r="E865" s="2" t="s">
        <v>27</v>
      </c>
      <c r="F865" s="2" t="s">
        <v>15</v>
      </c>
      <c r="G865" s="2" t="s">
        <v>339</v>
      </c>
      <c r="H865" s="2" t="s">
        <v>134</v>
      </c>
      <c r="I865" s="2" t="str">
        <f>IFERROR(__xludf.DUMMYFUNCTION("GOOGLETRANSLATE(C865,""fr"",""en"")"),"I am satisfied at the moment but as I am novice I am waiting for the rest .... I have just signed my first automotive contract in my life")</f>
        <v>I am satisfied at the moment but as I am novice I am waiting for the rest .... I have just signed my first automotive contract in my life</v>
      </c>
    </row>
    <row r="866" ht="15.75" customHeight="1">
      <c r="A866" s="2">
        <v>1.0</v>
      </c>
      <c r="B866" s="2" t="s">
        <v>2394</v>
      </c>
      <c r="C866" s="2" t="s">
        <v>2395</v>
      </c>
      <c r="D866" s="2" t="s">
        <v>2396</v>
      </c>
      <c r="E866" s="2" t="s">
        <v>68</v>
      </c>
      <c r="F866" s="2" t="s">
        <v>15</v>
      </c>
      <c r="G866" s="2" t="s">
        <v>174</v>
      </c>
      <c r="H866" s="2" t="s">
        <v>174</v>
      </c>
      <c r="I866" s="2" t="str">
        <f>IFERROR(__xludf.DUMMYFUNCTION("GOOGLETRANSLATE(C866,""fr"",""en"")"),"Null customer service. Never responds to the email and does not recall when they leave a message")</f>
        <v>Null customer service. Never responds to the email and does not recall when they leave a message</v>
      </c>
    </row>
    <row r="867" ht="15.75" customHeight="1">
      <c r="A867" s="2">
        <v>5.0</v>
      </c>
      <c r="B867" s="2" t="s">
        <v>2397</v>
      </c>
      <c r="C867" s="2" t="s">
        <v>2398</v>
      </c>
      <c r="D867" s="2" t="s">
        <v>300</v>
      </c>
      <c r="E867" s="2" t="s">
        <v>27</v>
      </c>
      <c r="F867" s="2" t="s">
        <v>15</v>
      </c>
      <c r="G867" s="2" t="s">
        <v>834</v>
      </c>
      <c r="H867" s="2" t="s">
        <v>112</v>
      </c>
      <c r="I867" s="2" t="str">
        <f>IFERROR(__xludf.DUMMYFUNCTION("GOOGLETRANSLATE(C867,""fr"",""en"")"),"Impossible to find cheaper than the GMF with equal guarantees ...
It is not insurance but a mutual that offers unrivaled services to its members.")</f>
        <v>Impossible to find cheaper than the GMF with equal guarantees ...
It is not insurance but a mutual that offers unrivaled services to its members.</v>
      </c>
    </row>
    <row r="868" ht="15.75" customHeight="1">
      <c r="A868" s="2">
        <v>1.0</v>
      </c>
      <c r="B868" s="2" t="s">
        <v>2399</v>
      </c>
      <c r="C868" s="2" t="s">
        <v>2400</v>
      </c>
      <c r="D868" s="2" t="s">
        <v>167</v>
      </c>
      <c r="E868" s="2" t="s">
        <v>168</v>
      </c>
      <c r="F868" s="2" t="s">
        <v>15</v>
      </c>
      <c r="G868" s="2" t="s">
        <v>2401</v>
      </c>
      <c r="H868" s="2" t="s">
        <v>310</v>
      </c>
      <c r="I868" s="2" t="str">
        <f>IFERROR(__xludf.DUMMYFUNCTION("GOOGLETRANSLATE(C868,""fr"",""en"")"),"To really flee I have been insuming with them for 7 years now, I have sent a termination letter as well as several email 0 response! I blocked the sample then because having had no answer after 4 months I told myself that it was a big disrespect there biz"&amp;"arrely I am called to point out that I must continue to pay until June and who ask me for fees because of payment rejection ... When we pay strangely we have no answer and when we stop paying it wakes up it really disgusts me ...")</f>
        <v>To really flee I have been insuming with them for 7 years now, I have sent a termination letter as well as several email 0 response! I blocked the sample then because having had no answer after 4 months I told myself that it was a big disrespect there bizarrely I am called to point out that I must continue to pay until June and who ask me for fees because of payment rejection ... When we pay strangely we have no answer and when we stop paying it wakes up it really disgusts me ...</v>
      </c>
    </row>
    <row r="869" ht="15.75" customHeight="1">
      <c r="A869" s="2">
        <v>5.0</v>
      </c>
      <c r="B869" s="2" t="s">
        <v>2402</v>
      </c>
      <c r="C869" s="2" t="s">
        <v>2403</v>
      </c>
      <c r="D869" s="2" t="s">
        <v>26</v>
      </c>
      <c r="E869" s="2" t="s">
        <v>27</v>
      </c>
      <c r="F869" s="2" t="s">
        <v>15</v>
      </c>
      <c r="G869" s="2" t="s">
        <v>762</v>
      </c>
      <c r="H869" s="2" t="s">
        <v>141</v>
      </c>
      <c r="I869" s="2" t="str">
        <f>IFERROR(__xludf.DUMMYFUNCTION("GOOGLETRANSLATE(C869,""fr"",""en"")"),"Simple, fast, perfect, I recommend the Olivier Insurance. At the level of the price nothing to complain about. Insurance that has trusted me even with a small payment incident with an annual payment which is normal. Thank you")</f>
        <v>Simple, fast, perfect, I recommend the Olivier Insurance. At the level of the price nothing to complain about. Insurance that has trusted me even with a small payment incident with an annual payment which is normal. Thank you</v>
      </c>
    </row>
    <row r="870" ht="15.75" customHeight="1">
      <c r="A870" s="2">
        <v>4.0</v>
      </c>
      <c r="B870" s="2" t="s">
        <v>2404</v>
      </c>
      <c r="C870" s="2" t="s">
        <v>2405</v>
      </c>
      <c r="D870" s="2" t="s">
        <v>26</v>
      </c>
      <c r="E870" s="2" t="s">
        <v>27</v>
      </c>
      <c r="F870" s="2" t="s">
        <v>15</v>
      </c>
      <c r="G870" s="2" t="s">
        <v>728</v>
      </c>
      <c r="H870" s="2" t="s">
        <v>134</v>
      </c>
      <c r="I870" s="2" t="str">
        <f>IFERROR(__xludf.DUMMYFUNCTION("GOOGLETRANSLATE(C870,""fr"",""en"")"),"The price suits me, the offer is complete.
The proposal remains resonable when compared to the other offers made by the other insurer I had contacted.")</f>
        <v>The price suits me, the offer is complete.
The proposal remains resonable when compared to the other offers made by the other insurer I had contacted.</v>
      </c>
    </row>
    <row r="871" ht="15.75" customHeight="1">
      <c r="A871" s="2">
        <v>1.0</v>
      </c>
      <c r="B871" s="2" t="s">
        <v>2406</v>
      </c>
      <c r="C871" s="2" t="s">
        <v>2407</v>
      </c>
      <c r="D871" s="2" t="s">
        <v>234</v>
      </c>
      <c r="E871" s="2" t="s">
        <v>21</v>
      </c>
      <c r="F871" s="2" t="s">
        <v>15</v>
      </c>
      <c r="G871" s="2" t="s">
        <v>2408</v>
      </c>
      <c r="H871" s="2" t="s">
        <v>1112</v>
      </c>
      <c r="I871" s="2" t="str">
        <f>IFERROR(__xludf.DUMMYFUNCTION("GOOGLETRANSLATE(C871,""fr"",""en"")"),"Flee these people! Like so many others on this forum, I made myself have a blue: a person calls you and claims that your mutual file is incomplete. After a few classic administrative questions (they have specific information about you to trust you), she a"&amp;"sks you for a RIB (normal to be reimbursed) then ask you for an SMS code to confirm your identity (reassuring for a gullible like me!). I only realized the next day that the SMS number was in fact an electronic contract signature with levy of 25.19 euros/"&amp;"month! I didn't even know that such a signature mode was possible!
In short, here I am in the paperwork of termination and opposition of sampling and I feel that it will not be simple!
I do not know if it is possible to do a group action against them. I"&amp;"f someone has started an approach of this type, I would be happy to contribute to it.")</f>
        <v>Flee these people! Like so many others on this forum, I made myself have a blue: a person calls you and claims that your mutual file is incomplete. After a few classic administrative questions (they have specific information about you to trust you), she asks you for a RIB (normal to be reimbursed) then ask you for an SMS code to confirm your identity (reassuring for a gullible like me!). I only realized the next day that the SMS number was in fact an electronic contract signature with levy of 25.19 euros/month! I didn't even know that such a signature mode was possible!
In short, here I am in the paperwork of termination and opposition of sampling and I feel that it will not be simple!
I do not know if it is possible to do a group action against them. If someone has started an approach of this type, I would be happy to contribute to it.</v>
      </c>
    </row>
    <row r="872" ht="15.75" customHeight="1">
      <c r="A872" s="2">
        <v>5.0</v>
      </c>
      <c r="B872" s="2" t="s">
        <v>2409</v>
      </c>
      <c r="C872" s="2" t="s">
        <v>2410</v>
      </c>
      <c r="D872" s="2" t="s">
        <v>37</v>
      </c>
      <c r="E872" s="2" t="s">
        <v>27</v>
      </c>
      <c r="F872" s="2" t="s">
        <v>15</v>
      </c>
      <c r="G872" s="2" t="s">
        <v>2411</v>
      </c>
      <c r="H872" s="2" t="s">
        <v>62</v>
      </c>
      <c r="I872" s="2" t="str">
        <f>IFERROR(__xludf.DUMMYFUNCTION("GOOGLETRANSLATE(C872,""fr"",""en"")"),"I am very satifaite of the online service quite easy and well explained.)
I no longer save 220 euros to the Anne and the insurance coverage offers a third party
Seems coherent to me with clasical walking offers
")</f>
        <v>I am very satifaite of the online service quite easy and well explained.)
I no longer save 220 euros to the Anne and the insurance coverage offers a third party
Seems coherent to me with clasical walking offers
</v>
      </c>
    </row>
    <row r="873" ht="15.75" customHeight="1">
      <c r="A873" s="2">
        <v>2.0</v>
      </c>
      <c r="B873" s="2" t="s">
        <v>2412</v>
      </c>
      <c r="C873" s="2" t="s">
        <v>2413</v>
      </c>
      <c r="D873" s="2" t="s">
        <v>448</v>
      </c>
      <c r="E873" s="2" t="s">
        <v>43</v>
      </c>
      <c r="F873" s="2" t="s">
        <v>15</v>
      </c>
      <c r="G873" s="2" t="s">
        <v>595</v>
      </c>
      <c r="H873" s="2" t="s">
        <v>596</v>
      </c>
      <c r="I873" s="2" t="str">
        <f>IFERROR(__xludf.DUMMYFUNCTION("GOOGLETRANSLATE(C873,""fr"",""en"")"),"Present for information, subscribe to contracts and collect contributions and its only they assure you. I would have it one day that he said, he will no longer have us at the end of our contracts !!")</f>
        <v>Present for information, subscribe to contracts and collect contributions and its only they assure you. I would have it one day that he said, he will no longer have us at the end of our contracts !!</v>
      </c>
    </row>
    <row r="874" ht="15.75" customHeight="1">
      <c r="A874" s="2">
        <v>4.0</v>
      </c>
      <c r="B874" s="2" t="s">
        <v>2414</v>
      </c>
      <c r="C874" s="2" t="s">
        <v>2415</v>
      </c>
      <c r="D874" s="2" t="s">
        <v>37</v>
      </c>
      <c r="E874" s="2" t="s">
        <v>27</v>
      </c>
      <c r="F874" s="2" t="s">
        <v>15</v>
      </c>
      <c r="G874" s="2" t="s">
        <v>532</v>
      </c>
      <c r="H874" s="2" t="s">
        <v>23</v>
      </c>
      <c r="I874" s="2" t="str">
        <f>IFERROR(__xludf.DUMMYFUNCTION("GOOGLETRANSLATE(C874,""fr"",""en"")"),"I am satisfied with the service, suitable price, patient customer service and listening, easy access, new so a more legitimate opinion will be done afterwards")</f>
        <v>I am satisfied with the service, suitable price, patient customer service and listening, easy access, new so a more legitimate opinion will be done afterwards</v>
      </c>
    </row>
    <row r="875" ht="15.75" customHeight="1">
      <c r="A875" s="2">
        <v>1.0</v>
      </c>
      <c r="B875" s="2" t="s">
        <v>2416</v>
      </c>
      <c r="C875" s="2" t="s">
        <v>2417</v>
      </c>
      <c r="D875" s="2" t="s">
        <v>26</v>
      </c>
      <c r="E875" s="2" t="s">
        <v>27</v>
      </c>
      <c r="F875" s="2" t="s">
        <v>15</v>
      </c>
      <c r="G875" s="2" t="s">
        <v>1028</v>
      </c>
      <c r="H875" s="2" t="s">
        <v>88</v>
      </c>
      <c r="I875" s="2" t="str">
        <f>IFERROR(__xludf.DUMMYFUNCTION("GOOGLETRANSLATE(C875,""fr"",""en"")"),"I exceeded the probationary driver period and the amount of my insurance is the same ....
When you want to pay on the site by card it works once in two and we add costs ...")</f>
        <v>I exceeded the probationary driver period and the amount of my insurance is the same ....
When you want to pay on the site by card it works once in two and we add costs ...</v>
      </c>
    </row>
    <row r="876" ht="15.75" customHeight="1">
      <c r="A876" s="2">
        <v>1.0</v>
      </c>
      <c r="B876" s="2" t="s">
        <v>2418</v>
      </c>
      <c r="C876" s="2" t="s">
        <v>2419</v>
      </c>
      <c r="D876" s="2" t="s">
        <v>99</v>
      </c>
      <c r="E876" s="2" t="s">
        <v>27</v>
      </c>
      <c r="F876" s="2" t="s">
        <v>15</v>
      </c>
      <c r="G876" s="2" t="s">
        <v>2420</v>
      </c>
      <c r="H876" s="2" t="s">
        <v>50</v>
      </c>
      <c r="I876" s="2" t="str">
        <f>IFERROR(__xludf.DUMMYFUNCTION("GOOGLETRANSLATE(C876,""fr"",""en"")"),"No humanity at the level of customer service, unpleasant telephone advisor,
I am terminated because unfortunately I had 3 claims in the same year including 2 non -responsible, no possibility of negotiating my termination personally so as not to be blocke"&amp;"d in my future steps.
The advisor was odious, I am appalled!")</f>
        <v>No humanity at the level of customer service, unpleasant telephone advisor,
I am terminated because unfortunately I had 3 claims in the same year including 2 non -responsible, no possibility of negotiating my termination personally so as not to be blocked in my future steps.
The advisor was odious, I am appalled!</v>
      </c>
    </row>
    <row r="877" ht="15.75" customHeight="1">
      <c r="A877" s="2">
        <v>5.0</v>
      </c>
      <c r="B877" s="2" t="s">
        <v>2421</v>
      </c>
      <c r="C877" s="2" t="s">
        <v>2422</v>
      </c>
      <c r="D877" s="2" t="s">
        <v>26</v>
      </c>
      <c r="E877" s="2" t="s">
        <v>27</v>
      </c>
      <c r="F877" s="2" t="s">
        <v>15</v>
      </c>
      <c r="G877" s="2" t="s">
        <v>886</v>
      </c>
      <c r="H877" s="2" t="s">
        <v>62</v>
      </c>
      <c r="I877" s="2" t="str">
        <f>IFERROR(__xludf.DUMMYFUNCTION("GOOGLETRANSLATE(C877,""fr"",""en"")"),"Excellent advisor and also confidence insurance the price and magnificent and I will remain a customer for the Olivier Insurance always merciii for you service")</f>
        <v>Excellent advisor and also confidence insurance the price and magnificent and I will remain a customer for the Olivier Insurance always merciii for you service</v>
      </c>
    </row>
    <row r="878" ht="15.75" customHeight="1">
      <c r="A878" s="2">
        <v>5.0</v>
      </c>
      <c r="B878" s="2" t="s">
        <v>2423</v>
      </c>
      <c r="C878" s="2" t="s">
        <v>2424</v>
      </c>
      <c r="D878" s="2" t="s">
        <v>26</v>
      </c>
      <c r="E878" s="2" t="s">
        <v>27</v>
      </c>
      <c r="F878" s="2" t="s">
        <v>15</v>
      </c>
      <c r="G878" s="2" t="s">
        <v>1280</v>
      </c>
      <c r="H878" s="2" t="s">
        <v>23</v>
      </c>
      <c r="I878" s="2" t="str">
        <f>IFERROR(__xludf.DUMMYFUNCTION("GOOGLETRANSLATE(C878,""fr"",""en"")"),"Very pro, very responsive, and perfect telephone explanations. I highly recommend (for the moment ..) hope that if a disaster came to arrive, everything would go as well.")</f>
        <v>Very pro, very responsive, and perfect telephone explanations. I highly recommend (for the moment ..) hope that if a disaster came to arrive, everything would go as well.</v>
      </c>
    </row>
    <row r="879" ht="15.75" customHeight="1">
      <c r="A879" s="2">
        <v>3.0</v>
      </c>
      <c r="B879" s="2" t="s">
        <v>2425</v>
      </c>
      <c r="C879" s="2" t="s">
        <v>2426</v>
      </c>
      <c r="D879" s="2" t="s">
        <v>448</v>
      </c>
      <c r="E879" s="2" t="s">
        <v>27</v>
      </c>
      <c r="F879" s="2" t="s">
        <v>15</v>
      </c>
      <c r="G879" s="2" t="s">
        <v>2427</v>
      </c>
      <c r="H879" s="2" t="s">
        <v>34</v>
      </c>
      <c r="I879" s="2" t="str">
        <f>IFERROR(__xludf.DUMMYFUNCTION("GOOGLETRANSLATE(C879,""fr"",""en"")"),"Motorcycle insurance rate too high. Of course I am very satisfied with my advisor and agency director in Bourtzwiller. I expect a commercial gesture on this contract")</f>
        <v>Motorcycle insurance rate too high. Of course I am very satisfied with my advisor and agency director in Bourtzwiller. I expect a commercial gesture on this contract</v>
      </c>
    </row>
    <row r="880" ht="15.75" customHeight="1">
      <c r="A880" s="2">
        <v>1.0</v>
      </c>
      <c r="B880" s="2" t="s">
        <v>2428</v>
      </c>
      <c r="C880" s="2" t="s">
        <v>2429</v>
      </c>
      <c r="D880" s="2" t="s">
        <v>234</v>
      </c>
      <c r="E880" s="2" t="s">
        <v>21</v>
      </c>
      <c r="F880" s="2" t="s">
        <v>15</v>
      </c>
      <c r="G880" s="2" t="s">
        <v>2430</v>
      </c>
      <c r="H880" s="2" t="s">
        <v>206</v>
      </c>
      <c r="I880" s="2" t="str">
        <f>IFERROR(__xludf.DUMMYFUNCTION("GOOGLETRANSLATE(C880,""fr"",""en"")"),"Telephone canvassing in forced sale despite a Bloctel registration: what is your date of birth, ""give me your bank card number that we set up your compensation coverage"": to flee!")</f>
        <v>Telephone canvassing in forced sale despite a Bloctel registration: what is your date of birth, "give me your bank card number that we set up your compensation coverage": to flee!</v>
      </c>
    </row>
    <row r="881" ht="15.75" customHeight="1">
      <c r="A881" s="2">
        <v>4.0</v>
      </c>
      <c r="B881" s="2" t="s">
        <v>2431</v>
      </c>
      <c r="C881" s="2" t="s">
        <v>2432</v>
      </c>
      <c r="D881" s="2" t="s">
        <v>67</v>
      </c>
      <c r="E881" s="2" t="s">
        <v>68</v>
      </c>
      <c r="F881" s="2" t="s">
        <v>15</v>
      </c>
      <c r="G881" s="2" t="s">
        <v>2433</v>
      </c>
      <c r="H881" s="2" t="s">
        <v>112</v>
      </c>
      <c r="I881" s="2" t="str">
        <f>IFERROR(__xludf.DUMMYFUNCTION("GOOGLETRANSLATE(C881,""fr"",""en"")"),"For now, everything is okay ! ease of access and use. Pleasant interface, clear explanations and attractive price. A priori positive to confirm.")</f>
        <v>For now, everything is okay ! ease of access and use. Pleasant interface, clear explanations and attractive price. A priori positive to confirm.</v>
      </c>
    </row>
    <row r="882" ht="15.75" customHeight="1">
      <c r="A882" s="2">
        <v>1.0</v>
      </c>
      <c r="B882" s="2" t="s">
        <v>2434</v>
      </c>
      <c r="C882" s="2" t="s">
        <v>2435</v>
      </c>
      <c r="D882" s="2" t="s">
        <v>355</v>
      </c>
      <c r="E882" s="2" t="s">
        <v>27</v>
      </c>
      <c r="F882" s="2" t="s">
        <v>15</v>
      </c>
      <c r="G882" s="2" t="s">
        <v>2436</v>
      </c>
      <c r="H882" s="2" t="s">
        <v>1432</v>
      </c>
      <c r="I882" s="2" t="str">
        <f>IFERROR(__xludf.DUMMYFUNCTION("GOOGLETRANSLATE(C882,""fr"",""en"")"),"Agency Axa Bertrand Marseille He does nothing to help you in addition this agency will have to choose these employment there is a way of speaking to these customers this lady does not respect anything and even less the handicap at the end of so many years"&amp;" that I am I am not jambum u his this person push me to the end oblige to leave the agency to calm me I will quickly remove my three contracts and may also be filed for spyry involvement")</f>
        <v>Agency Axa Bertrand Marseille He does nothing to help you in addition this agency will have to choose these employment there is a way of speaking to these customers this lady does not respect anything and even less the handicap at the end of so many years that I am I am not jambum u his this person push me to the end oblige to leave the agency to calm me I will quickly remove my three contracts and may also be filed for spyry involvement</v>
      </c>
    </row>
    <row r="883" ht="15.75" customHeight="1">
      <c r="A883" s="2">
        <v>4.0</v>
      </c>
      <c r="B883" s="2" t="s">
        <v>2437</v>
      </c>
      <c r="C883" s="2" t="s">
        <v>2438</v>
      </c>
      <c r="D883" s="2" t="s">
        <v>26</v>
      </c>
      <c r="E883" s="2" t="s">
        <v>27</v>
      </c>
      <c r="F883" s="2" t="s">
        <v>15</v>
      </c>
      <c r="G883" s="2" t="s">
        <v>1716</v>
      </c>
      <c r="H883" s="2" t="s">
        <v>62</v>
      </c>
      <c r="I883" s="2" t="str">
        <f>IFERROR(__xludf.DUMMYFUNCTION("GOOGLETRANSLATE(C883,""fr"",""en"")"),"Simple and quick subscription. Pleasant welcome. We will see in time if it continues. Interesting price for subscription, also to see in the following years.")</f>
        <v>Simple and quick subscription. Pleasant welcome. We will see in time if it continues. Interesting price for subscription, also to see in the following years.</v>
      </c>
    </row>
    <row r="884" ht="15.75" customHeight="1">
      <c r="A884" s="2">
        <v>4.0</v>
      </c>
      <c r="B884" s="2" t="s">
        <v>2439</v>
      </c>
      <c r="C884" s="2" t="s">
        <v>2440</v>
      </c>
      <c r="D884" s="2" t="s">
        <v>26</v>
      </c>
      <c r="E884" s="2" t="s">
        <v>27</v>
      </c>
      <c r="F884" s="2" t="s">
        <v>15</v>
      </c>
      <c r="G884" s="2" t="s">
        <v>1803</v>
      </c>
      <c r="H884" s="2" t="s">
        <v>112</v>
      </c>
      <c r="I884" s="2" t="str">
        <f>IFERROR(__xludf.DUMMYFUNCTION("GOOGLETRANSLATE(C884,""fr"",""en"")"),"I am satisfied with the Olivier insurance service :)
The only problem is: I have to enter my bank details 2 times to be validated.
")</f>
        <v>I am satisfied with the Olivier insurance service :)
The only problem is: I have to enter my bank details 2 times to be validated.
</v>
      </c>
    </row>
    <row r="885" ht="15.75" customHeight="1">
      <c r="A885" s="2">
        <v>5.0</v>
      </c>
      <c r="B885" s="2" t="s">
        <v>2441</v>
      </c>
      <c r="C885" s="2" t="s">
        <v>2442</v>
      </c>
      <c r="D885" s="2" t="s">
        <v>26</v>
      </c>
      <c r="E885" s="2" t="s">
        <v>27</v>
      </c>
      <c r="F885" s="2" t="s">
        <v>15</v>
      </c>
      <c r="G885" s="2" t="s">
        <v>2443</v>
      </c>
      <c r="H885" s="2" t="s">
        <v>503</v>
      </c>
      <c r="I885" s="2" t="str">
        <f>IFERROR(__xludf.DUMMYFUNCTION("GOOGLETRANSLATE(C885,""fr"",""en"")"),"Customer for 2 years at the Olivier Insurance, I had resorted to their services for troubleshooting, several insurance transfers, on various loan vehicles, during the immobilization of my vehicle. Finally, I was obliged to change the vehicle definitively,"&amp;" and had my insurance transferred to my new car. Everything was managed by my interlocutor telephonely perfectly. Courtesy and efficiency, these are the words I will use to qualify my insurer.")</f>
        <v>Customer for 2 years at the Olivier Insurance, I had resorted to their services for troubleshooting, several insurance transfers, on various loan vehicles, during the immobilization of my vehicle. Finally, I was obliged to change the vehicle definitively, and had my insurance transferred to my new car. Everything was managed by my interlocutor telephonely perfectly. Courtesy and efficiency, these are the words I will use to qualify my insurer.</v>
      </c>
    </row>
    <row r="886" ht="15.75" customHeight="1">
      <c r="A886" s="2">
        <v>3.0</v>
      </c>
      <c r="B886" s="2" t="s">
        <v>2444</v>
      </c>
      <c r="C886" s="2" t="s">
        <v>2445</v>
      </c>
      <c r="D886" s="2" t="s">
        <v>67</v>
      </c>
      <c r="E886" s="2" t="s">
        <v>68</v>
      </c>
      <c r="F886" s="2" t="s">
        <v>15</v>
      </c>
      <c r="G886" s="2" t="s">
        <v>2446</v>
      </c>
      <c r="H886" s="2" t="s">
        <v>134</v>
      </c>
      <c r="I886" s="2" t="str">
        <f>IFERROR(__xludf.DUMMYFUNCTION("GOOGLETRANSLATE(C886,""fr"",""en"")"),"Complication for validated my insurance, after several tries it worked but in 1 hour bou and it is not normal then we will see how it will go")</f>
        <v>Complication for validated my insurance, after several tries it worked but in 1 hour bou and it is not normal then we will see how it will go</v>
      </c>
    </row>
    <row r="887" ht="15.75" customHeight="1">
      <c r="A887" s="2">
        <v>3.0</v>
      </c>
      <c r="B887" s="2" t="s">
        <v>2447</v>
      </c>
      <c r="C887" s="2" t="s">
        <v>2448</v>
      </c>
      <c r="D887" s="2" t="s">
        <v>152</v>
      </c>
      <c r="E887" s="2" t="s">
        <v>68</v>
      </c>
      <c r="F887" s="2" t="s">
        <v>15</v>
      </c>
      <c r="G887" s="2" t="s">
        <v>547</v>
      </c>
      <c r="H887" s="2" t="s">
        <v>88</v>
      </c>
      <c r="I887" s="2" t="str">
        <f>IFERROR(__xludf.DUMMYFUNCTION("GOOGLETRANSLATE(C887,""fr"",""en"")"),"My son had a responsible accident with his motorcycle 50 CC in July 2021, he was hospitalized but it was not too serious, he is assured of all risks, we are still not compensated, nor for compensation, nor For biker equipment, it's scandalous. It's been a"&amp;"t least 10 years that I have been insured at home as a biker. My bonus is 50%. They are good for collecting insurance premiums, but that's all ... I am planning to change insurance.")</f>
        <v>My son had a responsible accident with his motorcycle 50 CC in July 2021, he was hospitalized but it was not too serious, he is assured of all risks, we are still not compensated, nor for compensation, nor For biker equipment, it's scandalous. It's been at least 10 years that I have been insured at home as a biker. My bonus is 50%. They are good for collecting insurance premiums, but that's all ... I am planning to change insurance.</v>
      </c>
    </row>
    <row r="888" ht="15.75" customHeight="1">
      <c r="A888" s="2">
        <v>5.0</v>
      </c>
      <c r="B888" s="2" t="s">
        <v>2449</v>
      </c>
      <c r="C888" s="2" t="s">
        <v>2450</v>
      </c>
      <c r="D888" s="2" t="s">
        <v>26</v>
      </c>
      <c r="E888" s="2" t="s">
        <v>27</v>
      </c>
      <c r="F888" s="2" t="s">
        <v>15</v>
      </c>
      <c r="G888" s="2" t="s">
        <v>1694</v>
      </c>
      <c r="H888" s="2" t="s">
        <v>661</v>
      </c>
      <c r="I888" s="2" t="str">
        <f>IFERROR(__xludf.DUMMYFUNCTION("GOOGLETRANSLATE(C888,""fr"",""en"")"),"The two people I had on the phone for the opening of my contract were very friendly, the platform looks well designed. We will see the service when I have problems with my car;)")</f>
        <v>The two people I had on the phone for the opening of my contract were very friendly, the platform looks well designed. We will see the service when I have problems with my car;)</v>
      </c>
    </row>
    <row r="889" ht="15.75" customHeight="1">
      <c r="A889" s="2">
        <v>1.0</v>
      </c>
      <c r="B889" s="2" t="s">
        <v>2451</v>
      </c>
      <c r="C889" s="2" t="s">
        <v>2452</v>
      </c>
      <c r="D889" s="2" t="s">
        <v>448</v>
      </c>
      <c r="E889" s="2" t="s">
        <v>27</v>
      </c>
      <c r="F889" s="2" t="s">
        <v>15</v>
      </c>
      <c r="G889" s="2" t="s">
        <v>843</v>
      </c>
      <c r="H889" s="2" t="s">
        <v>219</v>
      </c>
      <c r="I889" s="2" t="str">
        <f>IFERROR(__xludf.DUMMYFUNCTION("GOOGLETRANSLATE(C889,""fr"",""en"")"),"If I could put 0 star I would do it. Fuur insurance !!! Client for ten years without worries until this year no problem. To recover the money no worries. However, this year a person struck me and fled ... at the maaf there is no one left from 5 p.m. so I "&amp;"was put in service in service to tell me we can do anything to you. So already Debrouille to get the vehicle towing when they have to send them someone ... in short, declare ireparable and we sign paper with the expert ... for more new ... I call three ti"&amp;"mes by Week .... the money that the maaf owes me in exchange for non -repair has still not arrived after more than 3 months .... you are repacked and we even tell you that you can please you To type scandal in agency he will not pay me ..... yet the insur"&amp;"er of the opposing party to be found so good they do not pay me on their warranty. ...")</f>
        <v>If I could put 0 star I would do it. Fuur insurance !!! Client for ten years without worries until this year no problem. To recover the money no worries. However, this year a person struck me and fled ... at the maaf there is no one left from 5 p.m. so I was put in service in service to tell me we can do anything to you. So already Debrouille to get the vehicle towing when they have to send them someone ... in short, declare ireparable and we sign paper with the expert ... for more new ... I call three times by Week .... the money that the maaf owes me in exchange for non -repair has still not arrived after more than 3 months .... you are repacked and we even tell you that you can please you To type scandal in agency he will not pay me ..... yet the insurer of the opposing party to be found so good they do not pay me on their warranty. ...</v>
      </c>
    </row>
    <row r="890" ht="15.75" customHeight="1">
      <c r="A890" s="2">
        <v>3.0</v>
      </c>
      <c r="B890" s="2" t="s">
        <v>2453</v>
      </c>
      <c r="C890" s="2" t="s">
        <v>2454</v>
      </c>
      <c r="D890" s="2" t="s">
        <v>26</v>
      </c>
      <c r="E890" s="2" t="s">
        <v>27</v>
      </c>
      <c r="F890" s="2" t="s">
        <v>15</v>
      </c>
      <c r="G890" s="2" t="s">
        <v>2455</v>
      </c>
      <c r="H890" s="2" t="s">
        <v>357</v>
      </c>
      <c r="I890" s="2" t="str">
        <f>IFERROR(__xludf.DUMMYFUNCTION("GOOGLETRANSLATE(C890,""fr"",""en"")"),"Young and dynamic sales sympathetic we learned their lesson")</f>
        <v>Young and dynamic sales sympathetic we learned their lesson</v>
      </c>
    </row>
    <row r="891" ht="15.75" customHeight="1">
      <c r="A891" s="2">
        <v>2.0</v>
      </c>
      <c r="B891" s="2" t="s">
        <v>2456</v>
      </c>
      <c r="C891" s="2" t="s">
        <v>2457</v>
      </c>
      <c r="D891" s="2" t="s">
        <v>99</v>
      </c>
      <c r="E891" s="2" t="s">
        <v>289</v>
      </c>
      <c r="F891" s="2" t="s">
        <v>15</v>
      </c>
      <c r="G891" s="2" t="s">
        <v>2458</v>
      </c>
      <c r="H891" s="2" t="s">
        <v>170</v>
      </c>
      <c r="I891" s="2" t="str">
        <f>IFERROR(__xludf.DUMMYFUNCTION("GOOGLETRANSLATE(C891,""fr"",""en"")"),"Hello, Following the death of our mother on July 4, the regulations promised by her broker within 5 to 6 weeks is still not settled 4 months later; after many mistakes on reimbursement proposals and the value of contracts, loss From our RIB, new attributi"&amp;"on errors, the files are finally complete, passed in the tax department and acknowledgment of reception at Allianz since the end of September. On October 12, after very insistent complaints I am transmitted that a transfer was made the same day, but 15 da"&amp;"ys later still nothing on the bank account. A transfer takes maximum 5 days, we really laugh at us, moreover , no news from the 2nd contract ....; They must drag to pay as late as possible and thus pocket dividends. Raz the bowl, to be strongly advised")</f>
        <v>Hello, Following the death of our mother on July 4, the regulations promised by her broker within 5 to 6 weeks is still not settled 4 months later; after many mistakes on reimbursement proposals and the value of contracts, loss From our RIB, new attribution errors, the files are finally complete, passed in the tax department and acknowledgment of reception at Allianz since the end of September. On October 12, after very insistent complaints I am transmitted that a transfer was made the same day, but 15 days later still nothing on the bank account. A transfer takes maximum 5 days, we really laugh at us, moreover , no news from the 2nd contract ....; They must drag to pay as late as possible and thus pocket dividends. Raz the bowl, to be strongly advised</v>
      </c>
    </row>
    <row r="892" ht="15.75" customHeight="1">
      <c r="A892" s="2">
        <v>5.0</v>
      </c>
      <c r="B892" s="2" t="s">
        <v>2459</v>
      </c>
      <c r="C892" s="2" t="s">
        <v>2460</v>
      </c>
      <c r="D892" s="2" t="s">
        <v>37</v>
      </c>
      <c r="E892" s="2" t="s">
        <v>27</v>
      </c>
      <c r="F892" s="2" t="s">
        <v>15</v>
      </c>
      <c r="G892" s="2" t="s">
        <v>809</v>
      </c>
      <c r="H892" s="2" t="s">
        <v>134</v>
      </c>
      <c r="I892" s="2" t="str">
        <f>IFERROR(__xludf.DUMMYFUNCTION("GOOGLETRANSLATE(C892,""fr"",""en"")"),"Perfect
Attractive price
Perfect for young driver
Very responsive, good advice, the advisers are benevolent and take the time for the explanations")</f>
        <v>Perfect
Attractive price
Perfect for young driver
Very responsive, good advice, the advisers are benevolent and take the time for the explanations</v>
      </c>
    </row>
    <row r="893" ht="15.75" customHeight="1">
      <c r="A893" s="2">
        <v>3.0</v>
      </c>
      <c r="B893" s="2" t="s">
        <v>2461</v>
      </c>
      <c r="C893" s="2" t="s">
        <v>2462</v>
      </c>
      <c r="D893" s="2" t="s">
        <v>37</v>
      </c>
      <c r="E893" s="2" t="s">
        <v>27</v>
      </c>
      <c r="F893" s="2" t="s">
        <v>15</v>
      </c>
      <c r="G893" s="2" t="s">
        <v>2463</v>
      </c>
      <c r="H893" s="2" t="s">
        <v>182</v>
      </c>
      <c r="I893" s="2" t="str">
        <f>IFERROR(__xludf.DUMMYFUNCTION("GOOGLETRANSLATE(C893,""fr"",""en"")"),"Although indeed a little expensive, the only way in my opinion to judge insurance is its responsiveness in the event of a claim. For my part in 5 years of insurance at home I needed their services twice. The first time, broken down in Germany, they quickl"&amp;"y took charge of troubleshooting and repatriation at my home without the slightest intervention on my part and within a more than respectable time. The second time I got back into it and they came to recover the vehicle by bringing me a loan vehicle and t"&amp;"his during the 3 weeks that repairs lasted. The repair vehicle is brought to you at your home. It is this kind of service, although in option, that make the difference.")</f>
        <v>Although indeed a little expensive, the only way in my opinion to judge insurance is its responsiveness in the event of a claim. For my part in 5 years of insurance at home I needed their services twice. The first time, broken down in Germany, they quickly took charge of troubleshooting and repatriation at my home without the slightest intervention on my part and within a more than respectable time. The second time I got back into it and they came to recover the vehicle by bringing me a loan vehicle and this during the 3 weeks that repairs lasted. The repair vehicle is brought to you at your home. It is this kind of service, although in option, that make the difference.</v>
      </c>
    </row>
    <row r="894" ht="15.75" customHeight="1">
      <c r="A894" s="2">
        <v>4.0</v>
      </c>
      <c r="B894" s="2" t="s">
        <v>2464</v>
      </c>
      <c r="C894" s="2" t="s">
        <v>2465</v>
      </c>
      <c r="D894" s="2" t="s">
        <v>180</v>
      </c>
      <c r="E894" s="2" t="s">
        <v>21</v>
      </c>
      <c r="F894" s="2" t="s">
        <v>15</v>
      </c>
      <c r="G894" s="2" t="s">
        <v>2466</v>
      </c>
      <c r="H894" s="2" t="s">
        <v>88</v>
      </c>
      <c r="I894" s="2" t="str">
        <f>IFERROR(__xludf.DUMMYFUNCTION("GOOGLETRANSLATE(C894,""fr"",""en"")"),"mutual that keeps its promises
reliable, fast, reachable
functional site
In short, effective fulfilling its role within more than respectable deadlines")</f>
        <v>mutual that keeps its promises
reliable, fast, reachable
functional site
In short, effective fulfilling its role within more than respectable deadlines</v>
      </c>
    </row>
    <row r="895" ht="15.75" customHeight="1">
      <c r="A895" s="2">
        <v>3.0</v>
      </c>
      <c r="B895" s="2" t="s">
        <v>2467</v>
      </c>
      <c r="C895" s="2" t="s">
        <v>2468</v>
      </c>
      <c r="D895" s="2" t="s">
        <v>37</v>
      </c>
      <c r="E895" s="2" t="s">
        <v>27</v>
      </c>
      <c r="F895" s="2" t="s">
        <v>15</v>
      </c>
      <c r="G895" s="2" t="s">
        <v>2469</v>
      </c>
      <c r="H895" s="2" t="s">
        <v>206</v>
      </c>
      <c r="I895" s="2" t="str">
        <f>IFERROR(__xludf.DUMMYFUNCTION("GOOGLETRANSLATE(C895,""fr"",""en"")"),"My car was stamped at the rear bumper, therefore, bodybuilder and expert, the work not done, bumper always broken and 300 euros at the bodybuilder. I say, shame on this insurance which sends us to these people. I will therefore call on a mediator")</f>
        <v>My car was stamped at the rear bumper, therefore, bodybuilder and expert, the work not done, bumper always broken and 300 euros at the bodybuilder. I say, shame on this insurance which sends us to these people. I will therefore call on a mediator</v>
      </c>
    </row>
    <row r="896" ht="15.75" customHeight="1">
      <c r="A896" s="2">
        <v>2.0</v>
      </c>
      <c r="B896" s="2" t="s">
        <v>2470</v>
      </c>
      <c r="C896" s="2" t="s">
        <v>2471</v>
      </c>
      <c r="D896" s="2" t="s">
        <v>245</v>
      </c>
      <c r="E896" s="2" t="s">
        <v>21</v>
      </c>
      <c r="F896" s="2" t="s">
        <v>15</v>
      </c>
      <c r="G896" s="2" t="s">
        <v>2472</v>
      </c>
      <c r="H896" s="2" t="s">
        <v>860</v>
      </c>
      <c r="I896" s="2" t="str">
        <f>IFERROR(__xludf.DUMMYFUNCTION("GOOGLETRANSLATE(C896,""fr"",""en"")"),"No more repeatable! reimbursements after more than a year and a half without really anyone who reminds you
And suspended contract while I have payments !!
This is unacceptable go around in circles
")</f>
        <v>No more repeatable! reimbursements after more than a year and a half without really anyone who reminds you
And suspended contract while I have payments !!
This is unacceptable go around in circles
</v>
      </c>
    </row>
    <row r="897" ht="15.75" customHeight="1">
      <c r="A897" s="2">
        <v>4.0</v>
      </c>
      <c r="B897" s="2" t="s">
        <v>2473</v>
      </c>
      <c r="C897" s="2" t="s">
        <v>2474</v>
      </c>
      <c r="D897" s="2" t="s">
        <v>37</v>
      </c>
      <c r="E897" s="2" t="s">
        <v>27</v>
      </c>
      <c r="F897" s="2" t="s">
        <v>15</v>
      </c>
      <c r="G897" s="2" t="s">
        <v>1942</v>
      </c>
      <c r="H897" s="2" t="s">
        <v>188</v>
      </c>
      <c r="I897" s="2" t="str">
        <f>IFERROR(__xludf.DUMMYFUNCTION("GOOGLETRANSLATE(C897,""fr"",""en"")"),"Extremely satisfied with the site and the precision of the offers. very fast. I await the realization by a concrete offer for the assurance of my car")</f>
        <v>Extremely satisfied with the site and the precision of the offers. very fast. I await the realization by a concrete offer for the assurance of my car</v>
      </c>
    </row>
    <row r="898" ht="15.75" customHeight="1">
      <c r="A898" s="2">
        <v>4.0</v>
      </c>
      <c r="B898" s="2" t="s">
        <v>2475</v>
      </c>
      <c r="C898" s="2" t="s">
        <v>2476</v>
      </c>
      <c r="D898" s="2" t="s">
        <v>26</v>
      </c>
      <c r="E898" s="2" t="s">
        <v>27</v>
      </c>
      <c r="F898" s="2" t="s">
        <v>15</v>
      </c>
      <c r="G898" s="2" t="s">
        <v>1950</v>
      </c>
      <c r="H898" s="2" t="s">
        <v>141</v>
      </c>
      <c r="I898" s="2" t="str">
        <f>IFERROR(__xludf.DUMMYFUNCTION("GOOGLETRANSLATE(C898,""fr"",""en"")"),"I am satisfied with the service The prices are very interesting and attractive
I recommend this insurance
I hope to continue on this good voice and not be disappointed")</f>
        <v>I am satisfied with the service The prices are very interesting and attractive
I recommend this insurance
I hope to continue on this good voice and not be disappointed</v>
      </c>
    </row>
    <row r="899" ht="15.75" customHeight="1">
      <c r="A899" s="2">
        <v>3.0</v>
      </c>
      <c r="B899" s="2" t="s">
        <v>2477</v>
      </c>
      <c r="C899" s="2" t="s">
        <v>2478</v>
      </c>
      <c r="D899" s="2" t="s">
        <v>32</v>
      </c>
      <c r="E899" s="2" t="s">
        <v>21</v>
      </c>
      <c r="F899" s="2" t="s">
        <v>15</v>
      </c>
      <c r="G899" s="2" t="s">
        <v>2479</v>
      </c>
      <c r="H899" s="2" t="s">
        <v>101</v>
      </c>
      <c r="I899" s="2" t="str">
        <f>IFERROR(__xludf.DUMMYFUNCTION("GOOGLETRANSLATE(C899,""fr"",""en"")"),"Hello ,
Following a concern in terms of my reimbursements, I joined you by phone and I came across a very pleasant young woman who knew how to meet my needs without any concern!
Thank you to her for her kindness and time to check all the information.
")</f>
        <v>Hello ,
Following a concern in terms of my reimbursements, I joined you by phone and I came across a very pleasant young woman who knew how to meet my needs without any concern!
Thank you to her for her kindness and time to check all the information.
</v>
      </c>
    </row>
    <row r="900" ht="15.75" customHeight="1">
      <c r="A900" s="2">
        <v>5.0</v>
      </c>
      <c r="B900" s="2" t="s">
        <v>2480</v>
      </c>
      <c r="C900" s="2" t="s">
        <v>2481</v>
      </c>
      <c r="D900" s="2" t="s">
        <v>107</v>
      </c>
      <c r="E900" s="2" t="s">
        <v>21</v>
      </c>
      <c r="F900" s="2" t="s">
        <v>15</v>
      </c>
      <c r="G900" s="2" t="s">
        <v>88</v>
      </c>
      <c r="H900" s="2" t="s">
        <v>88</v>
      </c>
      <c r="I900" s="2" t="str">
        <f>IFERROR(__xludf.DUMMYFUNCTION("GOOGLETRANSLATE(C900,""fr"",""en"")"),"Following internet research for complementary health insurance and after studying the various providers' proposals, I selected ""Santiane"" for what reasons will you say? The first person who contacted me (man) took the time to listen to me, then to make "&amp;"me several proposals in the detail, to facilitate our choice according to our wishes compared to our needs and to the price (very competitive). Following our agreement to make me send me, on my mailbox, our membership request and after acceptance, we rece"&amp;"ived our finalized membership request and sent the requested documents.
Following a small problem of opening and accessing my account on the Internet, which had not been opened (by me) to date, I contacted Santiane and I had a ""Lissa"" advisor who has b"&amp;"een very understanding, reactive and resolved the situation ........ in a ""very professional"" word ..... thank you ""Lissa"".")</f>
        <v>Following internet research for complementary health insurance and after studying the various providers' proposals, I selected "Santiane" for what reasons will you say? The first person who contacted me (man) took the time to listen to me, then to make me several proposals in the detail, to facilitate our choice according to our wishes compared to our needs and to the price (very competitive). Following our agreement to make me send me, on my mailbox, our membership request and after acceptance, we received our finalized membership request and sent the requested documents.
Following a small problem of opening and accessing my account on the Internet, which had not been opened (by me) to date, I contacted Santiane and I had a "Lissa" advisor who has been very understanding, reactive and resolved the situation ........ in a "very professional" word ..... thank you "Lissa".</v>
      </c>
    </row>
    <row r="901" ht="15.75" customHeight="1">
      <c r="A901" s="2">
        <v>1.0</v>
      </c>
      <c r="B901" s="2" t="s">
        <v>2482</v>
      </c>
      <c r="C901" s="2" t="s">
        <v>2483</v>
      </c>
      <c r="D901" s="2" t="s">
        <v>448</v>
      </c>
      <c r="E901" s="2" t="s">
        <v>27</v>
      </c>
      <c r="F901" s="2" t="s">
        <v>15</v>
      </c>
      <c r="G901" s="2" t="s">
        <v>2484</v>
      </c>
      <c r="H901" s="2" t="s">
        <v>170</v>
      </c>
      <c r="I901" s="2" t="str">
        <f>IFERROR(__xludf.DUMMYFUNCTION("GOOGLETRANSLATE(C901,""fr"",""en"")"),"MAAF to flee, customer for 3 years with bonus at 50% and overnight terminate due to the frequency of claims. Sinister which are actually 1 broken ice three years ago and this year 1 breakdown with towing. So here is to flee insurance that does not ensure!"&amp;" And fell 5 years as terminated by the insurer is very nice.")</f>
        <v>MAAF to flee, customer for 3 years with bonus at 50% and overnight terminate due to the frequency of claims. Sinister which are actually 1 broken ice three years ago and this year 1 breakdown with towing. So here is to flee insurance that does not ensure! And fell 5 years as terminated by the insurer is very nice.</v>
      </c>
    </row>
    <row r="902" ht="15.75" customHeight="1">
      <c r="A902" s="2">
        <v>4.0</v>
      </c>
      <c r="B902" s="2" t="s">
        <v>2485</v>
      </c>
      <c r="C902" s="2" t="s">
        <v>2486</v>
      </c>
      <c r="D902" s="2" t="s">
        <v>37</v>
      </c>
      <c r="E902" s="2" t="s">
        <v>27</v>
      </c>
      <c r="F902" s="2" t="s">
        <v>15</v>
      </c>
      <c r="G902" s="2" t="s">
        <v>2487</v>
      </c>
      <c r="H902" s="2" t="s">
        <v>134</v>
      </c>
      <c r="I902" s="2" t="str">
        <f>IFERROR(__xludf.DUMMYFUNCTION("GOOGLETRANSLATE(C902,""fr"",""en"")"),"I am very satisfied with the speed of the exchange.
I am very satisfied with prices, and the ease of subscription of the contract, which is very appreciable.")</f>
        <v>I am very satisfied with the speed of the exchange.
I am very satisfied with prices, and the ease of subscription of the contract, which is very appreciable.</v>
      </c>
    </row>
    <row r="903" ht="15.75" customHeight="1">
      <c r="A903" s="2">
        <v>2.0</v>
      </c>
      <c r="B903" s="2" t="s">
        <v>2488</v>
      </c>
      <c r="C903" s="2" t="s">
        <v>2489</v>
      </c>
      <c r="D903" s="2" t="s">
        <v>264</v>
      </c>
      <c r="E903" s="2" t="s">
        <v>27</v>
      </c>
      <c r="F903" s="2" t="s">
        <v>15</v>
      </c>
      <c r="G903" s="2" t="s">
        <v>2490</v>
      </c>
      <c r="H903" s="2" t="s">
        <v>523</v>
      </c>
      <c r="I903" s="2" t="str">
        <f>IFERROR(__xludf.DUMMYFUNCTION("GOOGLETRANSLATE(C903,""fr"",""en"")"),"Customer number 273952
I have just transmitted all the elements awaiting the final certificate.
This day I receive an active insurance request asking me to complete a certificate on the honor of non -insurance and the reason ... However, my vehicle has "&amp;"always been insured with a new vehicle. I am therefore asked to make a false ... It is the first time that I am asked for such a thing. I signed the document by signifying that, I hope it will go.")</f>
        <v>Customer number 273952
I have just transmitted all the elements awaiting the final certificate.
This day I receive an active insurance request asking me to complete a certificate on the honor of non -insurance and the reason ... However, my vehicle has always been insured with a new vehicle. I am therefore asked to make a false ... It is the first time that I am asked for such a thing. I signed the document by signifying that, I hope it will go.</v>
      </c>
    </row>
    <row r="904" ht="15.75" customHeight="1">
      <c r="A904" s="2">
        <v>3.0</v>
      </c>
      <c r="B904" s="2" t="s">
        <v>2491</v>
      </c>
      <c r="C904" s="2" t="s">
        <v>2492</v>
      </c>
      <c r="D904" s="2" t="s">
        <v>300</v>
      </c>
      <c r="E904" s="2" t="s">
        <v>27</v>
      </c>
      <c r="F904" s="2" t="s">
        <v>15</v>
      </c>
      <c r="G904" s="2" t="s">
        <v>829</v>
      </c>
      <c r="H904" s="2" t="s">
        <v>62</v>
      </c>
      <c r="I904" s="2" t="str">
        <f>IFERROR(__xludf.DUMMYFUNCTION("GOOGLETRANSLATE(C904,""fr"",""en"")"),"I am pleasantly surprised by the reception of customer service.
The service takes the time to listen to the customer and take the need.
The site is rather well done and easy to use.")</f>
        <v>I am pleasantly surprised by the reception of customer service.
The service takes the time to listen to the customer and take the need.
The site is rather well done and easy to use.</v>
      </c>
    </row>
    <row r="905" ht="15.75" customHeight="1">
      <c r="A905" s="2">
        <v>4.0</v>
      </c>
      <c r="B905" s="2" t="s">
        <v>2493</v>
      </c>
      <c r="C905" s="2" t="s">
        <v>2494</v>
      </c>
      <c r="D905" s="2" t="s">
        <v>26</v>
      </c>
      <c r="E905" s="2" t="s">
        <v>27</v>
      </c>
      <c r="F905" s="2" t="s">
        <v>15</v>
      </c>
      <c r="G905" s="2" t="s">
        <v>141</v>
      </c>
      <c r="H905" s="2" t="s">
        <v>141</v>
      </c>
      <c r="I905" s="2" t="str">
        <f>IFERROR(__xludf.DUMMYFUNCTION("GOOGLETRANSLATE(C905,""fr"",""en"")"),"I am very satisfied with the telephone service that the television has just brought. Very clear, precise and took the time to answer my questions")</f>
        <v>I am very satisfied with the telephone service that the television has just brought. Very clear, precise and took the time to answer my questions</v>
      </c>
    </row>
    <row r="906" ht="15.75" customHeight="1">
      <c r="A906" s="2">
        <v>5.0</v>
      </c>
      <c r="B906" s="2" t="s">
        <v>2495</v>
      </c>
      <c r="C906" s="2" t="s">
        <v>2496</v>
      </c>
      <c r="D906" s="2" t="s">
        <v>26</v>
      </c>
      <c r="E906" s="2" t="s">
        <v>27</v>
      </c>
      <c r="F906" s="2" t="s">
        <v>15</v>
      </c>
      <c r="G906" s="2" t="s">
        <v>421</v>
      </c>
      <c r="H906" s="2" t="s">
        <v>112</v>
      </c>
      <c r="I906" s="2" t="str">
        <f>IFERROR(__xludf.DUMMYFUNCTION("GOOGLETRANSLATE(C906,""fr"",""en"")"),"Insurance is satisfactory in all respects, also in terms of prices, customer services quality, and insurance details! Finally what to satisfy everyone")</f>
        <v>Insurance is satisfactory in all respects, also in terms of prices, customer services quality, and insurance details! Finally what to satisfy everyone</v>
      </c>
    </row>
    <row r="907" ht="15.75" customHeight="1">
      <c r="A907" s="2">
        <v>5.0</v>
      </c>
      <c r="B907" s="2" t="s">
        <v>2497</v>
      </c>
      <c r="C907" s="2" t="s">
        <v>2498</v>
      </c>
      <c r="D907" s="2" t="s">
        <v>368</v>
      </c>
      <c r="E907" s="2" t="s">
        <v>68</v>
      </c>
      <c r="F907" s="2" t="s">
        <v>15</v>
      </c>
      <c r="G907" s="2" t="s">
        <v>62</v>
      </c>
      <c r="H907" s="2" t="s">
        <v>62</v>
      </c>
      <c r="I907" s="2" t="str">
        <f>IFERROR(__xludf.DUMMYFUNCTION("GOOGLETRANSLATE(C907,""fr"",""en"")"),"The prices are very attractive, and it is very simple to ensure. I was insured in the past in AMV and I was never disappointed. So I naturally come back my new vehicle at AMV.")</f>
        <v>The prices are very attractive, and it is very simple to ensure. I was insured in the past in AMV and I was never disappointed. So I naturally come back my new vehicle at AMV.</v>
      </c>
    </row>
    <row r="908" ht="15.75" customHeight="1">
      <c r="A908" s="2">
        <v>2.0</v>
      </c>
      <c r="B908" s="2" t="s">
        <v>2499</v>
      </c>
      <c r="C908" s="2" t="s">
        <v>2500</v>
      </c>
      <c r="D908" s="2" t="s">
        <v>107</v>
      </c>
      <c r="E908" s="2" t="s">
        <v>21</v>
      </c>
      <c r="F908" s="2" t="s">
        <v>15</v>
      </c>
      <c r="G908" s="2" t="s">
        <v>2501</v>
      </c>
      <c r="H908" s="2" t="s">
        <v>45</v>
      </c>
      <c r="I908" s="2" t="str">
        <f>IFERROR(__xludf.DUMMYFUNCTION("GOOGLETRANSLATE(C908,""fr"",""en"")"),"I was contacted by Youness for my membership in 1/1/2020 for missing documents, very clear explanations from him")</f>
        <v>I was contacted by Youness for my membership in 1/1/2020 for missing documents, very clear explanations from him</v>
      </c>
    </row>
    <row r="909" ht="15.75" customHeight="1">
      <c r="A909" s="2">
        <v>4.0</v>
      </c>
      <c r="B909" s="2" t="s">
        <v>2502</v>
      </c>
      <c r="C909" s="2" t="s">
        <v>2503</v>
      </c>
      <c r="D909" s="2" t="s">
        <v>26</v>
      </c>
      <c r="E909" s="2" t="s">
        <v>27</v>
      </c>
      <c r="F909" s="2" t="s">
        <v>15</v>
      </c>
      <c r="G909" s="2" t="s">
        <v>198</v>
      </c>
      <c r="H909" s="2" t="s">
        <v>134</v>
      </c>
      <c r="I909" s="2" t="str">
        <f>IFERROR(__xludf.DUMMYFUNCTION("GOOGLETRANSLATE(C909,""fr"",""en"")"),"Nothing special, for internet insurance.
Speed ​​and ease of filling requests.
Choice of clear options, no ""small lines""")</f>
        <v>Nothing special, for internet insurance.
Speed ​​and ease of filling requests.
Choice of clear options, no "small lines"</v>
      </c>
    </row>
    <row r="910" ht="15.75" customHeight="1">
      <c r="A910" s="2">
        <v>4.0</v>
      </c>
      <c r="B910" s="2" t="s">
        <v>2504</v>
      </c>
      <c r="C910" s="2" t="s">
        <v>2505</v>
      </c>
      <c r="D910" s="2" t="s">
        <v>194</v>
      </c>
      <c r="E910" s="2" t="s">
        <v>14</v>
      </c>
      <c r="F910" s="2" t="s">
        <v>15</v>
      </c>
      <c r="G910" s="2" t="s">
        <v>2506</v>
      </c>
      <c r="H910" s="2" t="s">
        <v>274</v>
      </c>
      <c r="I910" s="2" t="str">
        <f>IFERROR(__xludf.DUMMYFUNCTION("GOOGLETRANSLATE(C910,""fr"",""en"")"),"Very good support and listening advisor.
The site is ergonomic, easy to use and allow membership in a few clicks.
Prices are in the market for insurance comparators.")</f>
        <v>Very good support and listening advisor.
The site is ergonomic, easy to use and allow membership in a few clicks.
Prices are in the market for insurance comparators.</v>
      </c>
    </row>
    <row r="911" ht="15.75" customHeight="1">
      <c r="A911" s="2">
        <v>4.0</v>
      </c>
      <c r="B911" s="2" t="s">
        <v>2507</v>
      </c>
      <c r="C911" s="2" t="s">
        <v>2508</v>
      </c>
      <c r="D911" s="2" t="s">
        <v>26</v>
      </c>
      <c r="E911" s="2" t="s">
        <v>27</v>
      </c>
      <c r="F911" s="2" t="s">
        <v>15</v>
      </c>
      <c r="G911" s="2" t="s">
        <v>1790</v>
      </c>
      <c r="H911" s="2" t="s">
        <v>134</v>
      </c>
      <c r="I911" s="2" t="str">
        <f>IFERROR(__xludf.DUMMYFUNCTION("GOOGLETRANSLATE(C911,""fr"",""en"")"),"I am satisfied with the service and the price I can recommend the olive tree to other people to subscribe to it and thank the team of the Olivier Insurance")</f>
        <v>I am satisfied with the service and the price I can recommend the olive tree to other people to subscribe to it and thank the team of the Olivier Insurance</v>
      </c>
    </row>
    <row r="912" ht="15.75" customHeight="1">
      <c r="A912" s="2">
        <v>5.0</v>
      </c>
      <c r="B912" s="2" t="s">
        <v>2509</v>
      </c>
      <c r="C912" s="2" t="s">
        <v>2510</v>
      </c>
      <c r="D912" s="2" t="s">
        <v>26</v>
      </c>
      <c r="E912" s="2" t="s">
        <v>27</v>
      </c>
      <c r="F912" s="2" t="s">
        <v>15</v>
      </c>
      <c r="G912" s="2" t="s">
        <v>487</v>
      </c>
      <c r="H912" s="2" t="s">
        <v>88</v>
      </c>
      <c r="I912" s="2" t="str">
        <f>IFERROR(__xludf.DUMMYFUNCTION("GOOGLETRANSLATE(C912,""fr"",""en"")"),"After having several advisers, I came across the third and last advisor Maxime who was attentive and very good advice thank you to him")</f>
        <v>After having several advisers, I came across the third and last advisor Maxime who was attentive and very good advice thank you to him</v>
      </c>
    </row>
    <row r="913" ht="15.75" customHeight="1">
      <c r="A913" s="2">
        <v>4.0</v>
      </c>
      <c r="B913" s="2" t="s">
        <v>2511</v>
      </c>
      <c r="C913" s="2" t="s">
        <v>2512</v>
      </c>
      <c r="D913" s="2" t="s">
        <v>37</v>
      </c>
      <c r="E913" s="2" t="s">
        <v>27</v>
      </c>
      <c r="F913" s="2" t="s">
        <v>15</v>
      </c>
      <c r="G913" s="2" t="s">
        <v>2513</v>
      </c>
      <c r="H913" s="2" t="s">
        <v>112</v>
      </c>
      <c r="I913" s="2" t="str">
        <f>IFERROR(__xludf.DUMMYFUNCTION("GOOGLETRANSLATE(C913,""fr"",""en"")"),"No problem on car and home insurance except that it is a shame that you do not practice car insurance for less than 10,000 km /year")</f>
        <v>No problem on car and home insurance except that it is a shame that you do not practice car insurance for less than 10,000 km /year</v>
      </c>
    </row>
    <row r="914" ht="15.75" customHeight="1">
      <c r="A914" s="2">
        <v>5.0</v>
      </c>
      <c r="B914" s="2" t="s">
        <v>2514</v>
      </c>
      <c r="C914" s="2" t="s">
        <v>2515</v>
      </c>
      <c r="D914" s="2" t="s">
        <v>67</v>
      </c>
      <c r="E914" s="2" t="s">
        <v>68</v>
      </c>
      <c r="F914" s="2" t="s">
        <v>15</v>
      </c>
      <c r="G914" s="2" t="s">
        <v>2516</v>
      </c>
      <c r="H914" s="2" t="s">
        <v>141</v>
      </c>
      <c r="I914" s="2" t="str">
        <f>IFERROR(__xludf.DUMMYFUNCTION("GOOGLETRANSLATE(C914,""fr"",""en"")"),"Quite satisfied on the whole correct price a little disappointed with the all -risk formula anyway which remains quite high if not nothing to say about the other formulas")</f>
        <v>Quite satisfied on the whole correct price a little disappointed with the all -risk formula anyway which remains quite high if not nothing to say about the other formulas</v>
      </c>
    </row>
    <row r="915" ht="15.75" customHeight="1">
      <c r="A915" s="2">
        <v>3.0</v>
      </c>
      <c r="B915" s="2" t="s">
        <v>2517</v>
      </c>
      <c r="C915" s="2" t="s">
        <v>2518</v>
      </c>
      <c r="D915" s="2" t="s">
        <v>67</v>
      </c>
      <c r="E915" s="2" t="s">
        <v>68</v>
      </c>
      <c r="F915" s="2" t="s">
        <v>15</v>
      </c>
      <c r="G915" s="2" t="s">
        <v>2519</v>
      </c>
      <c r="H915" s="2" t="s">
        <v>62</v>
      </c>
      <c r="I915" s="2" t="str">
        <f>IFERROR(__xludf.DUMMYFUNCTION("GOOGLETRANSLATE(C915,""fr"",""en"")"),"I am satisfied with the price and the service. It's fast. It's not expensive by contribution to others. I advise this insurance.
I hope a day when we are listening")</f>
        <v>I am satisfied with the price and the service. It's fast. It's not expensive by contribution to others. I advise this insurance.
I hope a day when we are listening</v>
      </c>
    </row>
    <row r="916" ht="15.75" customHeight="1">
      <c r="A916" s="2">
        <v>2.0</v>
      </c>
      <c r="B916" s="2" t="s">
        <v>2520</v>
      </c>
      <c r="C916" s="2" t="s">
        <v>2521</v>
      </c>
      <c r="D916" s="2" t="s">
        <v>37</v>
      </c>
      <c r="E916" s="2" t="s">
        <v>27</v>
      </c>
      <c r="F916" s="2" t="s">
        <v>15</v>
      </c>
      <c r="G916" s="2" t="s">
        <v>544</v>
      </c>
      <c r="H916" s="2" t="s">
        <v>310</v>
      </c>
      <c r="I916" s="2" t="str">
        <f>IFERROR(__xludf.DUMMYFUNCTION("GOOGLETRANSLATE(C916,""fr"",""en"")"),"For young drivers, run away from this insurer
1,400 euros for a Twingo 3 while others will offer you at half price
In case of breakdown of your vehicle, no complaints, convenience store on site in less than an hour
I still left due to repeated increase"&amp;"s
Play the competition and you will find yourself there")</f>
        <v>For young drivers, run away from this insurer
1,400 euros for a Twingo 3 while others will offer you at half price
In case of breakdown of your vehicle, no complaints, convenience store on site in less than an hour
I still left due to repeated increases
Play the competition and you will find yourself there</v>
      </c>
    </row>
    <row r="917" ht="15.75" customHeight="1">
      <c r="A917" s="2">
        <v>2.0</v>
      </c>
      <c r="B917" s="2" t="s">
        <v>2522</v>
      </c>
      <c r="C917" s="2" t="s">
        <v>2523</v>
      </c>
      <c r="D917" s="2" t="s">
        <v>355</v>
      </c>
      <c r="E917" s="2" t="s">
        <v>27</v>
      </c>
      <c r="F917" s="2" t="s">
        <v>15</v>
      </c>
      <c r="G917" s="2" t="s">
        <v>2524</v>
      </c>
      <c r="H917" s="2" t="s">
        <v>592</v>
      </c>
      <c r="I917" s="2" t="str">
        <f>IFERROR(__xludf.DUMMYFUNCTION("GOOGLETRANSLATE(C917,""fr"",""en"")"),"Not much positive, do not defend their client (non -responsible accident with complaint filing, no return 5 months after), no return from the complaints service or management despite several email and letters. Maybe you don't need a customer. Directing wh"&amp;"ile contract not signed, contract signed by me but in the name of my spouse, ditto for the samples: his contracts are withdrawing from my account.")</f>
        <v>Not much positive, do not defend their client (non -responsible accident with complaint filing, no return 5 months after), no return from the complaints service or management despite several email and letters. Maybe you don't need a customer. Directing while contract not signed, contract signed by me but in the name of my spouse, ditto for the samples: his contracts are withdrawing from my account.</v>
      </c>
    </row>
    <row r="918" ht="15.75" customHeight="1">
      <c r="A918" s="2">
        <v>1.0</v>
      </c>
      <c r="B918" s="2" t="s">
        <v>2525</v>
      </c>
      <c r="C918" s="2" t="s">
        <v>2526</v>
      </c>
      <c r="D918" s="2" t="s">
        <v>57</v>
      </c>
      <c r="E918" s="2" t="s">
        <v>43</v>
      </c>
      <c r="F918" s="2" t="s">
        <v>15</v>
      </c>
      <c r="G918" s="2" t="s">
        <v>1100</v>
      </c>
      <c r="H918" s="2" t="s">
        <v>34</v>
      </c>
      <c r="I918" s="2" t="str">
        <f>IFERROR(__xludf.DUMMYFUNCTION("GOOGLETRANSLATE(C918,""fr"",""en"")"),"I have declared several claims (water damage) at the start of the year (the law of series) for many although I have and the advisers do not even want to register my request. I had to fight so that my claims are educated! I find it mind -blowing for 15 yea"&amp;"rs that I am at home and never a claim before. I await the fence of my claims and then I would rock all of my insurance (5 in any case) with an insurer more attentive and showing benevolence towards their insured, Car Pacifica is an interrogation And we h"&amp;"ave the impression that they do everything to find a way not to take care of repairing the damage really very disappointed!")</f>
        <v>I have declared several claims (water damage) at the start of the year (the law of series) for many although I have and the advisers do not even want to register my request. I had to fight so that my claims are educated! I find it mind -blowing for 15 years that I am at home and never a claim before. I await the fence of my claims and then I would rock all of my insurance (5 in any case) with an insurer more attentive and showing benevolence towards their insured, Car Pacifica is an interrogation And we have the impression that they do everything to find a way not to take care of repairing the damage really very disappointed!</v>
      </c>
    </row>
    <row r="919" ht="15.75" customHeight="1">
      <c r="A919" s="2">
        <v>5.0</v>
      </c>
      <c r="B919" s="2" t="s">
        <v>2527</v>
      </c>
      <c r="C919" s="2" t="s">
        <v>2528</v>
      </c>
      <c r="D919" s="2" t="s">
        <v>26</v>
      </c>
      <c r="E919" s="2" t="s">
        <v>27</v>
      </c>
      <c r="F919" s="2" t="s">
        <v>15</v>
      </c>
      <c r="G919" s="2" t="s">
        <v>1659</v>
      </c>
      <c r="H919" s="2" t="s">
        <v>29</v>
      </c>
      <c r="I919" s="2" t="str">
        <f>IFERROR(__xludf.DUMMYFUNCTION("GOOGLETRANSLATE(C919,""fr"",""en"")"),"Quick simple and inexpensive, I recommend to everyone, I hope to stay with them for many years, thank you for your confidence me you have mine")</f>
        <v>Quick simple and inexpensive, I recommend to everyone, I hope to stay with them for many years, thank you for your confidence me you have mine</v>
      </c>
    </row>
    <row r="920" ht="15.75" customHeight="1">
      <c r="A920" s="2">
        <v>5.0</v>
      </c>
      <c r="B920" s="2" t="s">
        <v>2529</v>
      </c>
      <c r="C920" s="2" t="s">
        <v>2530</v>
      </c>
      <c r="D920" s="2" t="s">
        <v>430</v>
      </c>
      <c r="E920" s="2" t="s">
        <v>120</v>
      </c>
      <c r="F920" s="2" t="s">
        <v>15</v>
      </c>
      <c r="G920" s="2" t="s">
        <v>2531</v>
      </c>
      <c r="H920" s="2" t="s">
        <v>39</v>
      </c>
      <c r="I920" s="2" t="str">
        <f>IFERROR(__xludf.DUMMYFUNCTION("GOOGLETRANSLATE(C920,""fr"",""en"")"),"Despite the complexity of my file between Swiss and French decisions, the CNP has always settled the service in ITT and now the PTIA. Besides, I had the chance to come across experienced and understanding advisor. A report will soon follow with more detai"&amp;"ls which will confirm the quality of the service of the CNP")</f>
        <v>Despite the complexity of my file between Swiss and French decisions, the CNP has always settled the service in ITT and now the PTIA. Besides, I had the chance to come across experienced and understanding advisor. A report will soon follow with more details which will confirm the quality of the service of the CNP</v>
      </c>
    </row>
    <row r="921" ht="15.75" customHeight="1">
      <c r="A921" s="2">
        <v>1.0</v>
      </c>
      <c r="B921" s="2" t="s">
        <v>2532</v>
      </c>
      <c r="C921" s="2" t="s">
        <v>2533</v>
      </c>
      <c r="D921" s="2" t="s">
        <v>42</v>
      </c>
      <c r="E921" s="2" t="s">
        <v>43</v>
      </c>
      <c r="F921" s="2" t="s">
        <v>15</v>
      </c>
      <c r="G921" s="2" t="s">
        <v>124</v>
      </c>
      <c r="H921" s="2" t="s">
        <v>88</v>
      </c>
      <c r="I921" s="2" t="str">
        <f>IFERROR(__xludf.DUMMYFUNCTION("GOOGLETRANSLATE(C921,""fr"",""en"")"),"Hello, we are very disappointed by the processing of a file concerning a detachment of the waters on an evacuation column which unfortunately is only accessible by the interior, breaking a wall of the apartment. The wall repairs were made in August 2020 b"&amp;"y a craftsman we had to find and pay. And to date no dedomly has been paid.
")</f>
        <v>Hello, we are very disappointed by the processing of a file concerning a detachment of the waters on an evacuation column which unfortunately is only accessible by the interior, breaking a wall of the apartment. The wall repairs were made in August 2020 by a craftsman we had to find and pay. And to date no dedomly has been paid.
</v>
      </c>
    </row>
    <row r="922" ht="15.75" customHeight="1">
      <c r="A922" s="2">
        <v>3.0</v>
      </c>
      <c r="B922" s="2" t="s">
        <v>2534</v>
      </c>
      <c r="C922" s="2" t="s">
        <v>2535</v>
      </c>
      <c r="D922" s="2" t="s">
        <v>245</v>
      </c>
      <c r="E922" s="2" t="s">
        <v>21</v>
      </c>
      <c r="F922" s="2" t="s">
        <v>15</v>
      </c>
      <c r="G922" s="2" t="s">
        <v>2536</v>
      </c>
      <c r="H922" s="2" t="s">
        <v>206</v>
      </c>
      <c r="I922" s="2" t="str">
        <f>IFERROR(__xludf.DUMMYFUNCTION("GOOGLETRANSLATE(C922,""fr"",""en"")"),"The AG2R La Mondiale with Mutual AG2R merger is completely zero except for samples.
Viassant does not appear in the list which scrolls above !!!")</f>
        <v>The AG2R La Mondiale with Mutual AG2R merger is completely zero except for samples.
Viassant does not appear in the list which scrolls above !!!</v>
      </c>
    </row>
    <row r="923" ht="15.75" customHeight="1">
      <c r="A923" s="2">
        <v>4.0</v>
      </c>
      <c r="B923" s="2" t="s">
        <v>2537</v>
      </c>
      <c r="C923" s="2" t="s">
        <v>2538</v>
      </c>
      <c r="D923" s="2" t="s">
        <v>37</v>
      </c>
      <c r="E923" s="2" t="s">
        <v>27</v>
      </c>
      <c r="F923" s="2" t="s">
        <v>15</v>
      </c>
      <c r="G923" s="2" t="s">
        <v>23</v>
      </c>
      <c r="H923" s="2" t="s">
        <v>23</v>
      </c>
      <c r="I923" s="2" t="str">
        <f>IFERROR(__xludf.DUMMYFUNCTION("GOOGLETRANSLATE(C923,""fr"",""en"")"),"My payment was refused because I exceeded my cota !! Can I make a transfer or other please? I'm sorry .. on the other hand I will not be able to provide you with information statement because it has no more cars for more than 3 years they cannot ..... tha"&amp;"nk you for your answer !!!")</f>
        <v>My payment was refused because I exceeded my cota !! Can I make a transfer or other please? I'm sorry .. on the other hand I will not be able to provide you with information statement because it has no more cars for more than 3 years they cannot ..... thank you for your answer !!!</v>
      </c>
    </row>
    <row r="924" ht="15.75" customHeight="1">
      <c r="A924" s="2">
        <v>5.0</v>
      </c>
      <c r="B924" s="2" t="s">
        <v>2539</v>
      </c>
      <c r="C924" s="2" t="s">
        <v>2540</v>
      </c>
      <c r="D924" s="2" t="s">
        <v>37</v>
      </c>
      <c r="E924" s="2" t="s">
        <v>27</v>
      </c>
      <c r="F924" s="2" t="s">
        <v>15</v>
      </c>
      <c r="G924" s="2" t="s">
        <v>2541</v>
      </c>
      <c r="H924" s="2" t="s">
        <v>62</v>
      </c>
      <c r="I924" s="2" t="str">
        <f>IFERROR(__xludf.DUMMYFUNCTION("GOOGLETRANSLATE(C924,""fr"",""en"")"),"Very satisfied fast efficient always smiling puts over years in France in addition respectful it process the data fast frankly nothing to say we always come")</f>
        <v>Very satisfied fast efficient always smiling puts over years in France in addition respectful it process the data fast frankly nothing to say we always come</v>
      </c>
    </row>
    <row r="925" ht="15.75" customHeight="1">
      <c r="A925" s="2">
        <v>1.0</v>
      </c>
      <c r="B925" s="2" t="s">
        <v>2542</v>
      </c>
      <c r="C925" s="2" t="s">
        <v>2543</v>
      </c>
      <c r="D925" s="2" t="s">
        <v>946</v>
      </c>
      <c r="E925" s="2" t="s">
        <v>43</v>
      </c>
      <c r="F925" s="2" t="s">
        <v>15</v>
      </c>
      <c r="G925" s="2" t="s">
        <v>710</v>
      </c>
      <c r="H925" s="2" t="s">
        <v>503</v>
      </c>
      <c r="I925" s="2" t="str">
        <f>IFERROR(__xludf.DUMMYFUNCTION("GOOGLETRANSLATE(C925,""fr"",""en"")"),"Water damage has declared since February
Passage of experts since June nothing is advancing hours on the phone to reach an advisor unable to answer on the advancement of the file
I go from service to service to have different versions; I call every 2/3 "&amp;"days
The standard sentence: I ask what we remind you! I'M STILL WAITING!!!!!!
I am provided as an optional comfort (water damage ......) and the answer: this water damage is not reimbursed
A real calamity
Only recourse now to bring them to court to ma"&amp;"ke me compensate !!!!
A shame! TO FLEE!!!!!!!!!!!
I terminate my contract")</f>
        <v>Water damage has declared since February
Passage of experts since June nothing is advancing hours on the phone to reach an advisor unable to answer on the advancement of the file
I go from service to service to have different versions; I call every 2/3 days
The standard sentence: I ask what we remind you! I'M STILL WAITING!!!!!!
I am provided as an optional comfort (water damage ......) and the answer: this water damage is not reimbursed
A real calamity
Only recourse now to bring them to court to make me compensate !!!!
A shame! TO FLEE!!!!!!!!!!!
I terminate my contract</v>
      </c>
    </row>
    <row r="926" ht="15.75" customHeight="1">
      <c r="A926" s="2">
        <v>3.0</v>
      </c>
      <c r="B926" s="2" t="s">
        <v>2544</v>
      </c>
      <c r="C926" s="2" t="s">
        <v>2545</v>
      </c>
      <c r="D926" s="2" t="s">
        <v>37</v>
      </c>
      <c r="E926" s="2" t="s">
        <v>27</v>
      </c>
      <c r="F926" s="2" t="s">
        <v>15</v>
      </c>
      <c r="G926" s="2" t="s">
        <v>867</v>
      </c>
      <c r="H926" s="2" t="s">
        <v>62</v>
      </c>
      <c r="I926" s="2" t="str">
        <f>IFERROR(__xludf.DUMMYFUNCTION("GOOGLETRANSLATE(C926,""fr"",""en"")"),"I am satisfied waiting to have a disaster, as late as possible.
The prices are earlier attractive while waiting to have a disaster, as late as possible too.")</f>
        <v>I am satisfied waiting to have a disaster, as late as possible.
The prices are earlier attractive while waiting to have a disaster, as late as possible too.</v>
      </c>
    </row>
    <row r="927" ht="15.75" customHeight="1">
      <c r="A927" s="2">
        <v>3.0</v>
      </c>
      <c r="B927" s="2" t="s">
        <v>2546</v>
      </c>
      <c r="C927" s="2" t="s">
        <v>2547</v>
      </c>
      <c r="D927" s="2" t="s">
        <v>300</v>
      </c>
      <c r="E927" s="2" t="s">
        <v>27</v>
      </c>
      <c r="F927" s="2" t="s">
        <v>15</v>
      </c>
      <c r="G927" s="2" t="s">
        <v>2030</v>
      </c>
      <c r="H927" s="2" t="s">
        <v>88</v>
      </c>
      <c r="I927" s="2" t="str">
        <f>IFERROR(__xludf.DUMMYFUNCTION("GOOGLETRANSLATE(C927,""fr"",""en"")"),"I am satisfied with the service and I realized during a problem with my vehicle.
Only downside, the price. This remains relatively high despite the different bonuses for more than 10 years and mine over 22 years old.")</f>
        <v>I am satisfied with the service and I realized during a problem with my vehicle.
Only downside, the price. This remains relatively high despite the different bonuses for more than 10 years and mine over 22 years old.</v>
      </c>
    </row>
    <row r="928" ht="15.75" customHeight="1">
      <c r="A928" s="2">
        <v>3.0</v>
      </c>
      <c r="B928" s="2" t="s">
        <v>2548</v>
      </c>
      <c r="C928" s="2" t="s">
        <v>2549</v>
      </c>
      <c r="D928" s="2" t="s">
        <v>37</v>
      </c>
      <c r="E928" s="2" t="s">
        <v>27</v>
      </c>
      <c r="F928" s="2" t="s">
        <v>15</v>
      </c>
      <c r="G928" s="2" t="s">
        <v>515</v>
      </c>
      <c r="H928" s="2" t="s">
        <v>188</v>
      </c>
      <c r="I928" s="2" t="str">
        <f>IFERROR(__xludf.DUMMYFUNCTION("GOOGLETRANSLATE(C928,""fr"",""en"")"),"The prices are attractive ... The quote looks rather interesting ... We will subscribe by internet because the offer by phone was less interesting")</f>
        <v>The prices are attractive ... The quote looks rather interesting ... We will subscribe by internet because the offer by phone was less interesting</v>
      </c>
    </row>
    <row r="929" ht="15.75" customHeight="1">
      <c r="A929" s="2">
        <v>1.0</v>
      </c>
      <c r="B929" s="2" t="s">
        <v>2550</v>
      </c>
      <c r="C929" s="2" t="s">
        <v>2551</v>
      </c>
      <c r="D929" s="2" t="s">
        <v>355</v>
      </c>
      <c r="E929" s="2" t="s">
        <v>68</v>
      </c>
      <c r="F929" s="2" t="s">
        <v>15</v>
      </c>
      <c r="G929" s="2" t="s">
        <v>2552</v>
      </c>
      <c r="H929" s="2" t="s">
        <v>149</v>
      </c>
      <c r="I929" s="2" t="str">
        <f>IFERROR(__xludf.DUMMYFUNCTION("GOOGLETRANSLATE(C929,""fr"",""en"")"),"Shameful: terminate without reason and no excuse! Basically that's how they do what they want! But before assuming this act they made us turn in Bourique!")</f>
        <v>Shameful: terminate without reason and no excuse! Basically that's how they do what they want! But before assuming this act they made us turn in Bourique!</v>
      </c>
    </row>
    <row r="930" ht="15.75" customHeight="1">
      <c r="A930" s="2">
        <v>1.0</v>
      </c>
      <c r="B930" s="2" t="s">
        <v>2553</v>
      </c>
      <c r="C930" s="2" t="s">
        <v>2554</v>
      </c>
      <c r="D930" s="2" t="s">
        <v>37</v>
      </c>
      <c r="E930" s="2" t="s">
        <v>27</v>
      </c>
      <c r="F930" s="2" t="s">
        <v>15</v>
      </c>
      <c r="G930" s="2" t="s">
        <v>2555</v>
      </c>
      <c r="H930" s="2" t="s">
        <v>54</v>
      </c>
      <c r="I930" s="2" t="str">
        <f>IFERROR(__xludf.DUMMYFUNCTION("GOOGLETRANSLATE(C930,""fr"",""en"")"),"Incompetence no unskilled advisor for 2 months to have an expert report that I am still not")</f>
        <v>Incompetence no unskilled advisor for 2 months to have an expert report that I am still not</v>
      </c>
    </row>
    <row r="931" ht="15.75" customHeight="1">
      <c r="A931" s="2">
        <v>2.0</v>
      </c>
      <c r="B931" s="2" t="s">
        <v>2556</v>
      </c>
      <c r="C931" s="2" t="s">
        <v>2557</v>
      </c>
      <c r="D931" s="2" t="s">
        <v>355</v>
      </c>
      <c r="E931" s="2" t="s">
        <v>120</v>
      </c>
      <c r="F931" s="2" t="s">
        <v>15</v>
      </c>
      <c r="G931" s="2" t="s">
        <v>108</v>
      </c>
      <c r="H931" s="2" t="s">
        <v>45</v>
      </c>
      <c r="I931" s="2" t="str">
        <f>IFERROR(__xludf.DUMMYFUNCTION("GOOGLETRANSLATE(C931,""fr"",""en"")"),"Business provident that helps heal faster ...
Their ""good care"" is to pray to rework, whatever your ailments ...
No More Comments ...")</f>
        <v>Business provident that helps heal faster ...
Their "good care" is to pray to rework, whatever your ailments ...
No More Comments ...</v>
      </c>
    </row>
    <row r="932" ht="15.75" customHeight="1">
      <c r="A932" s="2">
        <v>2.0</v>
      </c>
      <c r="B932" s="2" t="s">
        <v>2558</v>
      </c>
      <c r="C932" s="2" t="s">
        <v>2559</v>
      </c>
      <c r="D932" s="2" t="s">
        <v>160</v>
      </c>
      <c r="E932" s="2" t="s">
        <v>21</v>
      </c>
      <c r="F932" s="2" t="s">
        <v>15</v>
      </c>
      <c r="G932" s="2" t="s">
        <v>2446</v>
      </c>
      <c r="H932" s="2" t="s">
        <v>134</v>
      </c>
      <c r="I932" s="2" t="str">
        <f>IFERROR(__xludf.DUMMYFUNCTION("GOOGLETRANSLATE(C932,""fr"",""en"")"),"Me very disappointed because I always wait for my insured card. Then not even registered on Social Security.
Beautiful speaker but administrative slowness.
Very very disappointed.")</f>
        <v>Me very disappointed because I always wait for my insured card. Then not even registered on Social Security.
Beautiful speaker but administrative slowness.
Very very disappointed.</v>
      </c>
    </row>
    <row r="933" ht="15.75" customHeight="1">
      <c r="A933" s="2">
        <v>1.0</v>
      </c>
      <c r="B933" s="2" t="s">
        <v>2560</v>
      </c>
      <c r="C933" s="2" t="s">
        <v>2561</v>
      </c>
      <c r="D933" s="2" t="s">
        <v>37</v>
      </c>
      <c r="E933" s="2" t="s">
        <v>27</v>
      </c>
      <c r="F933" s="2" t="s">
        <v>15</v>
      </c>
      <c r="G933" s="2" t="s">
        <v>2562</v>
      </c>
      <c r="H933" s="2" t="s">
        <v>121</v>
      </c>
      <c r="I933" s="2" t="str">
        <f>IFERROR(__xludf.DUMMYFUNCTION("GOOGLETRANSLATE(C933,""fr"",""en"")"),"Increase in membership from year to year even without disaster for climatic and other reasons, and with a good bonus. First interesting year and following years climbing prices, my husband found it after a first year of subscription and other opinions den"&amp;"ounced the same thing on the net are unanimous, to flee as soon as possible")</f>
        <v>Increase in membership from year to year even without disaster for climatic and other reasons, and with a good bonus. First interesting year and following years climbing prices, my husband found it after a first year of subscription and other opinions denounced the same thing on the net are unanimous, to flee as soon as possible</v>
      </c>
    </row>
    <row r="934" ht="15.75" customHeight="1">
      <c r="A934" s="2">
        <v>4.0</v>
      </c>
      <c r="B934" s="2" t="s">
        <v>2563</v>
      </c>
      <c r="C934" s="2" t="s">
        <v>2564</v>
      </c>
      <c r="D934" s="2" t="s">
        <v>264</v>
      </c>
      <c r="E934" s="2" t="s">
        <v>27</v>
      </c>
      <c r="F934" s="2" t="s">
        <v>15</v>
      </c>
      <c r="G934" s="2" t="s">
        <v>986</v>
      </c>
      <c r="H934" s="2" t="s">
        <v>427</v>
      </c>
      <c r="I934" s="2" t="str">
        <f>IFERROR(__xludf.DUMMYFUNCTION("GOOGLETRANSLATE(C934,""fr"",""en"")"),"Nothing to say")</f>
        <v>Nothing to say</v>
      </c>
    </row>
    <row r="935" ht="15.75" customHeight="1">
      <c r="A935" s="2">
        <v>1.0</v>
      </c>
      <c r="B935" s="2" t="s">
        <v>2565</v>
      </c>
      <c r="C935" s="2" t="s">
        <v>2566</v>
      </c>
      <c r="D935" s="2" t="s">
        <v>1051</v>
      </c>
      <c r="E935" s="2" t="s">
        <v>120</v>
      </c>
      <c r="F935" s="2" t="s">
        <v>15</v>
      </c>
      <c r="G935" s="2" t="s">
        <v>809</v>
      </c>
      <c r="H935" s="2" t="s">
        <v>134</v>
      </c>
      <c r="I935" s="2" t="str">
        <f>IFERROR(__xludf.DUMMYFUNCTION("GOOGLETRANSLATE(C935,""fr"",""en"")"),"My mother's death in April. And, Auxia/Malakoff Humanis are incompetent and the responses given to the multiple requests border on ridicule. Impossible to be reimbursed for funeral insurance despite having followed their recommendations to the letter. My "&amp;"mother contributed for more than 20 years and paid at least 4 times her burial. They make you set the burial costs and then refuse to repay. Run away, run away")</f>
        <v>My mother's death in April. And, Auxia/Malakoff Humanis are incompetent and the responses given to the multiple requests border on ridicule. Impossible to be reimbursed for funeral insurance despite having followed their recommendations to the letter. My mother contributed for more than 20 years and paid at least 4 times her burial. They make you set the burial costs and then refuse to repay. Run away, run away</v>
      </c>
    </row>
    <row r="936" ht="15.75" customHeight="1">
      <c r="A936" s="2">
        <v>5.0</v>
      </c>
      <c r="B936" s="2" t="s">
        <v>2567</v>
      </c>
      <c r="C936" s="2" t="s">
        <v>2568</v>
      </c>
      <c r="D936" s="2" t="s">
        <v>37</v>
      </c>
      <c r="E936" s="2" t="s">
        <v>27</v>
      </c>
      <c r="F936" s="2" t="s">
        <v>15</v>
      </c>
      <c r="G936" s="2" t="s">
        <v>2569</v>
      </c>
      <c r="H936" s="2" t="s">
        <v>88</v>
      </c>
      <c r="I936" s="2" t="str">
        <f>IFERROR(__xludf.DUMMYFUNCTION("GOOGLETRANSLATE(C936,""fr"",""en"")"),"Hello
The interface is practical to ensure remote
The prices are very reasonable
This is my second car insured
Goodbye
Thank you
Thank you")</f>
        <v>Hello
The interface is practical to ensure remote
The prices are very reasonable
This is my second car insured
Goodbye
Thank you
Thank you</v>
      </c>
    </row>
    <row r="937" ht="15.75" customHeight="1">
      <c r="A937" s="2">
        <v>1.0</v>
      </c>
      <c r="B937" s="2" t="s">
        <v>2570</v>
      </c>
      <c r="C937" s="2" t="s">
        <v>2571</v>
      </c>
      <c r="D937" s="2" t="s">
        <v>119</v>
      </c>
      <c r="E937" s="2" t="s">
        <v>289</v>
      </c>
      <c r="F937" s="2" t="s">
        <v>15</v>
      </c>
      <c r="G937" s="2" t="s">
        <v>141</v>
      </c>
      <c r="H937" s="2" t="s">
        <v>503</v>
      </c>
      <c r="I937" s="2" t="str">
        <f>IFERROR(__xludf.DUMMYFUNCTION("GOOGLETRANSLATE(C937,""fr"",""en"")"),"It took us 7 months to be reimbursed! Mails, telephone calls, mail in acknowledgment of receipt.
Extremely disappointed to have lost all this energy, time, and evidence to send x times!
Since January 2020, they want a RIB .... for the end, in October 20"&amp;"20, I receive a check !!!
If I hadn't harassed them, I would not have received anything!")</f>
        <v>It took us 7 months to be reimbursed! Mails, telephone calls, mail in acknowledgment of receipt.
Extremely disappointed to have lost all this energy, time, and evidence to send x times!
Since January 2020, they want a RIB .... for the end, in October 2020, I receive a check !!!
If I hadn't harassed them, I would not have received anything!</v>
      </c>
    </row>
    <row r="938" ht="15.75" customHeight="1">
      <c r="A938" s="2">
        <v>1.0</v>
      </c>
      <c r="B938" s="2" t="s">
        <v>2572</v>
      </c>
      <c r="C938" s="2" t="s">
        <v>2573</v>
      </c>
      <c r="D938" s="2" t="s">
        <v>437</v>
      </c>
      <c r="E938" s="2" t="s">
        <v>43</v>
      </c>
      <c r="F938" s="2" t="s">
        <v>15</v>
      </c>
      <c r="G938" s="2" t="s">
        <v>2574</v>
      </c>
      <c r="H938" s="2" t="s">
        <v>634</v>
      </c>
      <c r="I938" s="2" t="str">
        <f>IFERROR(__xludf.DUMMYFUNCTION("GOOGLETRANSLATE(C938,""fr"",""en"")"),"Response to the phone only after 15 to 20 minutes.
Never recall.
Never gives a direct link with the portfolio manager.
Does not reimburse leak search costs.
Reimburses extremely bad and counter-coeur.")</f>
        <v>Response to the phone only after 15 to 20 minutes.
Never recall.
Never gives a direct link with the portfolio manager.
Does not reimburse leak search costs.
Reimburses extremely bad and counter-coeur.</v>
      </c>
    </row>
    <row r="939" ht="15.75" customHeight="1">
      <c r="A939" s="2">
        <v>5.0</v>
      </c>
      <c r="B939" s="2" t="s">
        <v>2575</v>
      </c>
      <c r="C939" s="2" t="s">
        <v>2576</v>
      </c>
      <c r="D939" s="2" t="s">
        <v>26</v>
      </c>
      <c r="E939" s="2" t="s">
        <v>27</v>
      </c>
      <c r="F939" s="2" t="s">
        <v>15</v>
      </c>
      <c r="G939" s="2" t="s">
        <v>1086</v>
      </c>
      <c r="H939" s="2" t="s">
        <v>698</v>
      </c>
      <c r="I939" s="2" t="str">
        <f>IFERROR(__xludf.DUMMYFUNCTION("GOOGLETRANSLATE(C939,""fr"",""en"")"),"I am insured with the olive tree and I divided by 2 almost by 3 compared to my previous insurance (insurance2000 which is very expensive) for the same services see more.")</f>
        <v>I am insured with the olive tree and I divided by 2 almost by 3 compared to my previous insurance (insurance2000 which is very expensive) for the same services see more.</v>
      </c>
    </row>
    <row r="940" ht="15.75" customHeight="1">
      <c r="A940" s="2">
        <v>1.0</v>
      </c>
      <c r="B940" s="2" t="s">
        <v>2577</v>
      </c>
      <c r="C940" s="2" t="s">
        <v>2578</v>
      </c>
      <c r="D940" s="2" t="s">
        <v>300</v>
      </c>
      <c r="E940" s="2" t="s">
        <v>43</v>
      </c>
      <c r="F940" s="2" t="s">
        <v>15</v>
      </c>
      <c r="G940" s="2" t="s">
        <v>2579</v>
      </c>
      <c r="H940" s="2" t="s">
        <v>101</v>
      </c>
      <c r="I940" s="2" t="str">
        <f>IFERROR(__xludf.DUMMYFUNCTION("GOOGLETRANSLATE(C940,""fr"",""en"")"),"Very disappointed following the declaration of a disaster (leak on external pipe). Reminder 15 days after the declaration of the claim to ask me for a quote for the search for leak, which I did. I recalled (because of course, I was not remembered), and af"&amp;"ter 20 minutes of waiting, I am told that I do not have the exterior pipe option and that my disaster will not be taken care of ... more than 15 days to tell me that, while we consumed 8 liters of water per minute, it is unacceptable. Especially since thi"&amp;"s option had never been offered to me! Thank you the GMF ...")</f>
        <v>Very disappointed following the declaration of a disaster (leak on external pipe). Reminder 15 days after the declaration of the claim to ask me for a quote for the search for leak, which I did. I recalled (because of course, I was not remembered), and after 20 minutes of waiting, I am told that I do not have the exterior pipe option and that my disaster will not be taken care of ... more than 15 days to tell me that, while we consumed 8 liters of water per minute, it is unacceptable. Especially since this option had never been offered to me! Thank you the GMF ...</v>
      </c>
    </row>
    <row r="941" ht="15.75" customHeight="1">
      <c r="A941" s="2">
        <v>3.0</v>
      </c>
      <c r="B941" s="2" t="s">
        <v>2580</v>
      </c>
      <c r="C941" s="2" t="s">
        <v>2581</v>
      </c>
      <c r="D941" s="2" t="s">
        <v>26</v>
      </c>
      <c r="E941" s="2" t="s">
        <v>27</v>
      </c>
      <c r="F941" s="2" t="s">
        <v>15</v>
      </c>
      <c r="G941" s="2" t="s">
        <v>762</v>
      </c>
      <c r="H941" s="2" t="s">
        <v>141</v>
      </c>
      <c r="I941" s="2" t="str">
        <f>IFERROR(__xludf.DUMMYFUNCTION("GOOGLETRANSLATE(C941,""fr"",""en"")"),"Simple and practical for insured your car quickly, support level are attached all the time, compared to other insurers I find that it is affordable.")</f>
        <v>Simple and practical for insured your car quickly, support level are attached all the time, compared to other insurers I find that it is affordable.</v>
      </c>
    </row>
    <row r="942" ht="15.75" customHeight="1">
      <c r="A942" s="2">
        <v>4.0</v>
      </c>
      <c r="B942" s="2" t="s">
        <v>2582</v>
      </c>
      <c r="C942" s="2" t="s">
        <v>2583</v>
      </c>
      <c r="D942" s="2" t="s">
        <v>37</v>
      </c>
      <c r="E942" s="2" t="s">
        <v>27</v>
      </c>
      <c r="F942" s="2" t="s">
        <v>15</v>
      </c>
      <c r="G942" s="2" t="s">
        <v>181</v>
      </c>
      <c r="H942" s="2" t="s">
        <v>182</v>
      </c>
      <c r="I942" s="2" t="str">
        <f>IFERROR(__xludf.DUMMYFUNCTION("GOOGLETRANSLATE(C942,""fr"",""en"")"),"Direct Assurances is very good advice and the advisers (eras) are reactive.
The prices offered are more competitive for guarantees identical to my previous insurer.
")</f>
        <v>Direct Assurances is very good advice and the advisers (eras) are reactive.
The prices offered are more competitive for guarantees identical to my previous insurer.
</v>
      </c>
    </row>
    <row r="943" ht="15.75" customHeight="1">
      <c r="A943" s="2">
        <v>3.0</v>
      </c>
      <c r="B943" s="2" t="s">
        <v>2584</v>
      </c>
      <c r="C943" s="2" t="s">
        <v>2585</v>
      </c>
      <c r="D943" s="2" t="s">
        <v>37</v>
      </c>
      <c r="E943" s="2" t="s">
        <v>27</v>
      </c>
      <c r="F943" s="2" t="s">
        <v>15</v>
      </c>
      <c r="G943" s="2" t="s">
        <v>547</v>
      </c>
      <c r="H943" s="2" t="s">
        <v>88</v>
      </c>
      <c r="I943" s="2" t="str">
        <f>IFERROR(__xludf.DUMMYFUNCTION("GOOGLETRANSLATE(C943,""fr"",""en"")"),"I am satisfied.
The prices are attractive, not too expensive for a young driver.
Simple and practical.
The monthly payment would have been better, however.")</f>
        <v>I am satisfied.
The prices are attractive, not too expensive for a young driver.
Simple and practical.
The monthly payment would have been better, however.</v>
      </c>
    </row>
    <row r="944" ht="15.75" customHeight="1">
      <c r="A944" s="2">
        <v>5.0</v>
      </c>
      <c r="B944" s="2" t="s">
        <v>2586</v>
      </c>
      <c r="C944" s="2" t="s">
        <v>2587</v>
      </c>
      <c r="D944" s="2" t="s">
        <v>26</v>
      </c>
      <c r="E944" s="2" t="s">
        <v>27</v>
      </c>
      <c r="F944" s="2" t="s">
        <v>15</v>
      </c>
      <c r="G944" s="2" t="s">
        <v>1578</v>
      </c>
      <c r="H944" s="2" t="s">
        <v>206</v>
      </c>
      <c r="I944" s="2" t="str">
        <f>IFERROR(__xludf.DUMMYFUNCTION("GOOGLETRANSLATE(C944,""fr"",""en"")"),"I recommend this insurance they are attentive to their customers, they immediately respond to your requests and put themselves in the place of their customers and do everything to help them. Do not hesitate to make sure you at the olive assurance you will"&amp;" not be disappointed")</f>
        <v>I recommend this insurance they are attentive to their customers, they immediately respond to your requests and put themselves in the place of their customers and do everything to help them. Do not hesitate to make sure you at the olive assurance you will not be disappointed</v>
      </c>
    </row>
    <row r="945" ht="15.75" customHeight="1">
      <c r="A945" s="2">
        <v>4.0</v>
      </c>
      <c r="B945" s="2" t="s">
        <v>2588</v>
      </c>
      <c r="C945" s="2" t="s">
        <v>2589</v>
      </c>
      <c r="D945" s="2" t="s">
        <v>26</v>
      </c>
      <c r="E945" s="2" t="s">
        <v>27</v>
      </c>
      <c r="F945" s="2" t="s">
        <v>15</v>
      </c>
      <c r="G945" s="2" t="s">
        <v>676</v>
      </c>
      <c r="H945" s="2" t="s">
        <v>141</v>
      </c>
      <c r="I945" s="2" t="str">
        <f>IFERROR(__xludf.DUMMYFUNCTION("GOOGLETRANSLATE(C945,""fr"",""en"")"),"Services and price clear enough for me to decide to change my car insurer after several years of contract with Direct Insurance. To be continued...")</f>
        <v>Services and price clear enough for me to decide to change my car insurer after several years of contract with Direct Insurance. To be continued...</v>
      </c>
    </row>
    <row r="946" ht="15.75" customHeight="1">
      <c r="A946" s="2">
        <v>1.0</v>
      </c>
      <c r="B946" s="2" t="s">
        <v>2590</v>
      </c>
      <c r="C946" s="2" t="s">
        <v>2591</v>
      </c>
      <c r="D946" s="2" t="s">
        <v>254</v>
      </c>
      <c r="E946" s="2" t="s">
        <v>168</v>
      </c>
      <c r="F946" s="2" t="s">
        <v>15</v>
      </c>
      <c r="G946" s="2" t="s">
        <v>874</v>
      </c>
      <c r="H946" s="2" t="s">
        <v>874</v>
      </c>
      <c r="I946" s="2" t="str">
        <f>IFERROR(__xludf.DUMMYFUNCTION("GOOGLETRANSLATE(C946,""fr"",""en"")"),"At the cleat to take your money, pretend not to receive your termination request and puts you in notice")</f>
        <v>At the cleat to take your money, pretend not to receive your termination request and puts you in notice</v>
      </c>
    </row>
    <row r="947" ht="15.75" customHeight="1">
      <c r="A947" s="2">
        <v>1.0</v>
      </c>
      <c r="B947" s="2" t="s">
        <v>2592</v>
      </c>
      <c r="C947" s="2" t="s">
        <v>2593</v>
      </c>
      <c r="D947" s="2" t="s">
        <v>448</v>
      </c>
      <c r="E947" s="2" t="s">
        <v>43</v>
      </c>
      <c r="F947" s="2" t="s">
        <v>15</v>
      </c>
      <c r="G947" s="2" t="s">
        <v>100</v>
      </c>
      <c r="H947" s="2" t="s">
        <v>101</v>
      </c>
      <c r="I947" s="2" t="str">
        <f>IFERROR(__xludf.DUMMYFUNCTION("GOOGLETRANSLATE(C947,""fr"",""en"")"),"Ensure maaf housing car and even mutual for 5 or 6 years This insurance allows itself to terminate my home contract because I declared 3 claims in 3 years, one with third parties, jet 2 others with reimbursements not exceeding 2000 euros each I find one L"&amp;"ight their way of proceeding, on the other hand to take the monthly payments no problem ...... to flee .....")</f>
        <v>Ensure maaf housing car and even mutual for 5 or 6 years This insurance allows itself to terminate my home contract because I declared 3 claims in 3 years, one with third parties, jet 2 others with reimbursements not exceeding 2000 euros each I find one Light their way of proceeding, on the other hand to take the monthly payments no problem ...... to flee .....</v>
      </c>
    </row>
    <row r="948" ht="15.75" customHeight="1">
      <c r="A948" s="2">
        <v>1.0</v>
      </c>
      <c r="B948" s="2" t="s">
        <v>2594</v>
      </c>
      <c r="C948" s="2" t="s">
        <v>2595</v>
      </c>
      <c r="D948" s="2" t="s">
        <v>217</v>
      </c>
      <c r="E948" s="2" t="s">
        <v>43</v>
      </c>
      <c r="F948" s="2" t="s">
        <v>15</v>
      </c>
      <c r="G948" s="2" t="s">
        <v>2596</v>
      </c>
      <c r="H948" s="2" t="s">
        <v>214</v>
      </c>
      <c r="I948" s="2" t="str">
        <f>IFERROR(__xludf.DUMMYFUNCTION("GOOGLETRANSLATE(C948,""fr"",""en"")"),"Customer for decades I had to leave a lot of money so as not to be compensated following a break -in, a barn wall which collapses (too vetuts) forced entrance door (too dilapidated)")</f>
        <v>Customer for decades I had to leave a lot of money so as not to be compensated following a break -in, a barn wall which collapses (too vetuts) forced entrance door (too dilapidated)</v>
      </c>
    </row>
    <row r="949" ht="15.75" customHeight="1">
      <c r="A949" s="2">
        <v>4.0</v>
      </c>
      <c r="B949" s="2" t="s">
        <v>2597</v>
      </c>
      <c r="C949" s="2" t="s">
        <v>2598</v>
      </c>
      <c r="D949" s="2" t="s">
        <v>26</v>
      </c>
      <c r="E949" s="2" t="s">
        <v>27</v>
      </c>
      <c r="F949" s="2" t="s">
        <v>15</v>
      </c>
      <c r="G949" s="2" t="s">
        <v>2433</v>
      </c>
      <c r="H949" s="2" t="s">
        <v>112</v>
      </c>
      <c r="I949" s="2" t="str">
        <f>IFERROR(__xludf.DUMMYFUNCTION("GOOGLETRANSLATE(C949,""fr"",""en"")"),"Very good sales, Romanesque. I just subscribed, not sufficiently backwards to appreciate this insurance company or not. The future will tell me!")</f>
        <v>Very good sales, Romanesque. I just subscribed, not sufficiently backwards to appreciate this insurance company or not. The future will tell me!</v>
      </c>
    </row>
    <row r="950" ht="15.75" customHeight="1">
      <c r="A950" s="2">
        <v>3.0</v>
      </c>
      <c r="B950" s="2" t="s">
        <v>2599</v>
      </c>
      <c r="C950" s="2" t="s">
        <v>2600</v>
      </c>
      <c r="D950" s="2" t="s">
        <v>107</v>
      </c>
      <c r="E950" s="2" t="s">
        <v>21</v>
      </c>
      <c r="F950" s="2" t="s">
        <v>15</v>
      </c>
      <c r="G950" s="2" t="s">
        <v>2601</v>
      </c>
      <c r="H950" s="2" t="s">
        <v>860</v>
      </c>
      <c r="I950" s="2" t="str">
        <f>IFERROR(__xludf.DUMMYFUNCTION("GOOGLETRANSLATE(C950,""fr"",""en"")"),"Well received by Salima good responsiveness and efficient thank you all")</f>
        <v>Well received by Salima good responsiveness and efficient thank you all</v>
      </c>
    </row>
    <row r="951" ht="15.75" customHeight="1">
      <c r="A951" s="2">
        <v>5.0</v>
      </c>
      <c r="B951" s="2" t="s">
        <v>2602</v>
      </c>
      <c r="C951" s="2" t="s">
        <v>2603</v>
      </c>
      <c r="D951" s="2" t="s">
        <v>67</v>
      </c>
      <c r="E951" s="2" t="s">
        <v>68</v>
      </c>
      <c r="F951" s="2" t="s">
        <v>15</v>
      </c>
      <c r="G951" s="2" t="s">
        <v>280</v>
      </c>
      <c r="H951" s="2" t="s">
        <v>134</v>
      </c>
      <c r="I951" s="2" t="str">
        <f>IFERROR(__xludf.DUMMYFUNCTION("GOOGLETRANSLATE(C951,""fr"",""en"")"),"Only forced to put an opinion does not suit me.
I just came to take out insurance.
Thank you for reducing your character also.")</f>
        <v>Only forced to put an opinion does not suit me.
I just came to take out insurance.
Thank you for reducing your character also.</v>
      </c>
    </row>
    <row r="952" ht="15.75" customHeight="1">
      <c r="A952" s="2">
        <v>1.0</v>
      </c>
      <c r="B952" s="2" t="s">
        <v>2604</v>
      </c>
      <c r="C952" s="2" t="s">
        <v>2605</v>
      </c>
      <c r="D952" s="2" t="s">
        <v>160</v>
      </c>
      <c r="E952" s="2" t="s">
        <v>21</v>
      </c>
      <c r="F952" s="2" t="s">
        <v>15</v>
      </c>
      <c r="G952" s="2" t="s">
        <v>2606</v>
      </c>
      <c r="H952" s="2" t="s">
        <v>310</v>
      </c>
      <c r="I952" s="2" t="str">
        <f>IFERROR(__xludf.DUMMYFUNCTION("GOOGLETRANSLATE(C952,""fr"",""en"")"),"I am really very unhappy with my new Cegema mutual mutual which is unreachable live, which presents an obsolete and impractical online adherent space (you cannot send proof if not by mail or by broker interposed), and whose paid third party card (Carte bl"&amp;"anche) is refused by many providers (especially opticians). For the first time in my life, I do not know if I will be reimbursed for my ophthalmologist, for example. I am really very disappointed and I would like to know if there is a recourse for this ki"&amp;"nd of case.")</f>
        <v>I am really very unhappy with my new Cegema mutual mutual which is unreachable live, which presents an obsolete and impractical online adherent space (you cannot send proof if not by mail or by broker interposed), and whose paid third party card (Carte blanche) is refused by many providers (especially opticians). For the first time in my life, I do not know if I will be reimbursed for my ophthalmologist, for example. I am really very disappointed and I would like to know if there is a recourse for this kind of case.</v>
      </c>
    </row>
    <row r="953" ht="15.75" customHeight="1">
      <c r="A953" s="2">
        <v>2.0</v>
      </c>
      <c r="B953" s="2" t="s">
        <v>2607</v>
      </c>
      <c r="C953" s="2" t="s">
        <v>2608</v>
      </c>
      <c r="D953" s="2" t="s">
        <v>37</v>
      </c>
      <c r="E953" s="2" t="s">
        <v>27</v>
      </c>
      <c r="F953" s="2" t="s">
        <v>15</v>
      </c>
      <c r="G953" s="2" t="s">
        <v>1456</v>
      </c>
      <c r="H953" s="2" t="s">
        <v>112</v>
      </c>
      <c r="I953" s="2" t="str">
        <f>IFERROR(__xludf.DUMMYFUNCTION("GOOGLETRANSLATE(C953,""fr"",""en"")"),"The first year nice price, on the other hand the 2nd years is no longer the same strong increase, therefore! I will solicit other insurer and make the competition work.")</f>
        <v>The first year nice price, on the other hand the 2nd years is no longer the same strong increase, therefore! I will solicit other insurer and make the competition work.</v>
      </c>
    </row>
    <row r="954" ht="15.75" customHeight="1">
      <c r="A954" s="2">
        <v>1.0</v>
      </c>
      <c r="B954" s="2" t="s">
        <v>2609</v>
      </c>
      <c r="C954" s="2" t="s">
        <v>2610</v>
      </c>
      <c r="D954" s="2" t="s">
        <v>490</v>
      </c>
      <c r="E954" s="2" t="s">
        <v>43</v>
      </c>
      <c r="F954" s="2" t="s">
        <v>15</v>
      </c>
      <c r="G954" s="2" t="s">
        <v>502</v>
      </c>
      <c r="H954" s="2" t="s">
        <v>503</v>
      </c>
      <c r="I954" s="2" t="str">
        <f>IFERROR(__xludf.DUMMYFUNCTION("GOOGLETRANSLATE(C954,""fr"",""en"")"),"This insurer systematically tries the customers he want to keep to know those who declare any claim, including if you have 2 claims (regardless of gravity) or more per year you will receive your termination letter in November.
This insurer whose premiums"&amp;" are still high seeks by spending millions in advertising each year to find the rare bird (pigeons named company in insurer)
Insurer to avoid.")</f>
        <v>This insurer systematically tries the customers he want to keep to know those who declare any claim, including if you have 2 claims (regardless of gravity) or more per year you will receive your termination letter in November.
This insurer whose premiums are still high seeks by spending millions in advertising each year to find the rare bird (pigeons named company in insurer)
Insurer to avoid.</v>
      </c>
    </row>
    <row r="955" ht="15.75" customHeight="1">
      <c r="A955" s="2">
        <v>4.0</v>
      </c>
      <c r="B955" s="2" t="s">
        <v>2611</v>
      </c>
      <c r="C955" s="2" t="s">
        <v>2612</v>
      </c>
      <c r="D955" s="2" t="s">
        <v>26</v>
      </c>
      <c r="E955" s="2" t="s">
        <v>27</v>
      </c>
      <c r="F955" s="2" t="s">
        <v>15</v>
      </c>
      <c r="G955" s="2" t="s">
        <v>2613</v>
      </c>
      <c r="H955" s="2" t="s">
        <v>141</v>
      </c>
      <c r="I955" s="2" t="str">
        <f>IFERROR(__xludf.DUMMYFUNCTION("GOOGLETRANSLATE(C955,""fr"",""en"")"),"I am satisfied with the communication and the listening of the advisers who took care of me. For my first minutes at home, I am very happy.")</f>
        <v>I am satisfied with the communication and the listening of the advisers who took care of me. For my first minutes at home, I am very happy.</v>
      </c>
    </row>
    <row r="956" ht="15.75" customHeight="1">
      <c r="A956" s="2">
        <v>2.0</v>
      </c>
      <c r="B956" s="2" t="s">
        <v>2614</v>
      </c>
      <c r="C956" s="2" t="s">
        <v>2615</v>
      </c>
      <c r="D956" s="2" t="s">
        <v>37</v>
      </c>
      <c r="E956" s="2" t="s">
        <v>27</v>
      </c>
      <c r="F956" s="2" t="s">
        <v>15</v>
      </c>
      <c r="G956" s="2" t="s">
        <v>2616</v>
      </c>
      <c r="H956" s="2" t="s">
        <v>503</v>
      </c>
      <c r="I956" s="2" t="str">
        <f>IFERROR(__xludf.DUMMYFUNCTION("GOOGLETRANSLATE(C956,""fr"",""en"")"),"Health problem, not the back to school in time ... I have always paid, incomprehension I find myself having to pay a year without being insured. To flee")</f>
        <v>Health problem, not the back to school in time ... I have always paid, incomprehension I find myself having to pay a year without being insured. To flee</v>
      </c>
    </row>
    <row r="957" ht="15.75" customHeight="1">
      <c r="A957" s="2">
        <v>1.0</v>
      </c>
      <c r="B957" s="2" t="s">
        <v>2617</v>
      </c>
      <c r="C957" s="2" t="s">
        <v>2618</v>
      </c>
      <c r="D957" s="2" t="s">
        <v>13</v>
      </c>
      <c r="E957" s="2" t="s">
        <v>14</v>
      </c>
      <c r="F957" s="2" t="s">
        <v>15</v>
      </c>
      <c r="G957" s="2" t="s">
        <v>2619</v>
      </c>
      <c r="H957" s="2" t="s">
        <v>236</v>
      </c>
      <c r="I957" s="2" t="str">
        <f>IFERROR(__xludf.DUMMYFUNCTION("GOOGLETRANSLATE(C957,""fr"",""en"")"),"Hello, I would first like an opinion and know if I am in my law? Let me explain: I subscribed a personal loan in December 2014 and a real estate loan in 2003 with the same bank and the same insurance 100% with Cardif. In 2013 Operation hernia disc, after "&amp;"6 months of stopping I resume My work is no problem stopping work for no other problem. In December 2015 I made my personal loan. September 2016 I have a work accident with Ernie Dischole recurrence I was operated on in January 2017. The problems begin .."&amp;"..
The real estate loan is supported by cardif, the personal loan no.
Reason: You have not declared your advice on the day of the personal loan your first operation.
Except that the advisor to subscribe to the personal loan, simply asks me if I am curr"&amp;"ently on my stop if I have suffered more than 30 consecutive days or not of sick leave or accident in the last 12 months. Document being proof.
On the Cardif contract n ° 4216 and 462 I site:
If the insured has resumed work for more than 60 days without"&amp;" medical consultation, without treatment and without hospitalization for these memes causes, relapse is considered a new disaster independent of the first.
I had them on the phone, they confirmed the refusal tell me that he could not do kidnapping, that "&amp;"I had to wait for the mail to dispute
I am looking for a lawyer or an association for a procedural process, contest and recover what is due to me, even if I have to court to assert my rights if I am in my law, thank you in advance I count on your skills "&amp;"to help me.")</f>
        <v>Hello, I would first like an opinion and know if I am in my law? Let me explain: I subscribed a personal loan in December 2014 and a real estate loan in 2003 with the same bank and the same insurance 100% with Cardif. In 2013 Operation hernia disc, after 6 months of stopping I resume My work is no problem stopping work for no other problem. In December 2015 I made my personal loan. September 2016 I have a work accident with Ernie Dischole recurrence I was operated on in January 2017. The problems begin ....
The real estate loan is supported by cardif, the personal loan no.
Reason: You have not declared your advice on the day of the personal loan your first operation.
Except that the advisor to subscribe to the personal loan, simply asks me if I am currently on my stop if I have suffered more than 30 consecutive days or not of sick leave or accident in the last 12 months. Document being proof.
On the Cardif contract n ° 4216 and 462 I site:
If the insured has resumed work for more than 60 days without medical consultation, without treatment and without hospitalization for these memes causes, relapse is considered a new disaster independent of the first.
I had them on the phone, they confirmed the refusal tell me that he could not do kidnapping, that I had to wait for the mail to dispute
I am looking for a lawyer or an association for a procedural process, contest and recover what is due to me, even if I have to court to assert my rights if I am in my law, thank you in advance I count on your skills to help me.</v>
      </c>
    </row>
    <row r="958" ht="15.75" customHeight="1">
      <c r="A958" s="2">
        <v>4.0</v>
      </c>
      <c r="B958" s="2" t="s">
        <v>2620</v>
      </c>
      <c r="C958" s="2" t="s">
        <v>2621</v>
      </c>
      <c r="D958" s="2" t="s">
        <v>300</v>
      </c>
      <c r="E958" s="2" t="s">
        <v>27</v>
      </c>
      <c r="F958" s="2" t="s">
        <v>15</v>
      </c>
      <c r="G958" s="2" t="s">
        <v>789</v>
      </c>
      <c r="H958" s="2" t="s">
        <v>62</v>
      </c>
      <c r="I958" s="2" t="str">
        <f>IFERROR(__xludf.DUMMYFUNCTION("GOOGLETRANSLATE(C958,""fr"",""en"")"),"The GMF is in the average price, the service is correct, however, telephone reception can be very long.
I have always been in GMF and does not want to change.")</f>
        <v>The GMF is in the average price, the service is correct, however, telephone reception can be very long.
I have always been in GMF and does not want to change.</v>
      </c>
    </row>
    <row r="959" ht="15.75" customHeight="1">
      <c r="A959" s="2">
        <v>1.0</v>
      </c>
      <c r="B959" s="2" t="s">
        <v>2622</v>
      </c>
      <c r="C959" s="2" t="s">
        <v>2623</v>
      </c>
      <c r="D959" s="2" t="s">
        <v>217</v>
      </c>
      <c r="E959" s="2" t="s">
        <v>27</v>
      </c>
      <c r="F959" s="2" t="s">
        <v>15</v>
      </c>
      <c r="G959" s="2" t="s">
        <v>2159</v>
      </c>
      <c r="H959" s="2" t="s">
        <v>88</v>
      </c>
      <c r="I959" s="2" t="str">
        <f>IFERROR(__xludf.DUMMYFUNCTION("GOOGLETRANSLATE(C959,""fr"",""en"")"),"My VH broke down during my vacation (seven.2021)
I called on the assistance of the Macif
I was very disappointed because I was deprived of VH for 4 days and I did not benefit from any service.
Neither the care of costs the return to my vacation locatio"&amp;"n (approximately 30 km) nor the recovery of my VH once repaired.
I was very disappointed with the Macif
")</f>
        <v>My VH broke down during my vacation (seven.2021)
I called on the assistance of the Macif
I was very disappointed because I was deprived of VH for 4 days and I did not benefit from any service.
Neither the care of costs the return to my vacation location (approximately 30 km) nor the recovery of my VH once repaired.
I was very disappointed with the Macif
</v>
      </c>
    </row>
    <row r="960" ht="15.75" customHeight="1">
      <c r="A960" s="2">
        <v>1.0</v>
      </c>
      <c r="B960" s="2" t="s">
        <v>2624</v>
      </c>
      <c r="C960" s="2" t="s">
        <v>2625</v>
      </c>
      <c r="D960" s="2" t="s">
        <v>490</v>
      </c>
      <c r="E960" s="2" t="s">
        <v>27</v>
      </c>
      <c r="F960" s="2" t="s">
        <v>15</v>
      </c>
      <c r="G960" s="2" t="s">
        <v>710</v>
      </c>
      <c r="H960" s="2" t="s">
        <v>503</v>
      </c>
      <c r="I960" s="2" t="str">
        <f>IFERROR(__xludf.DUMMYFUNCTION("GOOGLETRANSLATE(C960,""fr"",""en"")"),"Lamentable.
Matmut is ready to do anything so as not to reimburse, not to terminate, is not reliable and some simply unpleasant advisers. To flee")</f>
        <v>Lamentable.
Matmut is ready to do anything so as not to reimburse, not to terminate, is not reliable and some simply unpleasant advisers. To flee</v>
      </c>
    </row>
    <row r="961" ht="15.75" customHeight="1">
      <c r="A961" s="2">
        <v>5.0</v>
      </c>
      <c r="B961" s="2" t="s">
        <v>2626</v>
      </c>
      <c r="C961" s="2" t="s">
        <v>2627</v>
      </c>
      <c r="D961" s="2" t="s">
        <v>37</v>
      </c>
      <c r="E961" s="2" t="s">
        <v>27</v>
      </c>
      <c r="F961" s="2" t="s">
        <v>15</v>
      </c>
      <c r="G961" s="2" t="s">
        <v>2628</v>
      </c>
      <c r="H961" s="2" t="s">
        <v>228</v>
      </c>
      <c r="I961" s="2" t="str">
        <f>IFERROR(__xludf.DUMMYFUNCTION("GOOGLETRANSLATE(C961,""fr"",""en"")"),"I am satisfied with the service
Perfect price
Clarete speed
Quick response very easy useion of the site
very happy with this insurance which helps choices guarantees")</f>
        <v>I am satisfied with the service
Perfect price
Clarete speed
Quick response very easy useion of the site
very happy with this insurance which helps choices guarantees</v>
      </c>
    </row>
    <row r="962" ht="15.75" customHeight="1">
      <c r="A962" s="2">
        <v>1.0</v>
      </c>
      <c r="B962" s="2" t="s">
        <v>2629</v>
      </c>
      <c r="C962" s="2" t="s">
        <v>2630</v>
      </c>
      <c r="D962" s="2" t="s">
        <v>42</v>
      </c>
      <c r="E962" s="2" t="s">
        <v>27</v>
      </c>
      <c r="F962" s="2" t="s">
        <v>15</v>
      </c>
      <c r="G962" s="2" t="s">
        <v>2631</v>
      </c>
      <c r="H962" s="2" t="s">
        <v>698</v>
      </c>
      <c r="I962" s="2" t="str">
        <f>IFERROR(__xludf.DUMMYFUNCTION("GOOGLETRANSLATE(C962,""fr"",""en"")"),"Hello, on 13.12.2019, I exchanged with a Maif agent. The call took place at 12.53 and lasted about 4 minutes. I hope Maif, despite his silence, was able to access the recording. I asked the agent if I could declare the claim that took place on 12.12.2019 "&amp;"if I joined insurance on 13.12.2019. Instead of answering the question directly (I suppose, the answer was no), the agent laughed a lot and told me that I knew the answer to my question by the sentence: Madam, you know the answer. I assured that no, I did"&amp;" not know it and for this reason I was in relation to him, that he was a representative of the service provider and that I expected a simple answer yes or no instead of Laughs and vague sentences like: Madam, you know the answer. The agent informed me tha"&amp;"t he was a human being (I did not doubt it) and on that I decided to end this unsuccessful exchange. I have the right to ask my questions.")</f>
        <v>Hello, on 13.12.2019, I exchanged with a Maif agent. The call took place at 12.53 and lasted about 4 minutes. I hope Maif, despite his silence, was able to access the recording. I asked the agent if I could declare the claim that took place on 12.12.2019 if I joined insurance on 13.12.2019. Instead of answering the question directly (I suppose, the answer was no), the agent laughed a lot and told me that I knew the answer to my question by the sentence: Madam, you know the answer. I assured that no, I did not know it and for this reason I was in relation to him, that he was a representative of the service provider and that I expected a simple answer yes or no instead of Laughs and vague sentences like: Madam, you know the answer. The agent informed me that he was a human being (I did not doubt it) and on that I decided to end this unsuccessful exchange. I have the right to ask my questions.</v>
      </c>
    </row>
    <row r="963" ht="15.75" customHeight="1">
      <c r="A963" s="2">
        <v>4.0</v>
      </c>
      <c r="B963" s="2" t="s">
        <v>2632</v>
      </c>
      <c r="C963" s="2" t="s">
        <v>2633</v>
      </c>
      <c r="D963" s="2" t="s">
        <v>37</v>
      </c>
      <c r="E963" s="2" t="s">
        <v>27</v>
      </c>
      <c r="F963" s="2" t="s">
        <v>15</v>
      </c>
      <c r="G963" s="2" t="s">
        <v>834</v>
      </c>
      <c r="H963" s="2" t="s">
        <v>112</v>
      </c>
      <c r="I963" s="2" t="str">
        <f>IFERROR(__xludf.DUMMYFUNCTION("GOOGLETRANSLATE(C963,""fr"",""en"")"),"overall satisfied
I had a mechanical problem abroad, your care was satisfactory, quick towing of the car to the appropriate garage
")</f>
        <v>overall satisfied
I had a mechanical problem abroad, your care was satisfactory, quick towing of the car to the appropriate garage
</v>
      </c>
    </row>
    <row r="964" ht="15.75" customHeight="1">
      <c r="A964" s="2">
        <v>1.0</v>
      </c>
      <c r="B964" s="2" t="s">
        <v>2634</v>
      </c>
      <c r="C964" s="2" t="s">
        <v>2635</v>
      </c>
      <c r="D964" s="2" t="s">
        <v>217</v>
      </c>
      <c r="E964" s="2" t="s">
        <v>43</v>
      </c>
      <c r="F964" s="2" t="s">
        <v>15</v>
      </c>
      <c r="G964" s="2" t="s">
        <v>2636</v>
      </c>
      <c r="H964" s="2" t="s">
        <v>1607</v>
      </c>
      <c r="I964" s="2" t="str">
        <f>IFERROR(__xludf.DUMMYFUNCTION("GOOGLETRANSLATE(C964,""fr"",""en"")"),"A fire destroyed our house at the end of January 2016
In June 2016 we informed them of the expert practices of the expert with certain companies financially us as an assured and societary.
One of the craftsmen issued a written testimony in this sense in"&amp;"tended to be brought back to court (Cerfa) no answer on this subject since if not just the comment of one of their inspectors believing that they were lies.
Immediate compensation largely undu he was valued; paid 6 months less one day after the claim, fo"&amp;"rced to relaunch several times to obtain the reimbursement
First deposit invoice for the reconstruction refused under the pretext that the compensation had already been paid when it is false and their services say that it must be an error but do not retu"&amp;"rn the deposit invoices to us
On the other hand, I have maintained myself since the beginning of the year with certain craftsmen who told me to be obliged to overfect by certain experts emergency work and to undergo reconstruction work.
Certain expertis"&amp;"e firms asking them to donate one of their subsidiaries as a business provider part of the overcharging.
Some of you ex -experts or others know more about these actions? Are they exact? The Macif and the other insurers are informed? Does the State let th"&amp;"ese practices take place?
I forgot we received a letter in which the Macif indicated to us that to preserve the contributions of the members and as we suffered a disaster it terminated us.
This is more house, no money to rebuild and more insurance to co"&amp;"ver the ruins that the State forces us to ensure but that no other insurance wants to ensure in this state.
There is only one solution left ..........
")</f>
        <v>A fire destroyed our house at the end of January 2016
In June 2016 we informed them of the expert practices of the expert with certain companies financially us as an assured and societary.
One of the craftsmen issued a written testimony in this sense intended to be brought back to court (Cerfa) no answer on this subject since if not just the comment of one of their inspectors believing that they were lies.
Immediate compensation largely undu he was valued; paid 6 months less one day after the claim, forced to relaunch several times to obtain the reimbursement
First deposit invoice for the reconstruction refused under the pretext that the compensation had already been paid when it is false and their services say that it must be an error but do not return the deposit invoices to us
On the other hand, I have maintained myself since the beginning of the year with certain craftsmen who told me to be obliged to overfect by certain experts emergency work and to undergo reconstruction work.
Certain expertise firms asking them to donate one of their subsidiaries as a business provider part of the overcharging.
Some of you ex -experts or others know more about these actions? Are they exact? The Macif and the other insurers are informed? Does the State let these practices take place?
I forgot we received a letter in which the Macif indicated to us that to preserve the contributions of the members and as we suffered a disaster it terminated us.
This is more house, no money to rebuild and more insurance to cover the ruins that the State forces us to ensure but that no other insurance wants to ensure in this state.
There is only one solution left ..........
</v>
      </c>
    </row>
    <row r="965" ht="15.75" customHeight="1">
      <c r="A965" s="2">
        <v>5.0</v>
      </c>
      <c r="B965" s="2" t="s">
        <v>2637</v>
      </c>
      <c r="C965" s="2" t="s">
        <v>2638</v>
      </c>
      <c r="D965" s="2" t="s">
        <v>37</v>
      </c>
      <c r="E965" s="2" t="s">
        <v>27</v>
      </c>
      <c r="F965" s="2" t="s">
        <v>15</v>
      </c>
      <c r="G965" s="2" t="s">
        <v>701</v>
      </c>
      <c r="H965" s="2" t="s">
        <v>88</v>
      </c>
      <c r="I965" s="2" t="str">
        <f>IFERROR(__xludf.DUMMYFUNCTION("GOOGLETRANSLATE(C965,""fr"",""en"")"),"Simple and practical and attractive price
Site ease of use
Well explained and fast
Several well -detailed options and various possible choices in the sections")</f>
        <v>Simple and practical and attractive price
Site ease of use
Well explained and fast
Several well -detailed options and various possible choices in the sections</v>
      </c>
    </row>
    <row r="966" ht="15.75" customHeight="1">
      <c r="A966" s="2">
        <v>1.0</v>
      </c>
      <c r="B966" s="2" t="s">
        <v>2639</v>
      </c>
      <c r="C966" s="2" t="s">
        <v>2640</v>
      </c>
      <c r="D966" s="2" t="s">
        <v>99</v>
      </c>
      <c r="E966" s="2" t="s">
        <v>27</v>
      </c>
      <c r="F966" s="2" t="s">
        <v>15</v>
      </c>
      <c r="G966" s="2" t="s">
        <v>2641</v>
      </c>
      <c r="H966" s="2" t="s">
        <v>23</v>
      </c>
      <c r="I966" s="2" t="str">
        <f>IFERROR(__xludf.DUMMYFUNCTION("GOOGLETRANSLATE(C966,""fr"",""en"")"),"Loyalty and although contributing for a contract for all risks for several years, the only time I needed them for a minor bodywork problem, they refused to take care of my disaster questioning my good faith. Multiplicity of interlocutors and some really e"&amp;"xecrable. I was assured that a manager would remind me of. It never happened. My agent told me to see with the headquarters and the seat told me to see with my agent who told me to see an expert who in the end proposed a counter expertise at my expense. M"&amp;"y contributions increased every year regularly for no valid reason. I have never been listened to well or recommended well according to my needs. One day I made an appointment to indicate a modification of the situation, no one has never taken it into acc"&amp;"ount, on the contrary the manager tried to sell me financial products. I have reformulated the request several times without any follow -up on their part. So I will not recommend any agency or this insurance brand to anyone. € 82 per month now for a 10 -y"&amp;"ear -old car for a zero service.
")</f>
        <v>Loyalty and although contributing for a contract for all risks for several years, the only time I needed them for a minor bodywork problem, they refused to take care of my disaster questioning my good faith. Multiplicity of interlocutors and some really execrable. I was assured that a manager would remind me of. It never happened. My agent told me to see with the headquarters and the seat told me to see with my agent who told me to see an expert who in the end proposed a counter expertise at my expense. My contributions increased every year regularly for no valid reason. I have never been listened to well or recommended well according to my needs. One day I made an appointment to indicate a modification of the situation, no one has never taken it into account, on the contrary the manager tried to sell me financial products. I have reformulated the request several times without any follow -up on their part. So I will not recommend any agency or this insurance brand to anyone. € 82 per month now for a 10 -year -old car for a zero service.
</v>
      </c>
    </row>
    <row r="967" ht="15.75" customHeight="1">
      <c r="A967" s="2">
        <v>1.0</v>
      </c>
      <c r="B967" s="2" t="s">
        <v>2642</v>
      </c>
      <c r="C967" s="2" t="s">
        <v>2643</v>
      </c>
      <c r="D967" s="2" t="s">
        <v>42</v>
      </c>
      <c r="E967" s="2" t="s">
        <v>43</v>
      </c>
      <c r="F967" s="2" t="s">
        <v>15</v>
      </c>
      <c r="G967" s="2" t="s">
        <v>124</v>
      </c>
      <c r="H967" s="2" t="s">
        <v>88</v>
      </c>
      <c r="I967" s="2" t="str">
        <f>IFERROR(__xludf.DUMMYFUNCTION("GOOGLETRANSLATE(C967,""fr"",""en"")"),"Unfortunately, we join the negative opinions concerning the Maif insurance company. Indeed, we called, exactly two years ago, to our home insurance following cracks linked to drought, our town having obtained ""natural disaster"" recognition.
MAIF then m"&amp;"andated an expert who noted a number of problems attributable to drought. In order to envisage the types of rehabilitation work necessary, the expert requested a geotechnical study, requests validated by the MAIF which recognized the causes of the damage."&amp;"
Following the geotechnical study, the firm in charge of the file sent an information note to the MAIF detailing the list of work to be carried out:
• No resin infiltration due to the nature of the basement,
• Additional investigations,
• structural r"&amp;"epairs,
•	Facelift,
• Resumption of embellishments
Rehabilitation works estimated at 46,995 euros.
The firm, in charge of the file, then asked the visit of the company Soltechnic to establish a quote with precision, company, which during the visit, en"&amp;"visaged an extension of the work in order to guarantee the ten -year guarantee, and recommended to do nothing as interior work.
The file seemed to move forward, slowly, but advance favorably!
However, we were surprised to have the visit of a new expert,"&amp;" mandated by Maif, but of another firm, in order to carry out new expertise.
Three months later, we received a letter from the MAIF indicating that the new expertise report specified that the disorders noted were not attributable to drought and therefore"&amp;" that the guarantees of the contract cannot apply.
A surprising turnaround, two years of work, studies, swept away by the advice of a new expert in a gale and blind to the neighboring pavilions in the same state!
Can we speak of an expertise in complace"&amp;"ncy?
To each their opinion, we have ours and which is not at all favorable to MAIF!
We have the feeling that this is a staging whose actors (the members) are taken for fools.
")</f>
        <v>Unfortunately, we join the negative opinions concerning the Maif insurance company. Indeed, we called, exactly two years ago, to our home insurance following cracks linked to drought, our town having obtained "natural disaster" recognition.
MAIF then mandated an expert who noted a number of problems attributable to drought. In order to envisage the types of rehabilitation work necessary, the expert requested a geotechnical study, requests validated by the MAIF which recognized the causes of the damage.
Following the geotechnical study, the firm in charge of the file sent an information note to the MAIF detailing the list of work to be carried out:
• No resin infiltration due to the nature of the basement,
• Additional investigations,
• structural repairs,
•	Facelift,
• Resumption of embellishments
Rehabilitation works estimated at 46,995 euros.
The firm, in charge of the file, then asked the visit of the company Soltechnic to establish a quote with precision, company, which during the visit, envisaged an extension of the work in order to guarantee the ten -year guarantee, and recommended to do nothing as interior work.
The file seemed to move forward, slowly, but advance favorably!
However, we were surprised to have the visit of a new expert, mandated by Maif, but of another firm, in order to carry out new expertise.
Three months later, we received a letter from the MAIF indicating that the new expertise report specified that the disorders noted were not attributable to drought and therefore that the guarantees of the contract cannot apply.
A surprising turnaround, two years of work, studies, swept away by the advice of a new expert in a gale and blind to the neighboring pavilions in the same state!
Can we speak of an expertise in complacency?
To each their opinion, we have ours and which is not at all favorable to MAIF!
We have the feeling that this is a staging whose actors (the members) are taken for fools.
</v>
      </c>
    </row>
    <row r="968" ht="15.75" customHeight="1">
      <c r="A968" s="2">
        <v>3.0</v>
      </c>
      <c r="B968" s="2" t="s">
        <v>2644</v>
      </c>
      <c r="C968" s="2" t="s">
        <v>2645</v>
      </c>
      <c r="D968" s="2" t="s">
        <v>37</v>
      </c>
      <c r="E968" s="2" t="s">
        <v>27</v>
      </c>
      <c r="F968" s="2" t="s">
        <v>15</v>
      </c>
      <c r="G968" s="2" t="s">
        <v>1440</v>
      </c>
      <c r="H968" s="2" t="s">
        <v>228</v>
      </c>
      <c r="I968" s="2" t="str">
        <f>IFERROR(__xludf.DUMMYFUNCTION("GOOGLETRANSLATE(C968,""fr"",""en"")"),"Meli Mélo between 1 contract terminated for more than 1 year, and the new contract. Although having never suffered a disaster, I fear the worst for the future.")</f>
        <v>Meli Mélo between 1 contract terminated for more than 1 year, and the new contract. Although having never suffered a disaster, I fear the worst for the future.</v>
      </c>
    </row>
    <row r="969" ht="15.75" customHeight="1">
      <c r="A969" s="2">
        <v>2.0</v>
      </c>
      <c r="B969" s="2" t="s">
        <v>2646</v>
      </c>
      <c r="C969" s="2" t="s">
        <v>2647</v>
      </c>
      <c r="D969" s="2" t="s">
        <v>254</v>
      </c>
      <c r="E969" s="2" t="s">
        <v>168</v>
      </c>
      <c r="F969" s="2" t="s">
        <v>15</v>
      </c>
      <c r="G969" s="2" t="s">
        <v>2648</v>
      </c>
      <c r="H969" s="2" t="s">
        <v>634</v>
      </c>
      <c r="I969" s="2" t="str">
        <f>IFERROR(__xludf.DUMMYFUNCTION("GOOGLETRANSLATE(C969,""fr"",""en"")"),"Very bad insurance. To avoid absolutely. They will harass you on the phone from their appeal plants and you will have all the difficulties of the world to be reimbursed.")</f>
        <v>Very bad insurance. To avoid absolutely. They will harass you on the phone from their appeal plants and you will have all the difficulties of the world to be reimbursed.</v>
      </c>
    </row>
    <row r="970" ht="15.75" customHeight="1">
      <c r="A970" s="2">
        <v>1.0</v>
      </c>
      <c r="B970" s="2" t="s">
        <v>2649</v>
      </c>
      <c r="C970" s="2" t="s">
        <v>2650</v>
      </c>
      <c r="D970" s="2" t="s">
        <v>67</v>
      </c>
      <c r="E970" s="2" t="s">
        <v>68</v>
      </c>
      <c r="F970" s="2" t="s">
        <v>15</v>
      </c>
      <c r="G970" s="2" t="s">
        <v>115</v>
      </c>
      <c r="H970" s="2" t="s">
        <v>116</v>
      </c>
      <c r="I970" s="2" t="str">
        <f>IFERROR(__xludf.DUMMYFUNCTION("GOOGLETRANSLATE(C970,""fr"",""en"")"),"Avoid without thinking. They load more than normal without asking you anything directly from your account and you can do nothing. Their agency did not inform us that we have to pay a commission on the approved amount. And they took a huge amount without s"&amp;"aying anything to us. At the end we paid the same amount as the price of the scooter. Never yet. It seems cheaper than the others but in the end we paid more than everyone. After we changed the scooter with a 300cc from 2010 Kymco they took 80 euros per m"&amp;"onth again without informing us before. It's 960 euros per year. Avoid avoid")</f>
        <v>Avoid without thinking. They load more than normal without asking you anything directly from your account and you can do nothing. Their agency did not inform us that we have to pay a commission on the approved amount. And they took a huge amount without saying anything to us. At the end we paid the same amount as the price of the scooter. Never yet. It seems cheaper than the others but in the end we paid more than everyone. After we changed the scooter with a 300cc from 2010 Kymco they took 80 euros per month again without informing us before. It's 960 euros per year. Avoid avoid</v>
      </c>
    </row>
    <row r="971" ht="15.75" customHeight="1">
      <c r="A971" s="2">
        <v>1.0</v>
      </c>
      <c r="B971" s="2" t="s">
        <v>2651</v>
      </c>
      <c r="C971" s="2" t="s">
        <v>2652</v>
      </c>
      <c r="D971" s="2" t="s">
        <v>300</v>
      </c>
      <c r="E971" s="2" t="s">
        <v>27</v>
      </c>
      <c r="F971" s="2" t="s">
        <v>15</v>
      </c>
      <c r="G971" s="2" t="s">
        <v>2653</v>
      </c>
      <c r="H971" s="2" t="s">
        <v>80</v>
      </c>
      <c r="I971" s="2" t="str">
        <f>IFERROR(__xludf.DUMMYFUNCTION("GOOGLETRANSLATE(C971,""fr"",""en"")"),"Impossible to reach them by phone for 3 days to have an auto insurance quote, lamentable service")</f>
        <v>Impossible to reach them by phone for 3 days to have an auto insurance quote, lamentable service</v>
      </c>
    </row>
    <row r="972" ht="15.75" customHeight="1">
      <c r="A972" s="2">
        <v>1.0</v>
      </c>
      <c r="B972" s="2" t="s">
        <v>2654</v>
      </c>
      <c r="C972" s="2" t="s">
        <v>2655</v>
      </c>
      <c r="D972" s="2" t="s">
        <v>42</v>
      </c>
      <c r="E972" s="2" t="s">
        <v>27</v>
      </c>
      <c r="F972" s="2" t="s">
        <v>15</v>
      </c>
      <c r="G972" s="2" t="s">
        <v>2656</v>
      </c>
      <c r="H972" s="2" t="s">
        <v>634</v>
      </c>
      <c r="I972" s="2" t="str">
        <f>IFERROR(__xludf.DUMMYFUNCTION("GOOGLETRANSLATE(C972,""fr"",""en"")"),"I once again sent a recommendation to the MAIF (member 2710968 d), for termination on all my contracts (Chatel law) following the reception of the 2017 deadline, on my request for termination I ask them to send me an information statement for the period f"&amp;"rom 05/12/2014 to 05/12/2016, because of course I need proof for the new insurance of my vehicle, what deadline will they still need?")</f>
        <v>I once again sent a recommendation to the MAIF (member 2710968 d), for termination on all my contracts (Chatel law) following the reception of the 2017 deadline, on my request for termination I ask them to send me an information statement for the period from 05/12/2014 to 05/12/2016, because of course I need proof for the new insurance of my vehicle, what deadline will they still need?</v>
      </c>
    </row>
    <row r="973" ht="15.75" customHeight="1">
      <c r="A973" s="2">
        <v>4.0</v>
      </c>
      <c r="B973" s="2" t="s">
        <v>2657</v>
      </c>
      <c r="C973" s="2" t="s">
        <v>2658</v>
      </c>
      <c r="D973" s="2" t="s">
        <v>26</v>
      </c>
      <c r="E973" s="2" t="s">
        <v>27</v>
      </c>
      <c r="F973" s="2" t="s">
        <v>15</v>
      </c>
      <c r="G973" s="2" t="s">
        <v>681</v>
      </c>
      <c r="H973" s="2" t="s">
        <v>62</v>
      </c>
      <c r="I973" s="2" t="str">
        <f>IFERROR(__xludf.DUMMYFUNCTION("GOOGLETRANSLATE(C973,""fr"",""en"")"),"I am satisfied with the price it's simple and effective thank you for your answers and your responsiveness.
I recommend you to my friends. Cordially")</f>
        <v>I am satisfied with the price it's simple and effective thank you for your answers and your responsiveness.
I recommend you to my friends. Cordially</v>
      </c>
    </row>
    <row r="974" ht="15.75" customHeight="1">
      <c r="A974" s="2">
        <v>4.0</v>
      </c>
      <c r="B974" s="2" t="s">
        <v>2659</v>
      </c>
      <c r="C974" s="2" t="s">
        <v>2660</v>
      </c>
      <c r="D974" s="2" t="s">
        <v>37</v>
      </c>
      <c r="E974" s="2" t="s">
        <v>27</v>
      </c>
      <c r="F974" s="2" t="s">
        <v>15</v>
      </c>
      <c r="G974" s="2" t="s">
        <v>943</v>
      </c>
      <c r="H974" s="2" t="s">
        <v>29</v>
      </c>
      <c r="I974" s="2" t="str">
        <f>IFERROR(__xludf.DUMMYFUNCTION("GOOGLETRANSLATE(C974,""fr"",""en"")"),"I am satisfied with the service and the speed of subscription. I have been recommended your company and I am only happy with it, hoping of course not having to declare a claim")</f>
        <v>I am satisfied with the service and the speed of subscription. I have been recommended your company and I am only happy with it, hoping of course not having to declare a claim</v>
      </c>
    </row>
    <row r="975" ht="15.75" customHeight="1">
      <c r="A975" s="2">
        <v>2.0</v>
      </c>
      <c r="B975" s="2" t="s">
        <v>2661</v>
      </c>
      <c r="C975" s="2" t="s">
        <v>2662</v>
      </c>
      <c r="D975" s="2" t="s">
        <v>42</v>
      </c>
      <c r="E975" s="2" t="s">
        <v>43</v>
      </c>
      <c r="F975" s="2" t="s">
        <v>15</v>
      </c>
      <c r="G975" s="2" t="s">
        <v>2663</v>
      </c>
      <c r="H975" s="2" t="s">
        <v>285</v>
      </c>
      <c r="I975" s="2" t="str">
        <f>IFERROR(__xludf.DUMMYFUNCTION("GOOGLETRANSLATE(C975,""fr"",""en"")"),"A simply shameful service, since Maif does not hesitate to make major insurance promises when selling their contracts, but forget to give the terms. And when a disaster arrives, they suddenly remember it. So it's always the same story, we make a cross on "&amp;"the compensation that it seemed legitimate to obtain.
Personally, they gave me a hell of a blow: for a roller flight whose disaster estimates at almost 700 euros, the MAIF estimated my losses at 238 euros, after having announced that my franchise was e"&amp;"stimated at ... 250 euros! Closing file, without compensation. Strong no?")</f>
        <v>A simply shameful service, since Maif does not hesitate to make major insurance promises when selling their contracts, but forget to give the terms. And when a disaster arrives, they suddenly remember it. So it's always the same story, we make a cross on the compensation that it seemed legitimate to obtain.
Personally, they gave me a hell of a blow: for a roller flight whose disaster estimates at almost 700 euros, the MAIF estimated my losses at 238 euros, after having announced that my franchise was estimated at ... 250 euros! Closing file, without compensation. Strong no?</v>
      </c>
    </row>
    <row r="976" ht="15.75" customHeight="1">
      <c r="A976" s="2">
        <v>2.0</v>
      </c>
      <c r="B976" s="2" t="s">
        <v>2664</v>
      </c>
      <c r="C976" s="2" t="s">
        <v>2665</v>
      </c>
      <c r="D976" s="2" t="s">
        <v>26</v>
      </c>
      <c r="E976" s="2" t="s">
        <v>27</v>
      </c>
      <c r="F976" s="2" t="s">
        <v>15</v>
      </c>
      <c r="G976" s="2" t="s">
        <v>2666</v>
      </c>
      <c r="H976" s="2" t="s">
        <v>145</v>
      </c>
      <c r="I976" s="2" t="str">
        <f>IFERROR(__xludf.DUMMYFUNCTION("GOOGLETRANSLATE(C976,""fr"",""en"")"),"Paid in one time as soon as membership and did not have the contract to the end.
3 provisional certificates and then nothing.
And suddenly the insurer wakes up during the renewal to punctuate the cost of the new year.")</f>
        <v>Paid in one time as soon as membership and did not have the contract to the end.
3 provisional certificates and then nothing.
And suddenly the insurer wakes up during the renewal to punctuate the cost of the new year.</v>
      </c>
    </row>
    <row r="977" ht="15.75" customHeight="1">
      <c r="A977" s="2">
        <v>1.0</v>
      </c>
      <c r="B977" s="2" t="s">
        <v>2667</v>
      </c>
      <c r="C977" s="2" t="s">
        <v>2668</v>
      </c>
      <c r="D977" s="2" t="s">
        <v>152</v>
      </c>
      <c r="E977" s="2" t="s">
        <v>68</v>
      </c>
      <c r="F977" s="2" t="s">
        <v>15</v>
      </c>
      <c r="G977" s="2" t="s">
        <v>2669</v>
      </c>
      <c r="H977" s="2" t="s">
        <v>121</v>
      </c>
      <c r="I977" s="2" t="str">
        <f>IFERROR(__xludf.DUMMYFUNCTION("GOOGLETRANSLATE(C977,""fr"",""en"")"),"Auto driver with a maximum bonus, I address the mutual of bikers for scooter insurance with pro journeys: no insurance possible because I do not have at least 1 year of motorcycle insurance! I ask or address myself for this problem which must arise freque"&amp;"ntly. No proposal from the mutual. Absence of intellectual curiosity or commercial sense disability?")</f>
        <v>Auto driver with a maximum bonus, I address the mutual of bikers for scooter insurance with pro journeys: no insurance possible because I do not have at least 1 year of motorcycle insurance! I ask or address myself for this problem which must arise frequently. No proposal from the mutual. Absence of intellectual curiosity or commercial sense disability?</v>
      </c>
    </row>
    <row r="978" ht="15.75" customHeight="1">
      <c r="A978" s="2">
        <v>1.0</v>
      </c>
      <c r="B978" s="2" t="s">
        <v>2670</v>
      </c>
      <c r="C978" s="2" t="s">
        <v>2671</v>
      </c>
      <c r="D978" s="2" t="s">
        <v>48</v>
      </c>
      <c r="E978" s="2" t="s">
        <v>21</v>
      </c>
      <c r="F978" s="2" t="s">
        <v>15</v>
      </c>
      <c r="G978" s="2" t="s">
        <v>600</v>
      </c>
      <c r="H978" s="2" t="s">
        <v>34</v>
      </c>
      <c r="I978" s="2" t="str">
        <f>IFERROR(__xludf.DUMMYFUNCTION("GOOGLETRANSLATE(C978,""fr"",""en"")"),"This mutual mutual mutual is not viable, nobody answers the phone and when you have someone it hangs up on you, more than 45 minutes on the phone, without having an answer to my request to benefit from the new senior mutual 0980980880, no one responds to "&amp;"email or letters
It is a lack of professionalism with regard to customers, who makes fun of it, the employees are on a telework and does not care about it, it's a shame")</f>
        <v>This mutual mutual mutual is not viable, nobody answers the phone and when you have someone it hangs up on you, more than 45 minutes on the phone, without having an answer to my request to benefit from the new senior mutual 0980980880, no one responds to email or letters
It is a lack of professionalism with regard to customers, who makes fun of it, the employees are on a telework and does not care about it, it's a shame</v>
      </c>
    </row>
    <row r="979" ht="15.75" customHeight="1">
      <c r="A979" s="2">
        <v>5.0</v>
      </c>
      <c r="B979" s="2" t="s">
        <v>2672</v>
      </c>
      <c r="C979" s="2" t="s">
        <v>2673</v>
      </c>
      <c r="D979" s="2" t="s">
        <v>37</v>
      </c>
      <c r="E979" s="2" t="s">
        <v>27</v>
      </c>
      <c r="F979" s="2" t="s">
        <v>15</v>
      </c>
      <c r="G979" s="2" t="s">
        <v>466</v>
      </c>
      <c r="H979" s="2" t="s">
        <v>23</v>
      </c>
      <c r="I979" s="2" t="str">
        <f>IFERROR(__xludf.DUMMYFUNCTION("GOOGLETRANSLATE(C979,""fr"",""en"")"),"I am satisfied with the proposed prices for the availability of interlocutors, the speed of the file according to the file and the sending of the necessary documents
")</f>
        <v>I am satisfied with the proposed prices for the availability of interlocutors, the speed of the file according to the file and the sending of the necessary documents
</v>
      </c>
    </row>
    <row r="980" ht="15.75" customHeight="1">
      <c r="A980" s="2">
        <v>4.0</v>
      </c>
      <c r="B980" s="2" t="s">
        <v>2674</v>
      </c>
      <c r="C980" s="2" t="s">
        <v>2675</v>
      </c>
      <c r="D980" s="2" t="s">
        <v>26</v>
      </c>
      <c r="E980" s="2" t="s">
        <v>27</v>
      </c>
      <c r="F980" s="2" t="s">
        <v>15</v>
      </c>
      <c r="G980" s="2" t="s">
        <v>773</v>
      </c>
      <c r="H980" s="2" t="s">
        <v>228</v>
      </c>
      <c r="I980" s="2" t="str">
        <f>IFERROR(__xludf.DUMMYFUNCTION("GOOGLETRANSLATE(C980,""fr"",""en"")"),"Satisfied overall, I just started, to see. Direct debit mandate to change. I would send you the Bon Rib and you will transfer the mandate to the new bank please. Thank you")</f>
        <v>Satisfied overall, I just started, to see. Direct debit mandate to change. I would send you the Bon Rib and you will transfer the mandate to the new bank please. Thank you</v>
      </c>
    </row>
    <row r="981" ht="15.75" customHeight="1">
      <c r="A981" s="2">
        <v>3.0</v>
      </c>
      <c r="B981" s="2" t="s">
        <v>2676</v>
      </c>
      <c r="C981" s="2" t="s">
        <v>2677</v>
      </c>
      <c r="D981" s="2" t="s">
        <v>37</v>
      </c>
      <c r="E981" s="2" t="s">
        <v>27</v>
      </c>
      <c r="F981" s="2" t="s">
        <v>15</v>
      </c>
      <c r="G981" s="2" t="s">
        <v>2569</v>
      </c>
      <c r="H981" s="2" t="s">
        <v>88</v>
      </c>
      <c r="I981" s="2" t="str">
        <f>IFERROR(__xludf.DUMMYFUNCTION("GOOGLETRANSLATE(C981,""fr"",""en"")"),"The price is a bit expensive for a car like that
Otherwise the site is fast I am already a parking home insurance I did not understand the concept of the conecte case
")</f>
        <v>The price is a bit expensive for a car like that
Otherwise the site is fast I am already a parking home insurance I did not understand the concept of the conecte case
</v>
      </c>
    </row>
    <row r="982" ht="15.75" customHeight="1">
      <c r="A982" s="2">
        <v>1.0</v>
      </c>
      <c r="B982" s="2" t="s">
        <v>2678</v>
      </c>
      <c r="C982" s="2" t="s">
        <v>2679</v>
      </c>
      <c r="D982" s="2" t="s">
        <v>245</v>
      </c>
      <c r="E982" s="2" t="s">
        <v>21</v>
      </c>
      <c r="F982" s="2" t="s">
        <v>15</v>
      </c>
      <c r="G982" s="2" t="s">
        <v>2680</v>
      </c>
      <c r="H982" s="2" t="s">
        <v>630</v>
      </c>
      <c r="I982" s="2" t="str">
        <f>IFERROR(__xludf.DUMMYFUNCTION("GOOGLETRANSLATE(C982,""fr"",""en"")"),"Don't always pay a
Other document and
Impossible interlocutor inconsistent company that I do not advise at all that boredoms threw in Strasbourg at headquarters as disgruntled customers than complaints")</f>
        <v>Don't always pay a
Other document and
Impossible interlocutor inconsistent company that I do not advise at all that boredoms threw in Strasbourg at headquarters as disgruntled customers than complaints</v>
      </c>
    </row>
    <row r="983" ht="15.75" customHeight="1">
      <c r="A983" s="2">
        <v>4.0</v>
      </c>
      <c r="B983" s="2" t="s">
        <v>2681</v>
      </c>
      <c r="C983" s="2" t="s">
        <v>2682</v>
      </c>
      <c r="D983" s="2" t="s">
        <v>217</v>
      </c>
      <c r="E983" s="2" t="s">
        <v>27</v>
      </c>
      <c r="F983" s="2" t="s">
        <v>15</v>
      </c>
      <c r="G983" s="2" t="s">
        <v>2683</v>
      </c>
      <c r="H983" s="2" t="s">
        <v>503</v>
      </c>
      <c r="I983" s="2" t="str">
        <f>IFERROR(__xludf.DUMMYFUNCTION("GOOGLETRANSLATE(C983,""fr"",""en"")"),"I have been a member of Macif since 2011, very good experience, good care during claims, fast reimbursement. They take the time to discuss, are attentive, they do not treat you as a number like some do, but rather as humans.
You have to support companies"&amp;" like the Macif, certainly it is more expensive than online insurers but at least the quality is there.")</f>
        <v>I have been a member of Macif since 2011, very good experience, good care during claims, fast reimbursement. They take the time to discuss, are attentive, they do not treat you as a number like some do, but rather as humans.
You have to support companies like the Macif, certainly it is more expensive than online insurers but at least the quality is there.</v>
      </c>
    </row>
    <row r="984" ht="15.75" customHeight="1">
      <c r="A984" s="2">
        <v>3.0</v>
      </c>
      <c r="B984" s="2" t="s">
        <v>2684</v>
      </c>
      <c r="C984" s="2" t="s">
        <v>2685</v>
      </c>
      <c r="D984" s="2" t="s">
        <v>26</v>
      </c>
      <c r="E984" s="2" t="s">
        <v>27</v>
      </c>
      <c r="F984" s="2" t="s">
        <v>15</v>
      </c>
      <c r="G984" s="2" t="s">
        <v>1790</v>
      </c>
      <c r="H984" s="2" t="s">
        <v>134</v>
      </c>
      <c r="I984" s="2" t="str">
        <f>IFERROR(__xludf.DUMMYFUNCTION("GOOGLETRANSLATE(C984,""fr"",""en"")"),"Not bad as insurance I think it's very interesting especially for young people. The service is correct the standard numbers not as crowded not much waiting so yes it is very well organized overall.")</f>
        <v>Not bad as insurance I think it's very interesting especially for young people. The service is correct the standard numbers not as crowded not much waiting so yes it is very well organized overall.</v>
      </c>
    </row>
    <row r="985" ht="15.75" customHeight="1">
      <c r="A985" s="2">
        <v>4.0</v>
      </c>
      <c r="B985" s="2" t="s">
        <v>2686</v>
      </c>
      <c r="C985" s="2" t="s">
        <v>2687</v>
      </c>
      <c r="D985" s="2" t="s">
        <v>26</v>
      </c>
      <c r="E985" s="2" t="s">
        <v>27</v>
      </c>
      <c r="F985" s="2" t="s">
        <v>15</v>
      </c>
      <c r="G985" s="2" t="s">
        <v>2332</v>
      </c>
      <c r="H985" s="2" t="s">
        <v>228</v>
      </c>
      <c r="I985" s="2" t="str">
        <f>IFERROR(__xludf.DUMMYFUNCTION("GOOGLETRANSLATE(C985,""fr"",""en"")"),"The service is very correct, the price too.
The telephone service is very pleasant.
And the very affordable price, I am satisfied with the olive assurance")</f>
        <v>The service is very correct, the price too.
The telephone service is very pleasant.
And the very affordable price, I am satisfied with the olive assurance</v>
      </c>
    </row>
    <row r="986" ht="15.75" customHeight="1">
      <c r="A986" s="2">
        <v>1.0</v>
      </c>
      <c r="B986" s="2" t="s">
        <v>2688</v>
      </c>
      <c r="C986" s="2" t="s">
        <v>2689</v>
      </c>
      <c r="D986" s="2" t="s">
        <v>448</v>
      </c>
      <c r="E986" s="2" t="s">
        <v>27</v>
      </c>
      <c r="F986" s="2" t="s">
        <v>15</v>
      </c>
      <c r="G986" s="2" t="s">
        <v>2690</v>
      </c>
      <c r="H986" s="2" t="s">
        <v>698</v>
      </c>
      <c r="I986" s="2" t="str">
        <f>IFERROR(__xludf.DUMMYFUNCTION("GOOGLETRANSLATE(C986,""fr"",""en"")"),"The mutual, the car, the housing, all my contracts have been at the MAAF for a long time.
The management and quality of the services are very good.
However, I deplore the decision -making concerning the sorting that the insurance companies do with good "&amp;"and bad customers.
Let me explain: I am assured of all risks, I had 1 non-responsible disaster in 2018 but was that of too much since it was added to 2 others in 2016 including 1 responsible. My car contract was terminated for this reason. I find this "&amp;"decision a little rider because I have never had any license incidents (withdrawal, alcohol, drugs) or non-payment, I have been regaling since obtaining my license in 1990. I find deplorable to have been marginalized at this stage.
So I am canceling my"&amp;" home contract because if I am a bad customer, as much as I terminate my other contracts, logical.
Here is my little story, it's cool")</f>
        <v>The mutual, the car, the housing, all my contracts have been at the MAAF for a long time.
The management and quality of the services are very good.
However, I deplore the decision -making concerning the sorting that the insurance companies do with good and bad customers.
Let me explain: I am assured of all risks, I had 1 non-responsible disaster in 2018 but was that of too much since it was added to 2 others in 2016 including 1 responsible. My car contract was terminated for this reason. I find this decision a little rider because I have never had any license incidents (withdrawal, alcohol, drugs) or non-payment, I have been regaling since obtaining my license in 1990. I find deplorable to have been marginalized at this stage.
So I am canceling my home contract because if I am a bad customer, as much as I terminate my other contracts, logical.
Here is my little story, it's cool</v>
      </c>
    </row>
    <row r="987" ht="15.75" customHeight="1">
      <c r="A987" s="2">
        <v>4.0</v>
      </c>
      <c r="B987" s="2" t="s">
        <v>2691</v>
      </c>
      <c r="C987" s="2" t="s">
        <v>2692</v>
      </c>
      <c r="D987" s="2" t="s">
        <v>234</v>
      </c>
      <c r="E987" s="2" t="s">
        <v>21</v>
      </c>
      <c r="F987" s="2" t="s">
        <v>15</v>
      </c>
      <c r="G987" s="2" t="s">
        <v>2693</v>
      </c>
      <c r="H987" s="2" t="s">
        <v>141</v>
      </c>
      <c r="I987" s="2" t="str">
        <f>IFERROR(__xludf.DUMMYFUNCTION("GOOGLETRANSLATE(C987,""fr"",""en"")"),"Very well informed by Aya which is above all a great listening, simple and courteous in the explanations. Thank you to her because I was able to solve my problem with her answers.")</f>
        <v>Very well informed by Aya which is above all a great listening, simple and courteous in the explanations. Thank you to her because I was able to solve my problem with her answers.</v>
      </c>
    </row>
    <row r="988" ht="15.75" customHeight="1">
      <c r="A988" s="2">
        <v>1.0</v>
      </c>
      <c r="B988" s="2" t="s">
        <v>2694</v>
      </c>
      <c r="C988" s="2" t="s">
        <v>2695</v>
      </c>
      <c r="D988" s="2" t="s">
        <v>375</v>
      </c>
      <c r="E988" s="2" t="s">
        <v>14</v>
      </c>
      <c r="F988" s="2" t="s">
        <v>15</v>
      </c>
      <c r="G988" s="2" t="s">
        <v>980</v>
      </c>
      <c r="H988" s="2" t="s">
        <v>596</v>
      </c>
      <c r="I988" s="2" t="str">
        <f>IFERROR(__xludf.DUMMYFUNCTION("GOOGLETRANSLATE(C988,""fr"",""en"")"),"I am totally desperate from the attitude of Metlife. I took steps on 08/18/2019 following an agreement with my bank for the renegotiation of my real estate loans for which I have to pass 2 successive endorsements. After receiving written confirmations fro"&amp;"m my bank and Metlife for renegotiation, I sent all the documents requested at the end of August 2019.
Since then, nothing has happened; 2 times, I contacted putlife by phone; The advisers confirmed to me that the file was complete and that it would be p"&amp;"rocessed within two months ... 5 months later, I am disgusted with the attitude this insurer who does not respect his clients and puts my renegotiation of my renegotiation 'loans. Total silence, 0 email, 0 call, nothing ... on the other hand the premiums "&amp;"are well taken in time.
On the other hand, from Rage, I made a request for a quote on the Metlife website and there, Oh surprise, an advisor reminded me of less than 3 minutes after my email. In short, I find this insurer desperating and scandalously d"&amp;"isrespectful of its customers. Knowing that I have to make 2 endorsements, I fear that this insurer will put my renegotiation in peril if it takes 6 months between each communication. In short, I completely recommend this insurer")</f>
        <v>I am totally desperate from the attitude of Metlife. I took steps on 08/18/2019 following an agreement with my bank for the renegotiation of my real estate loans for which I have to pass 2 successive endorsements. After receiving written confirmations from my bank and Metlife for renegotiation, I sent all the documents requested at the end of August 2019.
Since then, nothing has happened; 2 times, I contacted putlife by phone; The advisers confirmed to me that the file was complete and that it would be processed within two months ... 5 months later, I am disgusted with the attitude this insurer who does not respect his clients and puts my renegotiation of my renegotiation 'loans. Total silence, 0 email, 0 call, nothing ... on the other hand the premiums are well taken in time.
On the other hand, from Rage, I made a request for a quote on the Metlife website and there, Oh surprise, an advisor reminded me of less than 3 minutes after my email. In short, I find this insurer desperating and scandalously disrespectful of its customers. Knowing that I have to make 2 endorsements, I fear that this insurer will put my renegotiation in peril if it takes 6 months between each communication. In short, I completely recommend this insurer</v>
      </c>
    </row>
    <row r="989" ht="15.75" customHeight="1">
      <c r="A989" s="2">
        <v>2.0</v>
      </c>
      <c r="B989" s="2" t="s">
        <v>2696</v>
      </c>
      <c r="C989" s="2" t="s">
        <v>2697</v>
      </c>
      <c r="D989" s="2" t="s">
        <v>57</v>
      </c>
      <c r="E989" s="2" t="s">
        <v>27</v>
      </c>
      <c r="F989" s="2" t="s">
        <v>15</v>
      </c>
      <c r="G989" s="2" t="s">
        <v>101</v>
      </c>
      <c r="H989" s="2" t="s">
        <v>101</v>
      </c>
      <c r="I989" s="2" t="str">
        <f>IFERROR(__xludf.DUMMYFUNCTION("GOOGLETRANSLATE(C989,""fr"",""en"")"),"Management of bureaucratic customers: no listen, interlocutor not specializing and changing regularly, malus in the event of non -responsibility.
No follow -up, no training")</f>
        <v>Management of bureaucratic customers: no listen, interlocutor not specializing and changing regularly, malus in the event of non -responsibility.
No follow -up, no training</v>
      </c>
    </row>
    <row r="990" ht="15.75" customHeight="1">
      <c r="A990" s="2">
        <v>1.0</v>
      </c>
      <c r="B990" s="2" t="s">
        <v>2698</v>
      </c>
      <c r="C990" s="2" t="s">
        <v>2699</v>
      </c>
      <c r="D990" s="2" t="s">
        <v>99</v>
      </c>
      <c r="E990" s="2" t="s">
        <v>120</v>
      </c>
      <c r="F990" s="2" t="s">
        <v>15</v>
      </c>
      <c r="G990" s="2" t="s">
        <v>1045</v>
      </c>
      <c r="H990" s="2" t="s">
        <v>112</v>
      </c>
      <c r="I990" s="2" t="str">
        <f>IFERROR(__xludf.DUMMYFUNCTION("GOOGLETRANSLATE(C990,""fr"",""en"")"),"To flee ! They always ask for documents in the event of a judgment, compensate with 2-3 months late, resilient during a work stoppage, no competent advice, no response provided and very high prices.")</f>
        <v>To flee ! They always ask for documents in the event of a judgment, compensate with 2-3 months late, resilient during a work stoppage, no competent advice, no response provided and very high prices.</v>
      </c>
    </row>
    <row r="991" ht="15.75" customHeight="1">
      <c r="A991" s="2">
        <v>1.0</v>
      </c>
      <c r="B991" s="2" t="s">
        <v>2700</v>
      </c>
      <c r="C991" s="2" t="s">
        <v>2701</v>
      </c>
      <c r="D991" s="2" t="s">
        <v>264</v>
      </c>
      <c r="E991" s="2" t="s">
        <v>27</v>
      </c>
      <c r="F991" s="2" t="s">
        <v>15</v>
      </c>
      <c r="G991" s="2" t="s">
        <v>2702</v>
      </c>
      <c r="H991" s="2" t="s">
        <v>554</v>
      </c>
      <c r="I991" s="2" t="str">
        <f>IFERROR(__xludf.DUMMYFUNCTION("GOOGLETRANSLATE(C991,""fr"",""en"")"),"Too bad we can't put 0 ... very attractive prices, but a frightening ineffectiveness. I do not know if they have relocated in one country, another service in another country or qque of its kind: but they should agree between them already it would not be b"&amp;"ad. In a word: null.")</f>
        <v>Too bad we can't put 0 ... very attractive prices, but a frightening ineffectiveness. I do not know if they have relocated in one country, another service in another country or qque of its kind: but they should agree between them already it would not be bad. In a word: null.</v>
      </c>
    </row>
    <row r="992" ht="15.75" customHeight="1">
      <c r="A992" s="2">
        <v>2.0</v>
      </c>
      <c r="B992" s="2" t="s">
        <v>2703</v>
      </c>
      <c r="C992" s="2" t="s">
        <v>2704</v>
      </c>
      <c r="D992" s="2" t="s">
        <v>99</v>
      </c>
      <c r="E992" s="2" t="s">
        <v>120</v>
      </c>
      <c r="F992" s="2" t="s">
        <v>15</v>
      </c>
      <c r="G992" s="2" t="s">
        <v>2705</v>
      </c>
      <c r="H992" s="2" t="s">
        <v>84</v>
      </c>
      <c r="I992" s="2" t="str">
        <f>IFERROR(__xludf.DUMMYFUNCTION("GOOGLETRANSLATE(C992,""fr"",""en"")"),"This insurer pays anytime ... They easily leave you two months without resources which will generate bank charges which are not recoverable, they do not take into account RIB changes I do not recommend this insurance at all")</f>
        <v>This insurer pays anytime ... They easily leave you two months without resources which will generate bank charges which are not recoverable, they do not take into account RIB changes I do not recommend this insurance at all</v>
      </c>
    </row>
    <row r="993" ht="15.75" customHeight="1">
      <c r="A993" s="2">
        <v>5.0</v>
      </c>
      <c r="B993" s="2" t="s">
        <v>2706</v>
      </c>
      <c r="C993" s="2" t="s">
        <v>2707</v>
      </c>
      <c r="D993" s="2" t="s">
        <v>300</v>
      </c>
      <c r="E993" s="2" t="s">
        <v>27</v>
      </c>
      <c r="F993" s="2" t="s">
        <v>15</v>
      </c>
      <c r="G993" s="2" t="s">
        <v>88</v>
      </c>
      <c r="H993" s="2" t="s">
        <v>88</v>
      </c>
      <c r="I993" s="2" t="str">
        <f>IFERROR(__xludf.DUMMYFUNCTION("GOOGLETRANSLATE(C993,""fr"",""en"")"),"I am satisfied with all your service. Whether home, school insurance, car insurance. C, is irreproachable. Thank you for everything and for your services
")</f>
        <v>I am satisfied with all your service. Whether home, school insurance, car insurance. C, is irreproachable. Thank you for everything and for your services
</v>
      </c>
    </row>
    <row r="994" ht="15.75" customHeight="1">
      <c r="A994" s="2">
        <v>4.0</v>
      </c>
      <c r="B994" s="2" t="s">
        <v>2708</v>
      </c>
      <c r="C994" s="2" t="s">
        <v>2709</v>
      </c>
      <c r="D994" s="2" t="s">
        <v>26</v>
      </c>
      <c r="E994" s="2" t="s">
        <v>27</v>
      </c>
      <c r="F994" s="2" t="s">
        <v>15</v>
      </c>
      <c r="G994" s="2" t="s">
        <v>547</v>
      </c>
      <c r="H994" s="2" t="s">
        <v>88</v>
      </c>
      <c r="I994" s="2" t="str">
        <f>IFERROR(__xludf.DUMMYFUNCTION("GOOGLETRANSLATE(C994,""fr"",""en"")"),"It is the nieme time that I take out a contract with the Olivier Insurance and each time the advisers are reactive and professional even in the event of a claim :)")</f>
        <v>It is the nieme time that I take out a contract with the Olivier Insurance and each time the advisers are reactive and professional even in the event of a claim :)</v>
      </c>
    </row>
    <row r="995" ht="15.75" customHeight="1">
      <c r="A995" s="2">
        <v>4.0</v>
      </c>
      <c r="B995" s="2" t="s">
        <v>2710</v>
      </c>
      <c r="C995" s="2" t="s">
        <v>2711</v>
      </c>
      <c r="D995" s="2" t="s">
        <v>26</v>
      </c>
      <c r="E995" s="2" t="s">
        <v>27</v>
      </c>
      <c r="F995" s="2" t="s">
        <v>15</v>
      </c>
      <c r="G995" s="2" t="s">
        <v>2712</v>
      </c>
      <c r="H995" s="2" t="s">
        <v>285</v>
      </c>
      <c r="I995" s="2" t="str">
        <f>IFERROR(__xludf.DUMMYFUNCTION("GOOGLETRANSLATE(C995,""fr"",""en"")"),"Hello, I am the victim (as well as my neighbors) of a car fire. After having made a complaint I make a lot of concerns because after having read certain opinions I am in doubt with regard to the care and the reimbursement of the insurance olive tree. To h"&amp;"ave.....")</f>
        <v>Hello, I am the victim (as well as my neighbors) of a car fire. After having made a complaint I make a lot of concerns because after having read certain opinions I am in doubt with regard to the care and the reimbursement of the insurance olive tree. To have.....</v>
      </c>
    </row>
    <row r="996" ht="15.75" customHeight="1">
      <c r="A996" s="2">
        <v>5.0</v>
      </c>
      <c r="B996" s="2" t="s">
        <v>2713</v>
      </c>
      <c r="C996" s="2" t="s">
        <v>2714</v>
      </c>
      <c r="D996" s="2" t="s">
        <v>67</v>
      </c>
      <c r="E996" s="2" t="s">
        <v>68</v>
      </c>
      <c r="F996" s="2" t="s">
        <v>15</v>
      </c>
      <c r="G996" s="2" t="s">
        <v>971</v>
      </c>
      <c r="H996" s="2" t="s">
        <v>62</v>
      </c>
      <c r="I996" s="2" t="str">
        <f>IFERROR(__xludf.DUMMYFUNCTION("GOOGLETRANSLATE(C996,""fr"",""en"")"),"In the top !
The prices have always been as competitive for several years!
I recommend April to all bikers!
In addition, really cool customer service!")</f>
        <v>In the top !
The prices have always been as competitive for several years!
I recommend April to all bikers!
In addition, really cool customer service!</v>
      </c>
    </row>
    <row r="997" ht="15.75" customHeight="1">
      <c r="A997" s="2">
        <v>3.0</v>
      </c>
      <c r="B997" s="2" t="s">
        <v>2715</v>
      </c>
      <c r="C997" s="2" t="s">
        <v>2716</v>
      </c>
      <c r="D997" s="2" t="s">
        <v>26</v>
      </c>
      <c r="E997" s="2" t="s">
        <v>27</v>
      </c>
      <c r="F997" s="2" t="s">
        <v>15</v>
      </c>
      <c r="G997" s="2" t="s">
        <v>1451</v>
      </c>
      <c r="H997" s="2" t="s">
        <v>228</v>
      </c>
      <c r="I997" s="2" t="str">
        <f>IFERROR(__xludf.DUMMYFUNCTION("GOOGLETRANSLATE(C997,""fr"",""en"")"),"I have just looked on the internet my prayer contact assists and very well this contract for deputy like me and I thank you for your propsition and I wish you very good day")</f>
        <v>I have just looked on the internet my prayer contact assists and very well this contract for deputy like me and I thank you for your propsition and I wish you very good day</v>
      </c>
    </row>
    <row r="998" ht="15.75" customHeight="1">
      <c r="A998" s="2">
        <v>5.0</v>
      </c>
      <c r="B998" s="2" t="s">
        <v>2717</v>
      </c>
      <c r="C998" s="2" t="s">
        <v>2718</v>
      </c>
      <c r="D998" s="2" t="s">
        <v>37</v>
      </c>
      <c r="E998" s="2" t="s">
        <v>27</v>
      </c>
      <c r="F998" s="2" t="s">
        <v>15</v>
      </c>
      <c r="G998" s="2" t="s">
        <v>153</v>
      </c>
      <c r="H998" s="2" t="s">
        <v>23</v>
      </c>
      <c r="I998" s="2" t="str">
        <f>IFERROR(__xludf.DUMMYFUNCTION("GOOGLETRANSLATE(C998,""fr"",""en"")"),"Very satisfied for the moment, I will see when I declare a claim ..... if this is always effective. In any case, customer service is very professional")</f>
        <v>Very satisfied for the moment, I will see when I declare a claim ..... if this is always effective. In any case, customer service is very professional</v>
      </c>
    </row>
    <row r="999" ht="15.75" customHeight="1">
      <c r="A999" s="2">
        <v>4.0</v>
      </c>
      <c r="B999" s="2" t="s">
        <v>2719</v>
      </c>
      <c r="C999" s="2" t="s">
        <v>2720</v>
      </c>
      <c r="D999" s="2" t="s">
        <v>37</v>
      </c>
      <c r="E999" s="2" t="s">
        <v>27</v>
      </c>
      <c r="F999" s="2" t="s">
        <v>15</v>
      </c>
      <c r="G999" s="2" t="s">
        <v>466</v>
      </c>
      <c r="H999" s="2" t="s">
        <v>23</v>
      </c>
      <c r="I999" s="2" t="str">
        <f>IFERROR(__xludf.DUMMYFUNCTION("GOOGLETRANSLATE(C999,""fr"",""en"")"),"I cannot yet judge the quality of your service
You have to put yourself in accident situations to verify the reliability of your promises !!
")</f>
        <v>I cannot yet judge the quality of your service
You have to put yourself in accident situations to verify the reliability of your promises !!
</v>
      </c>
    </row>
    <row r="1000" ht="15.75" customHeight="1">
      <c r="A1000" s="2">
        <v>1.0</v>
      </c>
      <c r="B1000" s="2" t="s">
        <v>2721</v>
      </c>
      <c r="C1000" s="2" t="s">
        <v>2722</v>
      </c>
      <c r="D1000" s="2" t="s">
        <v>13</v>
      </c>
      <c r="E1000" s="2" t="s">
        <v>14</v>
      </c>
      <c r="F1000" s="2" t="s">
        <v>15</v>
      </c>
      <c r="G1000" s="2" t="s">
        <v>2723</v>
      </c>
      <c r="H1000" s="2" t="s">
        <v>694</v>
      </c>
      <c r="I1000" s="2" t="str">
        <f>IFERROR(__xludf.DUMMYFUNCTION("GOOGLETRANSLATE(C1000,""fr"",""en"")"),"Credit insurance that does not cover anything just when you go to the tree to flee to flee we lost our house because of them no one in disability not taken care")</f>
        <v>Credit insurance that does not cover anything just when you go to the tree to flee to flee we lost our house because of them no one in disability not taken care</v>
      </c>
    </row>
    <row r="1001" ht="15.75" customHeight="1">
      <c r="A1001" s="2">
        <v>5.0</v>
      </c>
      <c r="B1001" s="2" t="s">
        <v>2724</v>
      </c>
      <c r="C1001" s="2" t="s">
        <v>2725</v>
      </c>
      <c r="D1001" s="2" t="s">
        <v>234</v>
      </c>
      <c r="E1001" s="2" t="s">
        <v>21</v>
      </c>
      <c r="F1001" s="2" t="s">
        <v>15</v>
      </c>
      <c r="G1001" s="2" t="s">
        <v>1890</v>
      </c>
      <c r="H1001" s="2" t="s">
        <v>503</v>
      </c>
      <c r="I1001" s="2" t="str">
        <f>IFERROR(__xludf.DUMMYFUNCTION("GOOGLETRANSLATE(C1001,""fr"",""en"")"),"Thanks to Mr ABO who knew how to answer my questions and to guide me to make the manipulation so that I can send the document with a new access path")</f>
        <v>Thanks to Mr ABO who knew how to answer my questions and to guide me to make the manipulation so that I can send the document with a new access path</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2022-12-16T15:48:21Z</dcterms:created>
</cp:coreProperties>
</file>