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uo5I9tcE7pt+7Q1VHC9FN5OSWzg=="/>
    </ext>
  </extLst>
</workbook>
</file>

<file path=xl/sharedStrings.xml><?xml version="1.0" encoding="utf-8"?>
<sst xmlns="http://schemas.openxmlformats.org/spreadsheetml/2006/main" count="7011" uniqueCount="2734">
  <si>
    <t>note</t>
  </si>
  <si>
    <t>auteur</t>
  </si>
  <si>
    <t>avis</t>
  </si>
  <si>
    <t>assureur</t>
  </si>
  <si>
    <t>produit</t>
  </si>
  <si>
    <t>type</t>
  </si>
  <si>
    <t>date_publication</t>
  </si>
  <si>
    <t>date_exp</t>
  </si>
  <si>
    <t>avis_en</t>
  </si>
  <si>
    <t>avis_cor</t>
  </si>
  <si>
    <t>avis_cor_en</t>
  </si>
  <si>
    <t>reno-dc-99499</t>
  </si>
  <si>
    <t>Assuré depuis plus de 3 ans chez Direct Assurance, je n’ai jamais eu de sinistre mon bonus augmente chaque annee de 5%. A ma grande surprise ma cotisation a augmentée pour 2020 / 2021 de plus de 10% ! Réponse de Direct Assurance : ceci est dû à u e augmentation générale de tous les assureurs... Et bien il est temps d’aller voir ce que propose la concurrence.</t>
  </si>
  <si>
    <t>Direct Assurance</t>
  </si>
  <si>
    <t>auto</t>
  </si>
  <si>
    <t>train</t>
  </si>
  <si>
    <t>01/11/2020</t>
  </si>
  <si>
    <t>dan-66598</t>
  </si>
  <si>
    <t>Le gros problème de la MACIF c'est l'incompétence de leurs cabinets d'expertise. Je pense que ces experts font gagner de l'argent à la compagnie d'assurances sur le dos des sociétaires.</t>
  </si>
  <si>
    <t>MACIF</t>
  </si>
  <si>
    <t>04/09/2018</t>
  </si>
  <si>
    <t>01/09/2018</t>
  </si>
  <si>
    <t>gdlt-79362</t>
  </si>
  <si>
    <t>Dans le cadre d'une succession, le décès a eu lieu début novembre 2018. La compagnie n'a toujours rien versé en septembre 2019. Elle demande les documents nécessaires au paiement au compte goutte et fait traîner. Peut-être dans l'espoir de nous voir nous lasser.</t>
  </si>
  <si>
    <t>Cardif</t>
  </si>
  <si>
    <t>vie</t>
  </si>
  <si>
    <t>21/09/2019</t>
  </si>
  <si>
    <t>01/09/2019</t>
  </si>
  <si>
    <t>maeguigs-103704</t>
  </si>
  <si>
    <t xml:space="preserve">Les personnes Qui sont là pour nous conseiller le font mal, on ne sait pas ce qu’on doit faire. Trop d’incompréhension et démarche trop longue! Je ne recommande pas cette assurance le prix est bien mais pas la qualité. </t>
  </si>
  <si>
    <t>04/02/2021</t>
  </si>
  <si>
    <t>01/02/2021</t>
  </si>
  <si>
    <t>jef-65126</t>
  </si>
  <si>
    <t>Très bon échange.  Explication très bonne  et claire. .......................................................................................................................................................</t>
  </si>
  <si>
    <t>Santiane</t>
  </si>
  <si>
    <t>sante</t>
  </si>
  <si>
    <t>28/06/2018</t>
  </si>
  <si>
    <t>01/06/2018</t>
  </si>
  <si>
    <t>br-1-66808</t>
  </si>
  <si>
    <t>Après 2 mois d'assurance, direct assurance me resilie mon contrat parce qu'ils "ne savaient pas que mon vehicule etait un camping-car", ils ne m'offrent aucune compensation, même pas des excuses. N'importe quoi, l'oposé de ce qu'une assurance est suposée d'être. Je la désaconseille totalement.</t>
  </si>
  <si>
    <t>12/09/2018</t>
  </si>
  <si>
    <t>remy-62974</t>
  </si>
  <si>
    <t>Très belle carotte! Une belle tromperie oui...</t>
  </si>
  <si>
    <t>L'olivier Assurance</t>
  </si>
  <si>
    <t>05/04/2018</t>
  </si>
  <si>
    <t>01/04/2018</t>
  </si>
  <si>
    <t>victime-de-lolivier-80072</t>
  </si>
  <si>
    <t xml:space="preserve">A fuir, je suis en litige avec cette assurance suite L'assurance refuse de prendre en charge la totalité des réparations suite un sinistre en date du 06.09.2019 : Véhicule endommagé sur la voie publique. Le montant total du préjudice à ce jour est de 6181 euros. L'assurance a pris en charge 1541 euros sur la base d'un document considéré comme rapport d'expertise rendu en incohérence par l'expert stagiaire du cabinet mandaté par l'olivier assurance : Christophe Maison Conseil.
Malgré la LRAR reçu par le cabinet Christophe Maison Conseil, le rapport d'expertise ne nous a jamais été adressé par le cabinet, et ce comme prévu par l'article R-326-2 du Code de la Route. En effet, le cabinet Christophe Maison Conseil affirme que l'Olivier Assurance, en sa qualité de client, lui a ordonné de ne pas me mettre à disposition le rapport initial rendu en incohérence. Aussi, le cabinet d'expertise, aurait communiqué un second rapport détaillé à L'Olivier Assurance mais qu'ils ne peuvent pas me transmettre non plus. Ils nous ont demandé de nous rapprocher de L'Olivier Assurance.
Après avoir beaucoup insisté auprès du service client de l'olivier, L'olivier a enfin accepté le 28.10.2019, de m'envoyer un document illisible.
L'expert stagiaire fait état, dans son rapport d'expertise, d'une procédure réglementaire « véhicule endommagé » applicable au regard du caractère dangereux du véhicule.
Cette procédure n'a pas été initiée par l'expert stagiaire en charge du dossier, comme l'y invite la réglementation à l'article L-327-5 du Code de la Route.
Nous avons mandaté un expert indépendant pour une contre-expertise qui a eu lieu le 12.11.2019 avec la présence l'expert stagiaire et son responsable. L'expert indépendant, soucieux de respecter la loi, a mis en place la procédure VE à mes frais (700 euros). 
Après avoir transmis, l'ensemble des justificatifs dont le rapport de contre-expertise le 18.12.2019, l'olivier assurance m'informe qu'il y aura la mise en place d'une procédure d'arbitrage. 
J'ai saisit la médiation des assurances et les médias (Julien Courbet), l'émission ça peut vous arriver, c'est très simple, il suffit d'expliciter le litige par mail. J'invite les victimes de cette assurance de ne pas baisser les bras face à leurs pratiques douteuses.
Si ces démarches n'aboutissent pas, il faut déposer une plainte au tribunal adéquat en fonction du montant du litige. 
</t>
  </si>
  <si>
    <t>19/11/2020</t>
  </si>
  <si>
    <t>marissa-p-106485</t>
  </si>
  <si>
    <t xml:space="preserve">Tout est terrible. Le site ne fonction pas, je ne peux pas changer les infos, je paie encore pour un appartement que je n'habite plus, sans option de arrêter. </t>
  </si>
  <si>
    <t>13/03/2021</t>
  </si>
  <si>
    <t>01/03/2021</t>
  </si>
  <si>
    <t>nicolas-l-108535</t>
  </si>
  <si>
    <t xml:space="preserve">Cool rapide simple efficace 
Cela m’a permis d’utiliser ma moto rapidement sans prise de tête 
Prix compétitif réactivité au top 
Satisfait de la prestation </t>
  </si>
  <si>
    <t>APRIL Moto</t>
  </si>
  <si>
    <t>moto</t>
  </si>
  <si>
    <t>30/03/2021</t>
  </si>
  <si>
    <t>marc-t-108322</t>
  </si>
  <si>
    <t>je suis satisfait du contrat assurance. Rien a dire pour l'instant. J'attend de voir si celle ci va augmenter en 2021. Rien a dire d'autre pour l'instant</t>
  </si>
  <si>
    <t>28/03/2021</t>
  </si>
  <si>
    <t>myriam-63052</t>
  </si>
  <si>
    <t>Titulaire d'une assurance vie ASAC FAPES chez Generali, j'ai demandé un rachat total de cette assurance . Impossible de récupérer MON argent.
Cela fait plus d'un mois que j'ai fait ma demande et je n'ai aucune réponse de leur part...INADMISSIBLE</t>
  </si>
  <si>
    <t>Generali</t>
  </si>
  <si>
    <t>08/04/2018</t>
  </si>
  <si>
    <t>grubert-m-110266</t>
  </si>
  <si>
    <t>l'équipe semble compétente, agréablement surpris pour l'instant (tarifs, rapidité, réponses aux questions, présentation...). A voir si cela sera de même si nous avons un jour à déclarer un sinistre.</t>
  </si>
  <si>
    <t>13/04/2021</t>
  </si>
  <si>
    <t>01/04/2021</t>
  </si>
  <si>
    <t>dada-131818</t>
  </si>
  <si>
    <t>Bonjour, je viens d'appeler le service afin d'avoir un renseignement concernant mon contrat. La conseillère qui m'a répondu se prénomme Mariama, elle a été très réactive et surtout très à l'écoute au sujet de ma demande. Tout s'est très bien déroulé et j'en suis très satisfaite.</t>
  </si>
  <si>
    <t>08/09/2021</t>
  </si>
  <si>
    <t>01/09/2021</t>
  </si>
  <si>
    <t>brand-d-133523</t>
  </si>
  <si>
    <t>Les prix me conviennent. Par contre, il y a eu plusieurs bugs sur le site lors de ma souscription, j'ai du la refaire plusieurs fois. Je suis content de faire parti de vos clients, et j'aurais certainement d'autres contrats à rattacher.</t>
  </si>
  <si>
    <t>19/09/2021</t>
  </si>
  <si>
    <t>sebastien-r-110200</t>
  </si>
  <si>
    <t xml:space="preserve">satisfait du service 
prix interessant
rapidité d'execution des contrats 
facilité de transmission des documents et des informations
garanties souscrites </t>
  </si>
  <si>
    <t>francky-71758</t>
  </si>
  <si>
    <t xml:space="preserve">AXA LA SEYNE, agence CATALA : A EVITER. Lors de ma souscription, toutes les garanties que j'ai demandées m'ont été confirmées... à l'oral.
Une fois souscrit, heureux de penser que j'ai toutes mes garanties à un prix très concurrentiel, les choses se sont compliquées lorsque j'ai demandé des attestations. EN RESUME : le meilleur prix m'a été appliqué, pour les garanties les plus basiques !!!
</t>
  </si>
  <si>
    <t>AXA</t>
  </si>
  <si>
    <t>28/02/2019</t>
  </si>
  <si>
    <t>01/02/2019</t>
  </si>
  <si>
    <t>tv-53634</t>
  </si>
  <si>
    <t>Un service désastreux, désagréables et menteurs au telephone, résiliation pour non paiement (le courrier non distribué), demandent de communiquer la carte bleue pour régulariser !</t>
  </si>
  <si>
    <t>habitation</t>
  </si>
  <si>
    <t>27/03/2017</t>
  </si>
  <si>
    <t>01/03/2017</t>
  </si>
  <si>
    <t>thomas-g-133705</t>
  </si>
  <si>
    <t xml:space="preserve">Le Service un peu cher mais rapide. A voir la qualité de leurs réactivité le jour où j'aurais besoin de leur intervention. Le prix des options peut également faire monter le prix de la facture </t>
  </si>
  <si>
    <t>20/09/2021</t>
  </si>
  <si>
    <t>hrg-85505</t>
  </si>
  <si>
    <t xml:space="preserve">Si vous comptez souscrire une assurance auto fuyez j'ai eu un accident le 29/10 la personne qui m'est rentré dedans n'a pas souhaité faire de constat lorsque jai mis ma voiture en réparation en m'a suggéré d'avancer les frais de franchises et les 10% de réparation et ma conseillère Karima m'a affirmé qu'on me restituerai largent une fois que ma responsabilité ne serait pas engagé ayant souscrit une assurance tous risques + pack sérénité. Il y a quelques jours jai reçu un mail de la part de ma conseillère m'indiquant que ma responsabilité n'était pas engage mais que les frais avancer ne me serait pas restitué après plusieurs mails de réclamation ma gestionnaire a changé ma part de responsabilité à hauteur de 50% sous prétexte que le dessin sur le constat me mettait en porte à faux choses dont on m'a jamais parlé alors que le dossier sinistre dure de plus de 2 mois sans compter que je les ai eu au téléphone qu'on ma affirmé que ma responsabilité était dégagé et que je n'aurai pas de malus mais deux jours après ils ont changé mon taux de responsabilité. Voilà comment fonctionne cette assurance ils prennent le client pour des idiots et font ce qu'ils veulent, les conseillères font ce qu'elles veulent vous avez beau faire des réclamations cela ne change rien et leur service client est inexistant </t>
  </si>
  <si>
    <t>05/01/2020</t>
  </si>
  <si>
    <t>01/01/2020</t>
  </si>
  <si>
    <t>emilie-r-128473</t>
  </si>
  <si>
    <t>Tres bon rapport qualité/ prix recommandé par un ami, je ne regrette pas de mettre assuré avec AMV. Simple de souscrire un contrat sur internet. Merci</t>
  </si>
  <si>
    <t>AMV</t>
  </si>
  <si>
    <t>18/08/2021</t>
  </si>
  <si>
    <t>01/08/2021</t>
  </si>
  <si>
    <t>pilou-82174</t>
  </si>
  <si>
    <t>AXA prône la dématérialisation de ses contrats. OK. Ayant changé de véhicule début novembre 2019, je me bas depuis 1 mois et demi pour que la rédaction de mes coordonnées sur mon contrat soit exactes et que mon contrat apparaisse sur mon espace client.</t>
  </si>
  <si>
    <t>21/12/2019</t>
  </si>
  <si>
    <t>01/12/2019</t>
  </si>
  <si>
    <t>slracing-89820</t>
  </si>
  <si>
    <t xml:space="preserve">Incroyable, j ai eu un sinistre avec un temoin ou je 'était pas responsable car mon véhicule était à l arrêt, au final ils ont opter pour un 50/50. Les conseillers sont désagréable et ce foutaient clairement de moi car j ai du les appeler plusieurs fois par jour pour tenter de régler cet affaire. Je suis vraiment déçu. Je vous déconseille vraiment cet fausse assurance qui profite de l image d une banque pour attirer les clients, aller chez un vrai assureur qui vous défendra en cas de sinistre. Zéro sur tout les point. Ma conseillère banquaire était mal à l aise quand je lui est fait part de ce qui met arriver. Il y a une fameux dicton qui dit c est pas en ressemblant à une assurance qu on est une assurance !! . A la clôture de ce dossier je quitte cet vulgaire assurance. </t>
  </si>
  <si>
    <t>Pacifica</t>
  </si>
  <si>
    <t>21/05/2020</t>
  </si>
  <si>
    <t>01/05/2020</t>
  </si>
  <si>
    <t>kart-63571</t>
  </si>
  <si>
    <t>Je suis très déçue par le traitement reçu par cette compagnie d’assurance, cela fait plus d’un an que je me bats pour être indemnisée suite à une longue maladie. Je ne suis pas indemnisé, ils me réclament des documents sur documents alors que je leur ai transmis tous les documents en ma possession.... j’ai même recommencer mon travail, mais tjs pas indemnisée..... je reprends mes forces après la maladie pour me renseigner auprès de la protection juridique et voir pour engager un procès.....</t>
  </si>
  <si>
    <t>APRIL</t>
  </si>
  <si>
    <t>credit</t>
  </si>
  <si>
    <t>25/04/2018</t>
  </si>
  <si>
    <t>anne-87432</t>
  </si>
  <si>
    <t>dossier déposé puis perdu.impossible de l'envoyer par mail.que faire quand on ne peut plus se déplacer?
les" conseillers" répondent à la place du médecin conseil:trop fatigant ou moins cher plutot que de l'envoyer? autant de coups de téléphones que de réponses différentes</t>
  </si>
  <si>
    <t>Mgen</t>
  </si>
  <si>
    <t>20/02/2020</t>
  </si>
  <si>
    <t>01/02/2020</t>
  </si>
  <si>
    <t>bsl-75-61235</t>
  </si>
  <si>
    <t>Bonjour.Groupama ne tient pas compte des courriers de réclamation envoyés.Suite à une panne de carte électronique sur pompe à chaleur AIRWELL, le SAV affirme que la nouvelle pièce de remplacement prévue par l'entreprise mandatée par l'expert de Polyexpert sera incompatible avec les unités intérieures, l'ancien modèle ne se faisant plus. Le prestataire demande quand même 2540 € pour effectuer la réparation, mais refuse de communiquer les références de la carte électronique prévue et affirme ne pas garantir le bon fonctionnement après changement de la pièce.</t>
  </si>
  <si>
    <t>Groupama</t>
  </si>
  <si>
    <t>07/02/2018</t>
  </si>
  <si>
    <t>01/02/2018</t>
  </si>
  <si>
    <t>jean-claude-g-130874</t>
  </si>
  <si>
    <t>Je trouve votre site très bien fait....les différents prix proposés sont bien.
On peut facilement souscrire à une assurance. Reste plus l'assurance maison à voir vos prix et en cas de problème si vous serez aussi efficace.</t>
  </si>
  <si>
    <t>02/09/2021</t>
  </si>
  <si>
    <t>dotty-94393</t>
  </si>
  <si>
    <t xml:space="preserve">A La MGP depuis 28ans, je suis toujours autant satisfaite,  tant par les prises en charge que par l'accueil.  Je recommande vivement. </t>
  </si>
  <si>
    <t>MGP</t>
  </si>
  <si>
    <t>17/07/2020</t>
  </si>
  <si>
    <t>01/07/2020</t>
  </si>
  <si>
    <t>-enzzoo--69225</t>
  </si>
  <si>
    <t>tout va bien quand vous n'avez aucun dommage quand vous avez un accident ne comptez pas dessus</t>
  </si>
  <si>
    <t>07/12/2018</t>
  </si>
  <si>
    <t>01/12/2018</t>
  </si>
  <si>
    <t>xavier-m-132046</t>
  </si>
  <si>
    <t>Satisfait. Aide téléphonique disponible mais plusieurs avis différents en fonction de l'interlocuteur.
A voir par la suite si la prestation est aussi bonne</t>
  </si>
  <si>
    <t>09/09/2021</t>
  </si>
  <si>
    <t>habboula-w-130605</t>
  </si>
  <si>
    <t>Je suis assez satisfait du contrat que j’ai pu obtenir néanmoins j’aurais pu bénéficier d’une réduction car un véhicule est déjà assuré chez vous au même nom.</t>
  </si>
  <si>
    <t>nicovasco-90257</t>
  </si>
  <si>
    <t>N'assurez pas votre chien chez des assureurs qui demandent un historique de santé après signature du contrat.En effet dès que vous aurez besoin d'un remboursement en cas d'accident, ils feront valoir l'antériorité de pathologie pour ne pas vous rembourser via des courrriers qui mettent plusieurs jours à vous parvenir. Préférez mettre de l'argent sur votre compte et capitaliser votre propre compte « Santé »pour votre animal.</t>
  </si>
  <si>
    <t>Crédit Mutuel</t>
  </si>
  <si>
    <t>animaux</t>
  </si>
  <si>
    <t>05/06/2020</t>
  </si>
  <si>
    <t>01/06/2020</t>
  </si>
  <si>
    <t>nev-67760</t>
  </si>
  <si>
    <t xml:space="preserve">Je deconseille fortement cette assurance qui est injoignable en cas de sinistre. Apres  avoir declare 3 fois le sinistre sur l application rien a ete fait, j ai mis 3 semaines pour les avoir au tel et enregistrer mon sinistre. Du jamais vu! Mieux vaut payer 100 euros de plus a l année mais etre  assure correctement. On doit payer la premiere annee en totalite, je comprends mieux pourquoi, ils savent que c est impossible de rester assuresans etre couvert correctement </t>
  </si>
  <si>
    <t>16/10/2018</t>
  </si>
  <si>
    <t>01/10/2018</t>
  </si>
  <si>
    <t>abdel-104039</t>
  </si>
  <si>
    <t>Concernant. Pacifica LCL. Une personne representant l enseigne Pacfica LCL a Alixan dans la drome est la honte de la profession. Je ne pense pas que Pacifica soit au courant des agissement d une certaine de leur colaboratrice</t>
  </si>
  <si>
    <t>12/02/2021</t>
  </si>
  <si>
    <t>meltaya-58319</t>
  </si>
  <si>
    <t xml:space="preserve">Bonjour, 
Comme beaucoup ici, résiliée après un accident responsable (ma faute j'ai pas bien cochée les cases donc j'ai été considérée responsable, et ils ont d'ailleurs rien voulu savoir!) et deux non responsables. C'est bien bientôt faudra que j'apprenne aussi aux gens à conduire pour pas être résiliée... </t>
  </si>
  <si>
    <t>MAAF</t>
  </si>
  <si>
    <t>24/10/2017</t>
  </si>
  <si>
    <t>01/10/2017</t>
  </si>
  <si>
    <t>nenette-49289</t>
  </si>
  <si>
    <t>Client depuis 1980 pour toutes mes assurances (véhicule, habitation), je vois mes primes augmenter de près de 10% cette année. Je trouve cela énorme par rapport à l'augmentation du coût de la vie. Je songe à changer de compagnie.</t>
  </si>
  <si>
    <t>17/11/2016</t>
  </si>
  <si>
    <t>01/11/2016</t>
  </si>
  <si>
    <t>--121217</t>
  </si>
  <si>
    <t>bien dans l'ensemble : peut faire mieux au niveau des modifications de garanties portées sur les avis d'échéance , sans l'accord de l'assuré - franchise pare brise , d'un montant forfaitaire passé à un pourcentage : et l'Art 112-03 du code des assurances ? .</t>
  </si>
  <si>
    <t>25/06/2021</t>
  </si>
  <si>
    <t>01/06/2021</t>
  </si>
  <si>
    <t>nicole-d-106269</t>
  </si>
  <si>
    <t>Pratique et pas cher 
accueil téléphonique très agréable
Je recommande pour la simplicité sans sortir de chez soi
tout se fait via internet et téléphone
à voir si après un sinistre, je serais toujours du même avis</t>
  </si>
  <si>
    <t>11/03/2021</t>
  </si>
  <si>
    <t>nath-76594</t>
  </si>
  <si>
    <t>Trés déçue car après un accident non responsable il y a maintenant 1 an je ne peux m'assurer chez eux. Ils ne prennent pas ! Je trouve cela injuste. Le service client me dit OK pour s'assurer 1 an après le sinistre donc je refais un devis et on me dit que l'adhésion est OK. J'envois tout les documents nécessaires et on me dit 1 semaine après que ce n'est pas possible il faut encore attendre 1 an. De plus il est très compliqué de les joindre et ils sont incompétents. Franchement déçu.</t>
  </si>
  <si>
    <t>08/06/2019</t>
  </si>
  <si>
    <t>01/06/2019</t>
  </si>
  <si>
    <t>ornella-h-126153</t>
  </si>
  <si>
    <t xml:space="preserve">Je suis satisfait de la rapidité du service.  Les explications étaient très claires. J'espère qu'au moindre soucis on pourra vous joindre assez facilement. Bonne journée </t>
  </si>
  <si>
    <t>03/08/2021</t>
  </si>
  <si>
    <t>avantime92-61708</t>
  </si>
  <si>
    <t xml:space="preserve">Assuré depuis 2005 auprès de la compagnie EUROFIL pour jusqu'à 3 véhicules et 3 résidences je n'avais qu'à me louer des services de cette assurance "LOW COST" au regard du montant des primes et des services proposés.
Jusqu'à ce que je reçoive cette semaine un courrier recommandée AR m'informant de l'inadéquation du risque qui ne permet pas la reconduction d'un contrat automobile pour la période à venir.
A la lecture du relevé d'informations apparaissent :
1) un accident non responsable en 05/2017
2) un changement de pare-brise en 02/2016
3) une réparation d'éclat de pare-brise en 04/2015
Je suis invité à aller voir ailleurs !
Ne choisissez pas cette assurance. Tant que tout va bien on encaisse vos primes. Et on vous vire quand on l'a décidé.... ! Pas correct et surtout très injuste. </t>
  </si>
  <si>
    <t>Eurofil</t>
  </si>
  <si>
    <t>25/02/2018</t>
  </si>
  <si>
    <t>moijuste1313-89192</t>
  </si>
  <si>
    <t>Pour faire simple vous payez que la vignette a poser sur votre pare-brise ,considérer que vous n'êtes même pas assurer chez eux sauf aux yeux de la police ,plus pratique qu'une fausse assurance ;-) ,je vais vous épargner les détails tout est résumer dans les commentaires précédent . A EVITER D'URGENCE!</t>
  </si>
  <si>
    <t>Active Assurances</t>
  </si>
  <si>
    <t>28/04/2020</t>
  </si>
  <si>
    <t>01/04/2020</t>
  </si>
  <si>
    <t>lotfi--100402</t>
  </si>
  <si>
    <t xml:space="preserve">Traitement lent des dossiers de sinistre...
Remboursement tardive.. Ça fait presque 2 mois en attente pour le remboursement.. À chaque fois j'appelle.. Je tombe sur des personnes non-compétents.. Pas de réponse..!!!! </t>
  </si>
  <si>
    <t>20/11/2020</t>
  </si>
  <si>
    <t>rades-t-114598</t>
  </si>
  <si>
    <t>Je suis seulement en train de signer et de payer... pour l'instant tout va bien, l'accueil a été très bien et l'espace client est lisible et fonctionne.
À valider lors d'un sinistre :-)</t>
  </si>
  <si>
    <t>22/05/2021</t>
  </si>
  <si>
    <t>01/05/2021</t>
  </si>
  <si>
    <t>leo-99129</t>
  </si>
  <si>
    <t>Je suis membre adhérent d'AFER depuis plus de 15 ans. Il faut dire que je n'ai pas été très actif à part ces dernières années où effectivement j'ai eu besoin de mon argent. Les opérations simples, avec des montants inférieurs à 20 ou 30 000 euros ne m'ont pas posé pas de problème particulier. Mais les opérations plus lourdes -- c'est une toute autre affaire ! 
Ma dernière opération m'a révélé qu'il y avait de sérieux problèmes de fonctionnement ou de communication.
A la suite d'une annulation en août dernier d'un rachat partiel, j'ai demandé le reversement du montant sur mon adhésion. Pour des raisons personnelles, je demande à procéder par virement ou prélèvement et non par chèque. Ma demande de versement est enregistrée à AFER seulement le 4 septembre.  Fin septembre (!), l'AFER m'annonce (via ma conseillère) qu'il faut que je procède moi-même au virement via les coordonnées bancaires de l'AFER qui me sont transmises. Soit. Le jour même, je donne l'ordre de virement à mon conseiller bancaire. Le 01-10-2020, je suis débité du montant sur mon compte bancaire. J'adresse le jour même l'avis de virement à ma conseillère. Rien n'apparaît sur mon adhésion depuis. Silence radio, malgré de nombreux appels, avec la même rengaine: votre demande a été transmise au service compétent. Une seule fois, au téléphone, on me dit que le service de gestion s'en occupe ce jour même et que je devrais voir apparaître l'opération sur mon adhésion le jour même ou le lendemain. Rien, hélas, ni le lendemain ni le surlendemain, ni...
Entre-temps, des aléas ont fait que j'ai impérativement besoin de ces fonds. Mais c'est là le cadet des soucis d'AFER. Or précisément, comme beaucoup de personnes, moi j'ai adhéré à AFER pour ce genre de situations !
En conclusion, en attente d'être contredit, je pense qu'AFER n'est pas un bon placement. C'est un bon placement si vous n'avez pas besoin (ou très peu) de votre argent. Mais sachez qu'en cas de coup dur ou d'affaire importante, vous ne pourrez pas compter sur AFER. Aucun délai n'est respecté et la communication est exécrable.</t>
  </si>
  <si>
    <t>Afer</t>
  </si>
  <si>
    <t>23/10/2020</t>
  </si>
  <si>
    <t>01/10/2020</t>
  </si>
  <si>
    <t>nath38-51015</t>
  </si>
  <si>
    <t>Si je pouvais mettre 0 etoile je le ferais prix tres haut qui augmente chaque année malgré du bonus leur argument sont completements idiots pour se justifier. Bref jai envoyé ma résiliation et je suis allé chez un autre assureur avec un tarif 2 fois moins cher pour plus de garantie. Totalement fou!</t>
  </si>
  <si>
    <t>06/01/2017</t>
  </si>
  <si>
    <t>01/01/2017</t>
  </si>
  <si>
    <t>de-la-rosa-munoz-r-110866</t>
  </si>
  <si>
    <t xml:space="preserve">Je suis très satisfait avec l'assurance, le prix me convient,  très pratique, super  Bien le professionnalisme de la personne au téléphone lui m'a conseillé très bien, merci </t>
  </si>
  <si>
    <t>19/04/2021</t>
  </si>
  <si>
    <t>dr-75901</t>
  </si>
  <si>
    <t>Hot line totalement pourrie et de mauvaise foi destinee a faire abandonner les demandes
Delai moyen de prise en chargeau telephone  hot line : de l'odre d'un quart d'heure</t>
  </si>
  <si>
    <t>Mercer</t>
  </si>
  <si>
    <t>14/05/2019</t>
  </si>
  <si>
    <t>01/05/2019</t>
  </si>
  <si>
    <t>assure4-57404</t>
  </si>
  <si>
    <t>Depuis 35 de pratique moto et environ 15 motos différentes, c'est la pire assurance moto que j'ai connu.
Suite à un vol de ma BMW F800 R dans un parking privé,  elle avait un an, environ 1500 Km, équipée de toutes les options BMW possibles, AMV m'a proposé une aumône pour le remboursement au bout de 3 mois, car Monsieur AMV, bien qu'assuré en tout risques, ne prend pas en compte les options constructeurs BMW, pratique une décote monstrueuse sur une moto sortant de révision, avec 1 500 km au compteur, agée d'un an et toutes options BMW.
Très vite les interlocuteurs devant mon étonnement se sont montrés extrêmement désagréables ou injoignables, et d'une lenteur à réagir sans précédent, une question de ma part, éventuellement une réponse une semaine après.
J'avais déja fait appel à AMV il y a une dizaine d'année pour une 600 FAZER, à l'époque j'était très satisfait, mais les temps ont changés.
Ne vous faites pas avoir par leur matraquage publicitaire et allez voir ailleur</t>
  </si>
  <si>
    <t>17/09/2017</t>
  </si>
  <si>
    <t>01/09/2017</t>
  </si>
  <si>
    <t>dimitri-139177</t>
  </si>
  <si>
    <t>Je pense que c'est un assureur convenable, je ne peux vous le préciser, car je n'ai jamais eu d'accidents.
En ce qui concerne le tarif, c'est intéressant à la souscription, par la suite le tarif est similaire aux autres assureurs la seconde année. Certains assureurs ont émis une remise due au confinement de 2020, DA ne s'est pas associé.</t>
  </si>
  <si>
    <t>08/11/2021</t>
  </si>
  <si>
    <t>01/11/2021</t>
  </si>
  <si>
    <t>andre-87194</t>
  </si>
  <si>
    <t xml:space="preserve">Service client assez compétent , TRES BONS CONSEILS, TOUT EST CLAIR Adhérant  depuis 2013 je suis tres satisfait </t>
  </si>
  <si>
    <t>Cegema Assurances</t>
  </si>
  <si>
    <t>15/02/2020</t>
  </si>
  <si>
    <t>lafouine-86040</t>
  </si>
  <si>
    <t>Merçi à GWENDAL pour les informations qu'il m'a transmis, très aimable et ne cherchant pas à nous influencer</t>
  </si>
  <si>
    <t>Néoliane Santé</t>
  </si>
  <si>
    <t>17/01/2020</t>
  </si>
  <si>
    <t>paceph-50133</t>
  </si>
  <si>
    <t>augmentation de la primes de 10% en 1 année sans sinistre.
Impossible de joindre le service client pour renégocier le tarif.</t>
  </si>
  <si>
    <t>10/12/2016</t>
  </si>
  <si>
    <t>01/12/2016</t>
  </si>
  <si>
    <t>cam-linh-h-107618</t>
  </si>
  <si>
    <t>J'aurai espéré avoir un geste commercial plus important sachant qu'on est chez Direct Assurance depuis 10 ans., avec 3 contrats habitation et voiture.</t>
  </si>
  <si>
    <t>23/03/2021</t>
  </si>
  <si>
    <t>krimson2478-102737</t>
  </si>
  <si>
    <t xml:space="preserve">Vaugirard est complet et bien géré cote organisation. J ai la chance d avoir une généraliste que j ai mis comme médecin traitant et une cardiologue hyper performante et sympa le parking est super en plein Paris.. côté dentaire c est plus moyen mais il ont un correspondant dans le 13eme parfait.. </t>
  </si>
  <si>
    <t>15/01/2021</t>
  </si>
  <si>
    <t>01/01/2021</t>
  </si>
  <si>
    <t>arezki-m-126094</t>
  </si>
  <si>
    <t>Super assurance et pas chère en plus. J’ai bien aimé, c’était facile et rapide. Je l’ai fait sur mon tel qui avait 5% de batterie c’était rapide. Merci beaucoup</t>
  </si>
  <si>
    <t>02/08/2021</t>
  </si>
  <si>
    <t>dalmaso-c-129879</t>
  </si>
  <si>
    <t>Satisfait du service un bon accueil réglé rapidement avec hôtesse d accueil charmante je parainerai sûrement d autre personne un bon rapport qualité prix.</t>
  </si>
  <si>
    <t>28/08/2021</t>
  </si>
  <si>
    <t>goncalves-m-139534</t>
  </si>
  <si>
    <t>Je suis satisfait du service 
simple et rapide
Les prix sont correct et le service SAV a su me guider pour finaliser mon contrat
Je recommande vivement votre assurance</t>
  </si>
  <si>
    <t>13/11/2021</t>
  </si>
  <si>
    <t>marie-69126</t>
  </si>
  <si>
    <t xml:space="preserve">Important Dégâts des eaux  mars 2017  /  expertise  et contre expertise en ma Faveur  ! toujours pas remboursée !ça va faire 2 ans ! ça part au TGI  le 12/18 , auparavant , j'ai contacté leurs service juridique auquel j'avais souscrit un contrat depuis longtemps , ils me donnent Raison , mais on un peu le fu entre 2 chaises : et oui c'est le même groupe ( erreur de ma part )  PACIFICA  à Fuir absolument ! </t>
  </si>
  <si>
    <t>04/12/2018</t>
  </si>
  <si>
    <t>theo-m-129858</t>
  </si>
  <si>
    <t xml:space="preserve">Je suis satisfait du devis et de la rapidité de l’exécution de mon contrat d’assurance. 
Tarif compétitif idéal pour jeune conducteur et qui souhaite trouver une assurance pas trop chère. 
Cordialement </t>
  </si>
  <si>
    <t>27/08/2021</t>
  </si>
  <si>
    <t>ferrandi83170-106755</t>
  </si>
  <si>
    <t>zéros ,nul trois semaines qui me ballade pour me remboursé le trop perçus après résiliations et a ce jours toujours rien ,a fuir. quand vous les appelés vous tomber sur une plate forme ou ils vous répondes toujours les mêmes réponses.</t>
  </si>
  <si>
    <t>18/03/2021</t>
  </si>
  <si>
    <t>rioult-a-113592</t>
  </si>
  <si>
    <t xml:space="preserve">, quand on appel les conseillers sont très réactif. Les prix sont très attractif par rapport à mon ancienne assurance. Malheureusement j ai déjà eu un sinistré avec une autre voiture et les conseillers a était très réactif pour les démarche 
</t>
  </si>
  <si>
    <t>13/05/2021</t>
  </si>
  <si>
    <t>dahbi-91609</t>
  </si>
  <si>
    <t>je suis satisfait du service et le prix et un peux chers pour un client deja assurer chez vous  mais bon cest simple et pratique je souhaite que vous faites un geste commerciale</t>
  </si>
  <si>
    <t>20/06/2020</t>
  </si>
  <si>
    <t>novaisb-59066</t>
  </si>
  <si>
    <t xml:space="preserve">Assuré depuis 20 ans par cette compagnie, me voila à nouveau confronté à un sérieux problème de communication avec le service client ! Pour info j'ai déjà mis un fin à mon contrat d'assurance habitation tout simplement à cause de l'incompétence avérée et reconnue des conseillers de clientèle, qui ne prennent absolument pas la peine d'écouter mais juste de réciter un script qu'ils ont appris par cœur ! Bien que n'étant plus assuré pour mon habitation, j'ai tout de même souhaité conserver mon assurance auto. En effet je n'avait jusque là aucune raison d'en changer puisque tout roule. Cela dit je n'ai jamais eu à déclarer aucun sinistre en 20 ans, c'est autant de bénéfice pour eux ! Je reste fidèle même si chaque année ma cotisation augmente et qu'il ne manquent pas de propositions chez la concurrence. Aujourd’hui ce qui fait l'objet de mon mécontentement c'est juste la mauvaise volonté dont fait part le service client. J'ai égarée la carte grise de mon véhicule assuré, et vu les nouvelles dispositions administratives, toutes démarches doit se faire via le site de l'ANTS car les guichets des préfectures sont désormais fermés. Cependant , comme tout le monde sait , hormis les service client de DIRECT ASSURANCE apparemment, le site fonctionne très mal et il est impossible d’accéder aux dossiers administratifs dans de nombreux cas. Je me suis donc renseigné auprès des service de police qui m'ont conseillé de faire appel à ma compagnie d'assurance qui possède forcement un copie de ma carte grise et qui devrait pouvoir m'en fournir un exemplaire. Seulement voilà, même aussi simple que ça et avec toutes les explications possibles, le service client ne me répond même pas....ou alors juste pour me demander de les contacter par téléphone pour leur donner des explications !!!! On marche sur la tête, car les explications sont déjà données clairement et en plus via le site sécurisé de mon compte d'assuré (donc il ne peut même pas s'agir d'un souci d’identification). Bref, je réitère ma demande par mail et en réponse à ce mail qui me demande d'appeler et bien sûr, à présent c'est silence radio, on ne prend même plus la peine de me répondre....C'est pourtant pas compliqué d'accéder à un dossier client et de lui transmettre aimablement une copie de document non ??? il faut croire que oui et qu'une fois de plus tout est fait pour pousser le client à résilier son contrat. Donc voila pourquoi je déconseille fortement cette compagnie, qui se montre totalement méprisante et incompétente juste pour transmettre un simple document....j'imagine même pas ce que ça donnerai s'il s'agissait d'un sinistre !!! Pour moi une compagnie d'assurance se doit d'être présente et disposée à rendre un service au clients, qu'il s'agisse d'un sinistre ou de tout autre service dans le domaine de ses compétences....mais bon les mots compétence et service semblent leur être devenus de lointains souvenirs !!!    </t>
  </si>
  <si>
    <t>12/12/2017</t>
  </si>
  <si>
    <t>01/12/2017</t>
  </si>
  <si>
    <t>ced-80442</t>
  </si>
  <si>
    <t xml:space="preserve">Un sinistre responsable sur un de mes véhicules en 7ans et il me résilié le contrat du véhicule en question j ai encore une voiture à 0.50 plus 2 et la moto a 0.50 plus 1 ainsi que la maison ben je pars ailleurs avec tous mes contrats ils croient quoi que je vais assuré ma voiture sinistré ailleurs et gardé mes contrats sans sinistres chez eux pfuu c est comme ça qu on se casse la gueule à long terme. </t>
  </si>
  <si>
    <t>26/10/2019</t>
  </si>
  <si>
    <t>01/10/2019</t>
  </si>
  <si>
    <t>william-p-123086</t>
  </si>
  <si>
    <t>bonjour client depuis tres longtemps et tres satisfait assurez depuis la 125 a l'age de 17ans et aujourd'hui 49 ans avec un 883 meme pour joindre au telephone c'est facile merci a l'equipe d'AMV</t>
  </si>
  <si>
    <t>11/07/2021</t>
  </si>
  <si>
    <t>01/07/2021</t>
  </si>
  <si>
    <t>assure-102262</t>
  </si>
  <si>
    <t>Très gros problèmes  dans cette mutuelle : pertes répétées des demandes de remboursements, des professionnels de santé qui vous accueillent en faisant la tête ou des commentaires désagréables quand ils voient que vous êtes à la MGEN. J'en ai eu marre et je suis désormais à le MAGE avec leur prévoyance. Les remboursements se font tjs en 48 h et je paie moins avec une bien meilleure couverture santé. Je regrette de ne pas être parti avant !</t>
  </si>
  <si>
    <t>06/01/2021</t>
  </si>
  <si>
    <t>regis003-108418</t>
  </si>
  <si>
    <t>Proposition d’assurance, adaptée à un véhicule particulier, faite par des professionnels  à l’écoute et très attentifs à mes demandes particulières. Merci</t>
  </si>
  <si>
    <t>Matmut</t>
  </si>
  <si>
    <t>29/03/2021</t>
  </si>
  <si>
    <t>nanou-56-58909</t>
  </si>
  <si>
    <t>Comme vous tous je rejoint le club des assurés abandonnés, trahis par CARDIF!!! En 2014 le verdict tombe : je suis en invalidité après de long mois d’arrêt maladie ... je me dis alors qu’elle chance d’avoir souscris une assurance emprunteur ! Et la.... je ne compte plus les heures et les recommandés à plusieurs reprises afin d’obtenir mes versements ! Et ce plusieurs fois par an . Depuis un an je suis en litige car ils ont voulu m expertiser , je ne suis pas contre bien au contraire , mais enceinte de 7 mois ils ont voulu m envoyer à 250km de chez mois alors que j habite la 6eme ville de France ! 1 mois après mon accouchement je me rend chez un médecin soit disant expert ... mon œil un bureaucrate payé gracieusement par l assurance qui n y connaît rien à ma pathologie et qui se permet de conclure sur un taux d invalidite inférieur à 5%. Comme vous, j’ai donc reçu le fameux courrier m’indiquant que cardif stoppait les versements. Alors que la mdph et la sécu me reconnaissent a + de 66% , en catégorie 2 , CARDIF n’en tient pas compte et se fie uniquement à ce soit disant expert!!! Quelle est sa compétence pour définir un taux d invalidité ??? Aucune ! Mon spécialiste qui me suis et qui est LE référent français de ma pathologie me rédige un rapport sur mon état de santé en guise de contre expertise . Du coup CARDIF demande un arbitrage avec un expert de LEUR choix et a 50% à mes frais  bien sûr !!! Pourquoi ? « Les 2 rapports sont diamétralement opposés » oh deconne ? Et t as mis 2 mois à répondre pour ça ? Je refuse et vais tout faire pour imposer un médecin de MON choix qui connaît ma pathologie : son enfer et son quotidien les incidences sur mon couple et ma famille, la lourdeur de mon traitement, ne peux plus exercer le métier pour lequel j ai fais 5 ans d études et que mes parents ont payé 20000€ ...
Je n en peux plus...</t>
  </si>
  <si>
    <t>30/11/2017</t>
  </si>
  <si>
    <t>01/11/2017</t>
  </si>
  <si>
    <t>madi-s-117791</t>
  </si>
  <si>
    <t>Je suis très satisfait le prix est convenable et le service est simple et efficace je la recommande à tous mes proches merci à toute l'équipe l'olivier assurance.</t>
  </si>
  <si>
    <t>21/06/2021</t>
  </si>
  <si>
    <t>rj29200-106370</t>
  </si>
  <si>
    <t>Bonjour,
J'ai changé de mutuelle au 01/01/2021. Je n'ai pas à m'en plaindre pour le moment. Après transmission des fiches de remboursement par la caisse d'assurance maladie, je suis remboursé sous 48h. Parfait pour le moment! Pourvu que ça dure</t>
  </si>
  <si>
    <t>12/03/2021</t>
  </si>
  <si>
    <t>cassier-p-135984</t>
  </si>
  <si>
    <t>Votre prix est different entre le devis en ligne et votre devis définitif que vous m'avez annoncé au téléphone. Devis en ligne: 242, finalement: 258,28€ - Pas très commercial de votre part d'autant que je possède un autre véhicule chez vous.</t>
  </si>
  <si>
    <t>05/10/2021</t>
  </si>
  <si>
    <t>01/10/2021</t>
  </si>
  <si>
    <t>jean-michel-j-138162</t>
  </si>
  <si>
    <t>Assurance fiable et réactive. Devis au plus juste. Echanges fluide et devis envoyé rapidement. Parfait je recommande pour tous y compris les jeunes motards</t>
  </si>
  <si>
    <t>24/10/2021</t>
  </si>
  <si>
    <t>jerem-57275</t>
  </si>
  <si>
    <t>Assurance avec un bon rapport qualité/prix.</t>
  </si>
  <si>
    <t>09/01/2020</t>
  </si>
  <si>
    <t>nicolas-c-126477</t>
  </si>
  <si>
    <t>A voir dans le temps,  si je suis satisfait. mais le site est facile d'utilisation et efficace pour les devis. les tarif sont abordable, il faut bien faire attention à tout.</t>
  </si>
  <si>
    <t>04/08/2021</t>
  </si>
  <si>
    <t>sellos-a-138990</t>
  </si>
  <si>
    <t xml:space="preserve">Content du rapport qualité prix, de la facilité de souscription et de la rapidité d'envoi des documents. Je n'ai evidemment pas encore pu tester les différents services et options (dépannage etc). </t>
  </si>
  <si>
    <t>05/11/2021</t>
  </si>
  <si>
    <t>dario-100699</t>
  </si>
  <si>
    <t>Depuis la fusion avec Allsecur,c'est lamentable ,ils sont injoignable par téléphone vous leurs envoyez  des mails soit ils ne répondent pas ou à coté,j'attend de leurs part un relevé d'information depuis une semaine et d'autre information concernant mes contrats ,que neni pas de réponse.
Fuyez..</t>
  </si>
  <si>
    <t>Allianz</t>
  </si>
  <si>
    <t>27/11/2020</t>
  </si>
  <si>
    <t>philfrt-97427</t>
  </si>
  <si>
    <t xml:space="preserve">Bonjour j'ai vendu mon véhicule sans en acheter un autre fin juin 2020 depuis malgrés les appels téléphonique j'attends toujours mon remboursement cela fait 3 mois!!!! ils m'ont envoyé un chèque alors que je leur avais signalé dans ma lettre de résiliation que je n'étais plus en france il a fallu que fasse une lettre de désistement pour le chèque et que je leur envoi pour la 3eme fois mon rib au bout d'un mois je rappelle le service client et il m'annonce qu'il m'ont remboursé depuis le 21 juillet 2020 et je n'ai rien reçu. après plusieurs appels ils m'apprennent qu'il ont fait une erreur de compte et que je dois attendre que la personne les rembourse pour que je puisse toucher mon argent - au jourd'hui ils m'ont fait encore la même réponse donc je fais ce que je leur ai primis c'est à dire d'avertir les clients et les futurs de leur agissement - dès demain je saisi le procureur de la république pour qu'ils paient et je souhaite que la justice nous protègera </t>
  </si>
  <si>
    <t>15/09/2020</t>
  </si>
  <si>
    <t>01/09/2020</t>
  </si>
  <si>
    <t>choupie-72082</t>
  </si>
  <si>
    <t>En arret de travail depuis le 14 mai 2018 , toujours aucun règlement d indemnités, inadmissible!!! J appelle toutes les semaines pour connaître l avancement de mon dossier... on me répond qu il est en cours de traitement... ça fait 10 mois que j attends... il y a un gros soucis dans cette assurance... je ne recommande pas du tout de prendre un contrat chez eux!!! Il ne les respecte pas et se foute royalement si les clients ont besoin de leur argent...</t>
  </si>
  <si>
    <t>Gan</t>
  </si>
  <si>
    <t>prevoyance</t>
  </si>
  <si>
    <t>12/03/2019</t>
  </si>
  <si>
    <t>01/03/2019</t>
  </si>
  <si>
    <t>frederic-c-105399</t>
  </si>
  <si>
    <t>Les services et les tarifs sont satisfaisant pour des assurances simples, il faudrait pouvoir personnaliser un peu plus les offres. Mais je recommande Direct Assurance à mon entourage.</t>
  </si>
  <si>
    <t>04/03/2021</t>
  </si>
  <si>
    <t>marchais-m-127115</t>
  </si>
  <si>
    <t>En tant que jeune conducteur je n'ai trouver aucune assurance me proposant un prix aussi bas ...
Je suis pour le moment très satisfait, les personnes avec qui j'ai pu parler au téléphone ont étaient très professionnelle.
je recommande</t>
  </si>
  <si>
    <t>08/08/2021</t>
  </si>
  <si>
    <t>mathisdel33-15951</t>
  </si>
  <si>
    <t xml:space="preserve">très bon rapport qualité prix et pas d'indexation pour 2021, j'ai reçu un courrier pour nous annoncer que nous n'aurons pas d'indexation, c'est une très bonne nouvelle...
</t>
  </si>
  <si>
    <t>31/07/2020</t>
  </si>
  <si>
    <t>loucca0-116525</t>
  </si>
  <si>
    <t>Mon expérience avec cet assureur me laisse très amer.
J'appelle pour assurer un véhicule de société. Le télé-conseiller que j'ai au téléphone m'affirme que c'est possible. Quand je rappelle dans la journée pour demander une facture au nom de ma sociéité, on m'apprend l'inverse. Je me déplace à la poste le jour même et paye un RAR pour résilier. On me rembourse non seulement après le délai légal (et j'ai dû relancer !) mais en plus pas l'intégralité de la somme.</t>
  </si>
  <si>
    <t>09/06/2021</t>
  </si>
  <si>
    <t>rapicault-70301</t>
  </si>
  <si>
    <t>J'ai contacté l'Olivier à la suite d'une résiliation de mon contrat par mon assureur précédent, la BPO assurances (motif : 3 sinistres responsables en 2 ans, alors que j'étais client de cet assureur depuis plus de 20 ans sans aucun sinistre responsable). C'est le site Les Furets.com qui m'a indiqué cet assureur pour ses tarifs raisonnables. Au premier contact (par Internet), j'ai été agréablement surpris par l'impartialité et le sérieux de cet assureur, ce qui m'a incité à conclure le contrat.</t>
  </si>
  <si>
    <t>17/01/2019</t>
  </si>
  <si>
    <t>01/01/2019</t>
  </si>
  <si>
    <t>petrus--97564</t>
  </si>
  <si>
    <t>Cette compagnie d’assurance a une façon d’interpréter les contrats  en sa faveur ! Assurée depuis plusieurs années chez SANTEVET je déconseille fortement de s’assurer chez eux, aucune discussion possible et mauvaise volonté pour faire la distinction entre un accident et une pathologie congénitale qui leur permet de ne pas indemniser leur client !</t>
  </si>
  <si>
    <t>SantéVet</t>
  </si>
  <si>
    <t>18/09/2020</t>
  </si>
  <si>
    <t>christine-36-53385</t>
  </si>
  <si>
    <t>bonjour je voudrais juste un renseignement, combien de temps faut il a ALLIANZ pour rembourser un véhicule suite au vol et retrouver bruler assure tout risque car la j'ai trouvé une voiture et il me faudrait l'argent de l'indemnisation au plus vite car je ne peux pas refaire de crédit merci</t>
  </si>
  <si>
    <t>19/03/2017</t>
  </si>
  <si>
    <t>albon-115915</t>
  </si>
  <si>
    <t>La fonctionnalité qui empèche de copier/coller un mot de passe est très enervante puisqu'elle incite à créer des mots de passe faible au lieu de permettre une génération avec un gestionnaire de mot de passe. C'est dommage parce que l'espace abonné contient des données personnelles qui méritent des mots de passes impossibles à deviner. 
Sinon pour ce qui est de la partie mutuelle, je suis très satisfait, j'ai toujours eu des interlocuteurs réactifs et à l'écoute, et je n'ai jamais eu à négocier pour ce qui est partie de mes droits. Le changement de mot de passe mis à part, je suis très satisfait.</t>
  </si>
  <si>
    <t>Génération</t>
  </si>
  <si>
    <t>04/06/2021</t>
  </si>
  <si>
    <t>melvil-99830</t>
  </si>
  <si>
    <t xml:space="preserve">Bonjour,
Malgré la conduite accompagnée suivie par ma fille, après 2 ans de permis sans accident, je trouve la surprime excessive quand elle conduit seule le véhicule à titre principal.
Si la Macif peut me trouver une solution, je suis un fidèle adhérent depuis plus de 20 ans.
Cordialement.
François
</t>
  </si>
  <si>
    <t>07/11/2020</t>
  </si>
  <si>
    <t>inyouraceny9o-76352</t>
  </si>
  <si>
    <t xml:space="preserve">tres bonne assurance plusieurs problème panne accrochage et aucun soucis  je valide cette assurance je suis chez eux depuis plus de 15 ansles tarif sont plutôt bon et au moins on voit notre conseiller </t>
  </si>
  <si>
    <t>GMF</t>
  </si>
  <si>
    <t>30/05/2019</t>
  </si>
  <si>
    <t>petart-96988</t>
  </si>
  <si>
    <t>PETAR Tica Actuellement satisfait d'un service et d'une assistance rapides et de qualité. Je ne changerais ni n'ajouterais rien pour le moment. Je vous souhaite un bon reste de la journée</t>
  </si>
  <si>
    <t>03/09/2020</t>
  </si>
  <si>
    <t>lili-80579</t>
  </si>
  <si>
    <t xml:space="preserve">suite a mon problème de connexion a mon espace client je confirme que l'accueil et les explications données par Mr Daouda mon étaient très efficaces ainsi que l'amabilité de Mr Daouda </t>
  </si>
  <si>
    <t>07/10/2021</t>
  </si>
  <si>
    <t>coco-61531</t>
  </si>
  <si>
    <t>je fait pas plus 1 fois par an chez le médecin me soigne par les plantes donc je coûte 1 paire de lunette par an à la mutuelle et mon fils leurs coût 0 et pourtant je paie très cher</t>
  </si>
  <si>
    <t>18/02/2018</t>
  </si>
  <si>
    <t>nacer-86200</t>
  </si>
  <si>
    <t>Un tres gros souci avec la maif.J'ai eu un sinistre constaté par expert et la gestionnaire refuse de m'indemniser. Pourtant su le chiffrage de l'expert il est bien specifié qu'elle dois m'indemnisé.</t>
  </si>
  <si>
    <t>MAIF</t>
  </si>
  <si>
    <t>22/01/2020</t>
  </si>
  <si>
    <t>edmee-62273</t>
  </si>
  <si>
    <t>Aucune rigueur, ne repond pas aux mails, aucune aide lors des difficultés de connexion, n'envoie pas les cartes mutuelles à temps, se trompe de compte pour les virements, pas serieux du tout!</t>
  </si>
  <si>
    <t>Harmonie Mutuelle</t>
  </si>
  <si>
    <t>13/03/2018</t>
  </si>
  <si>
    <t>01/03/2018</t>
  </si>
  <si>
    <t>andre-p-109522</t>
  </si>
  <si>
    <t>Le suivi et la prise en charge des sinistres sont très insatisfaisants., que ce soit au niveau des échanges par téléphone et par courrier comme au niveau de l'évaluation des responsabilités et de l'imputation d'une franchise.</t>
  </si>
  <si>
    <t>07/04/2021</t>
  </si>
  <si>
    <t>kokulanath-t-122161</t>
  </si>
  <si>
    <t xml:space="preserve">Je suis satisfait du service et du prix pour le scooter.
C’est parfait très simple d’utilisation et bien expliqué.
Merci à vous 
Cordialement 
Thiyagarasa Kokulanath </t>
  </si>
  <si>
    <t>02/07/2021</t>
  </si>
  <si>
    <t>youssef--128260</t>
  </si>
  <si>
    <t>Apres un sinistre non responsable, ils résilient mon contrat, en plus ils augmentent les les prix sans motif sans sinistre ,a fuir,afuir afuir.
Bonne courage</t>
  </si>
  <si>
    <t>17/08/2021</t>
  </si>
  <si>
    <t>mamadou-k-112278</t>
  </si>
  <si>
    <t xml:space="preserve">je suis satisfait des services ;bris glace; vol; assistance en france en europe en cas de panne.
la carte GMF personnalisée nous rassure d'avantage.
les prix me conviennent
</t>
  </si>
  <si>
    <t>isa-99789</t>
  </si>
  <si>
    <t xml:space="preserve">Ont profité de la faiblesse de mon époux pour lui extorquer son numéro de compte bancaire par téléphone... prélèvement dans la foulée sans aucun contrat signé !!!! c'est légal ça ? Evidemment, stoppé net les prélèvements auprès de notre banque ! 
</t>
  </si>
  <si>
    <t>nanou-121228</t>
  </si>
  <si>
    <t>widad a totalement répondu à mes questions et m'a expliqué les démarches nécessaires à faire.
Personne très aimable et polie, encore merci pour tout bon courage</t>
  </si>
  <si>
    <t>djemy25-68129</t>
  </si>
  <si>
    <t>Un catastrophe ! Après plusieurs années d'adhésion à différents contrat chez cet assureur, deux soucis mineurs les ont conduit a résilier mon assurance habitation et n'ont pas indemnisé le second sinistre. A l'adhésion c'est le meilleur des mondes, mais ne vous attendez pas à une assistance et une aide si vous avez des degats. Promesses non tenues et irejet du client sans menagements. Pourquoi prend-on une assurance si ce n'ets pas pour être couvert en cas d'incidents et aléas de la vie ! A DECONSEILLER !!!!!</t>
  </si>
  <si>
    <t>27/10/2018</t>
  </si>
  <si>
    <t>camillerob-103877</t>
  </si>
  <si>
    <t xml:space="preserve">A FUIR A TOUT PRIX !!! Une catastrophe ! Jamais vu un service pareil !! Cela fait des mois que je leur cours après dans le cadre d'une succession. Et c'est problème sur problème : pas les bonnes références du contrat (indiquées par eux-mêmes soit dit en passant), non réponse aux courriers, renvois vers d'autres services tout aussi dépassés... Pour au final m'entendre dire que le contrat n'apparaît pas à l'écran, comme s'il n'avait jamais existé !!! Alors que c'est eux-mêmes qui ont écrit à ma notaire pour l'informer de l'existence de ce contrat (titres de capitalisation) !!
</t>
  </si>
  <si>
    <t>CNP Assurances</t>
  </si>
  <si>
    <t>09/02/2021</t>
  </si>
  <si>
    <t>bibi-59298</t>
  </si>
  <si>
    <t xml:space="preserve">J AI ETEE DEMARCHE PAR TELEPHONE UN PEU SURPRISE LA COURTIERE SAVAIT LE NOM DE MON ASSURANCE  JE LUI AI DIS QUE JE VOULAIS LIRE MON CONTRAT AVANT DE SIGNEE OK MAIS AU LIEU DE LE RECEVOIR DANS LES 14JS IL A ETAIT ENVOYE PLUS D1MOIS ET DEMIE APRES  JE DOIS ME FAIRE OPEREE JE NAI PAS DE BON REMBOURSEMENT EN PLUS ON NE CHOISIS PAS JAI ENVOYE DEUX RECOMMANDES POUR ME RADIER  JE VAIS APPELLER LA DDPP </t>
  </si>
  <si>
    <t>benjamin-s-115163</t>
  </si>
  <si>
    <t>J'aimerai faire un déménagement nous alons voir si cela fonctionne bien. N'ayant j'amais eu de problème dans mon ancien appartement ej ne sais pas si le fonctionnement est efficace.</t>
  </si>
  <si>
    <t>28/05/2021</t>
  </si>
  <si>
    <t>manon-b-128706</t>
  </si>
  <si>
    <t>Pratique, Rapide et éfficace, Je suis satisfait.
J'ai hate de faire de la moto et d'en profiter sereinement grace à ma nouvelle assurance. Gardons de bon raports.</t>
  </si>
  <si>
    <t>19/08/2021</t>
  </si>
  <si>
    <t>tyaa-98386</t>
  </si>
  <si>
    <t>A mon sens très cher comparativement aux autre assurance pour les mêmes données mais l'agence n'y est pour rien .
une équipe a l’écoute et réactive .</t>
  </si>
  <si>
    <t>06/10/2020</t>
  </si>
  <si>
    <t>didier-131875</t>
  </si>
  <si>
    <t xml:space="preserve">Fuyez Neoliane mutuelle santé...les conditions générales ne sont pas précises. Je pensais comme beaucoup d'autres mutuelles recevoir un montant forfaitaire sur l hébergement de ma cure thermale hélas rien ne ma été versée.Ils mettent en avant des textes ambiguës dans leur condition.Les tarifs sont donc trop élevés par rapport aux services proposés je vais donc chercher une mutuelle plus sérieuse. </t>
  </si>
  <si>
    <t>f-longuet-117616</t>
  </si>
  <si>
    <t xml:space="preserve">Tres souvent des problèmes dans les remboursements en direct vers l’assuré 
Pour certains jamais réglés complètement 
Jamais d’explications données 
Malgré des relances multiples et variées ( mail , courrier, courtier)
On ne peut contacter personne 
2 fois chez Cegema =2 fois pas satisfait 
Deuxième fois lors du Covid, je peux comprendre, mais un litige début 2019 tjr pas réglé 
Je ne sais pas si c’est :
De la négligence involontaire 
Ou de la négligence organisée pour ne pas répondre totalement aux garanties du contrat 
</t>
  </si>
  <si>
    <t>19/06/2021</t>
  </si>
  <si>
    <t>kika-64580</t>
  </si>
  <si>
    <t>satisfaite des nouvelles conditions.................................</t>
  </si>
  <si>
    <t>07/06/2018</t>
  </si>
  <si>
    <t>lp-89752</t>
  </si>
  <si>
    <t>Ristourne auto suite confinement</t>
  </si>
  <si>
    <t>19/05/2020</t>
  </si>
  <si>
    <t>andre69-66847</t>
  </si>
  <si>
    <t>A éviter absolument dans tous les sens du terme.
Envoi de mail sans aucune réponse de leur part.
Service téléphonique injoignable. J'ai voulu résilier (lettre recommandée )mon assurance habitation, cela a mis 2 mois et il continuait à me prélever... Ils me disent que c'est normal pour unique but de vous garder. Manque de professionnalisme</t>
  </si>
  <si>
    <t>16/09/2018</t>
  </si>
  <si>
    <t>domi-66063</t>
  </si>
  <si>
    <t xml:space="preserve">A fuir, j'ai parlé à deux personnes sur la plate forme, lesquelles furent incapables de répondre à mes questions dont l'une fut méprisante 
tout ce qu'ils recherchent : des pigeons </t>
  </si>
  <si>
    <t>08/08/2018</t>
  </si>
  <si>
    <t>01/08/2018</t>
  </si>
  <si>
    <t>sainsiline-m-117525</t>
  </si>
  <si>
    <t>Je viens d’y souscrire et même au téléphone, la dame était adorable donc pas déçu. Au niveau des prix c’est vraiment très abordable mais aussi très détailler.</t>
  </si>
  <si>
    <t>18/06/2021</t>
  </si>
  <si>
    <t>philippe-l-130471</t>
  </si>
  <si>
    <t xml:space="preserve">RAS. rapide et facile sur internet. Pour l'instant satisfait. Les tarifs bien que les moins chers sont toujours trop chers. L'offre Multidays est intéressante. </t>
  </si>
  <si>
    <t>31/08/2021</t>
  </si>
  <si>
    <t>peponne-100448</t>
  </si>
  <si>
    <t>Je ne suis pas content,la premiere année on nous donne200 euros de remise pour nous apaté, ensuite on nous remets ces 200 euros c'est honteux ,alors qu'avec le confinement on pas eu le droit de se deplacer comme on le voulait je change des que je le peux</t>
  </si>
  <si>
    <t>22/11/2020</t>
  </si>
  <si>
    <t>jimmy-j-115176</t>
  </si>
  <si>
    <t>Satisfait du prix et content des prestations offertes. J’attends de voir les réponses apportées lorsque j’en aurais besoin. Mais pour l’instant, rapport qualité prix top</t>
  </si>
  <si>
    <t>lizouille-77782</t>
  </si>
  <si>
    <t>En arrêt de travail depuis 3 mois... swisslife traîner pour me donner une réponse sur ma prise en charge ! Résultat pas de prise en charge et annulation de mon contract car j'ai oublié de noter un atcd qui n'a rien à voir avec mon arrêt et qui n'est rien ! 
Fuyez !! Fuyez !! On pense prendre une prévoyance au cas où mais elle ne sert à rien !! Ils trouvent toujours la petite bête pour pas vous prendre en charge ! Vivement les assurances !</t>
  </si>
  <si>
    <t>SwissLife</t>
  </si>
  <si>
    <t>20/07/2019</t>
  </si>
  <si>
    <t>01/07/2019</t>
  </si>
  <si>
    <t>paria-75441</t>
  </si>
  <si>
    <t>7 ans tous risques sans accident bonus -50 + 2016 remboursement aile abîmée cause borne béton, 2018 délit de fuite d'un motard qui abime ma portière, 2019 virée de l'assurance Cliente à risque ,paria, circulez !!!!!</t>
  </si>
  <si>
    <t>27/04/2019</t>
  </si>
  <si>
    <t>01/04/2019</t>
  </si>
  <si>
    <t>ophelie-s-130076</t>
  </si>
  <si>
    <t>A voir avec le temps le niveau de garantie en cas de litige dans le futur voir le service client la facilité de l'application et du site la relation client etc</t>
  </si>
  <si>
    <t>29/08/2021</t>
  </si>
  <si>
    <t>clement-d-129715</t>
  </si>
  <si>
    <t xml:space="preserve">Il faut attendre de voir le traitement du dossier avec ma banque mais pour le moment le service est au top. On demande notre avis qu'a la moitié du chemin. </t>
  </si>
  <si>
    <t>Zen'Up</t>
  </si>
  <si>
    <t>mo-137209</t>
  </si>
  <si>
    <t xml:space="preserve">Du travail bâclé même quand on est dans son droit !
Le service de protection juridique n'est absolument pas à la hauteur : sous-évaluation des dommages, incompétence et mauvaise foi,  car  même s'ils sont par ex. dans l'incapacité de se prononcer sur le fait qu'un mur est porteur ou non cela ne les empêche pas de faire des estimations bien en dessous du prix quant au préjudice subi. Il est alors impossible de trouver un maçon qui travaille à ce prix-là.
Et, de plus, le ton est profondément désagréable et comminatoire si vous commettez l'imprudence de contester.
Il est clair  qu'il vaut mieux changer d'assurance dès que c'est possible.
Je parle en connaissance de cause puisque j'y suis depuis plus de dix ans. Ils ont vraiment une drôle de façon de récompenser la fidélité.
</t>
  </si>
  <si>
    <t>12/10/2021</t>
  </si>
  <si>
    <t>al1-69632</t>
  </si>
  <si>
    <t>2 contrats souscrits abusivement par courtier au téléphone sur personne agée. Un est en cours de résilisation. L'autre est tjs en cours car Neoliane ne prend pas en compte la situation...</t>
  </si>
  <si>
    <t>22/12/2018</t>
  </si>
  <si>
    <t>cid--98201</t>
  </si>
  <si>
    <t xml:space="preserve">Assurance à éviter à tout prix zéro accidents pendants des années chez eux.
On a un ancien véhicule rafistoler à droite et à gauche mais passé au ct sans soucis.
Ma femme a accroché le pare-chocs avant.
Pris en charge du pare chocs mais pas le feu avant gauche soit disant que c'était antérieur.
Alors que le deux fonctionnait très bien avant.
D'après l'avis de l'expert amateur le problème du feu est antérieur je n'ai jamais vu un expert et une assurance de si mauvaise fois.
Seule à chose à faire c'est de bloquer le prélèvement tout comme ils ont bloqué mon dossier.
FUYEZ CETTE ASSURANCE </t>
  </si>
  <si>
    <t>damien-l-132873</t>
  </si>
  <si>
    <t xml:space="preserve">du mal a ce conecter sur l'application mais j'ai reussi a le faire via internet, j'espère etre content de cette assurance chaudement conseillé par mon petit frère vue les prix actractif comparer a axa </t>
  </si>
  <si>
    <t>15/09/2021</t>
  </si>
  <si>
    <t>coupat-51116</t>
  </si>
  <si>
    <t>attention!!!mettez un minimum en objets précieux
ma fille a été cambriolée
elle avait mis 0 sur le conseil de la maaf
aucun des petits bijoux à quelques dizaines d euro n est remboursé
bravo la maaf,,,,</t>
  </si>
  <si>
    <t>27/03/2019</t>
  </si>
  <si>
    <t>melo-57948</t>
  </si>
  <si>
    <t>Vraiment à fuir juste des menteurs ... Un courrier est soit disant partit depuis plus de deux semaines et me disent que c'est très long via la poste ..Il faut plusieurs semaine avec la Poste mais on vous a bien envoyé le courrier.... ????? Si ça c'est pas prendre les personnes pour des C ... je ne mis connais pas alors.</t>
  </si>
  <si>
    <t>10/10/2017</t>
  </si>
  <si>
    <t>dan-118009</t>
  </si>
  <si>
    <t xml:space="preserve">Service client rapide et efficace. Prix très compétitif, en espérant ne pas avoir besoin de vous dans les années à venir. :)                            </t>
  </si>
  <si>
    <t>23/06/2021</t>
  </si>
  <si>
    <t>ellede-64656</t>
  </si>
  <si>
    <t>Sociétaire depuis 30 ans ; voiture accidentée  le 19/05 ; (responsabilité non engagée) déclarée VGE donc non réparable et cédée à  la Maif. Ai béneficié d'une location de véhicule de 20j au bout desquels je ne suis toujours pas dédommagée. Pas de date précise prévue de dédommagement "on va le faire". Comment vais-je travailler à 70 km de mon domicile ???</t>
  </si>
  <si>
    <t>11/06/2018</t>
  </si>
  <si>
    <t>zito-72429</t>
  </si>
  <si>
    <t xml:space="preserve">Assuré depuis 22 ans au Crédit Mutuel, en Janvier j'ai déclaré un sinistre d'infiltration d'eau par ma toiture. Un expert a été retenu, mais il n'est jamais venu constater les dégats. malgré cela il a , mi-Mars, donné son avis à l'assureur qui s'est empressé de m'envoyer un courrier avec comme résultat:"la réparation de la toiture relève de l'entretien". De qui se moque t'on, nous payons une assurance et quand un  sinistre arrive , l'assureur se retranche derrière l'avis d'un expert qui n'a rien constaté et surtout qui manque de conscience professionnelle. Bravo, monsieur l'assureur vous n'avez de scrupules pour de pareilles méthodes Assurance à éviter </t>
  </si>
  <si>
    <t>24/03/2019</t>
  </si>
  <si>
    <t>denis35-85654</t>
  </si>
  <si>
    <t>Sociétaire depuis 2001 sans accident responsable  j ai eu un sinistre en juin 2016  Avant de prendre la fuite  un véhicule a arraché ma portière sur une place de stationnement  J ai déposé plainte et fournis la plaque du fuyard  Sans même prendre la version la version du fuyard  la Macif m a attribué tous les torts  Heureusement que j avais pris des photos qui prouvent qu au moment de l accident la portière ne dépassait pas sur la chaussée  La Macif est revenue sur sa décision et m a indemnisé à 50 %  Depuis 3 5 ans  je suis baladé et le dossier n est toujours pas clos  Ils me disent me recontacter et ne le font pas  Commercialement  cela est incompréhensible  la demande auprès de cette assurance porte sur un solde de 750 euros alors que j ai la totalité de mes contrats chez eux  Je pense à les quitter pour l ensemble des contrats  Je ne recommande pas cette assurance pour laquelle seuls les prélèvements se font sans difficulté  Après m être fait baladé aussi longtemps  je m interroge a expliquer davantage ma mésaventure sur le net</t>
  </si>
  <si>
    <t>08/01/2020</t>
  </si>
  <si>
    <t>dominique-l-105280</t>
  </si>
  <si>
    <t>pas de sinistre donc pas d'avis sur la réactivité ou le règlement.. Pour l'instant, prix intéressant, souscription rapide et à priori bonne réputation..</t>
  </si>
  <si>
    <t>03/03/2021</t>
  </si>
  <si>
    <t>jiad-a-116494</t>
  </si>
  <si>
    <t xml:space="preserve">Bonjour,
Très pratique et rapide de renseigner nous même nos informations.
J'ai eu des recommandations par des amis et je crois que j 'ai fais un bon choix surtout pour le prix.
Un bon début merci.
</t>
  </si>
  <si>
    <t>leaa-77020</t>
  </si>
  <si>
    <t>Un service client inexistant et irrespectueux des clients, du jamais vu. Malgré de nombreux appels au 09 70 80 90 70, des mails envoyés et également deux envois LRAR jamais eu de réponses. Pourtant la question est vraiment simple à résoudre. Mais comme cela concerne un remboursement, bizarrement les agents deviennent inhabiles. J'ai même eu des réponses des agents au téléphone qu'ils ne peuvent pas rien faire pour moi et c'est à moi de comprendre qu'ils ont fait ce qu'ils peuvent faire.Les agents me rassurent qu'il y aura des agents  qui prennent le contact avec moi rapidement, prochainement, dans la journée, tout de suite (j'ai eu toute la version) néanmoins, au bout de 3 mois, jamais eu d'appels. Donc définitivement, AXA ne veut pas avancer sur le remboursement malgré que cela est notre droit légitime!! Que dire plus sur cet assureur ?!</t>
  </si>
  <si>
    <t>22/06/2019</t>
  </si>
  <si>
    <t>chloe13-45991</t>
  </si>
  <si>
    <t>A fuir !!! Des pratiques à la limite de la légalité. Une éthique inexistante : Juste faire du chiffre en vendant des contrats. Ne se préoccupe pas du service à rendre au client (la cotisation est pourtant prélevée même si les prestations non remboursées...)</t>
  </si>
  <si>
    <t>22/11/2016</t>
  </si>
  <si>
    <t>boukadida-h-129011</t>
  </si>
  <si>
    <t>Bon rapport qualité prix avec une réaction rapide aux appels téléphoniques tout en simplifiant les procédures administratives avec un minimum de paperasse.</t>
  </si>
  <si>
    <t>22/08/2021</t>
  </si>
  <si>
    <t>gege62-81142</t>
  </si>
  <si>
    <t xml:space="preserve">Samedi 16/11 à 20 heures, j'ai contacté GMF ASSISTANCE pour l'ouverture de ma porte d'entrée. Ma porte de garage était bloquée et une clef était restée à l'intérieur sur la serrure de ma porte. Malgrè de multiples relances téléphoniques, l'assistance a été incapable de trouver un dépanneur. La raison évoquée : week-end et heure tardive. Le lendemain, dimanche 17 à 8 heures 15, le service m'a appelé pour me confirmer que le problème ne serait certainement pas résolu ce jour. </t>
  </si>
  <si>
    <t>19/11/2019</t>
  </si>
  <si>
    <t>01/11/2019</t>
  </si>
  <si>
    <t>gabriel-v-129278</t>
  </si>
  <si>
    <t xml:space="preserve">Satisfaction du devis qui m'a été proposé. J'ai souscrit à un nouveau contrat car la drive box de mon véhicule ne fonctionnait plus. Passage à un tarif intéressant. </t>
  </si>
  <si>
    <t>24/08/2021</t>
  </si>
  <si>
    <t>muriel-d-113048</t>
  </si>
  <si>
    <t xml:space="preserve">Je suis satisfaite du service donné, bonne écoute sur le site et bonne rédaction du devis moto
Conseillere à l'écoute !
Merci Johan zarc0#05 pour la pub ! </t>
  </si>
  <si>
    <t>07/05/2021</t>
  </si>
  <si>
    <t>busson-d-115144</t>
  </si>
  <si>
    <t>acceuil sympathique, bien conseillé,  geste commerciale, très bien juste dommage qu'il n'y ait pas un contrat à 0€ de franchise soit au début du contrat soit au bout de 2 ans sans incident ou accident.</t>
  </si>
  <si>
    <t>pfoucher-50250</t>
  </si>
  <si>
    <t>Enorme déception après 25 ans d'une relation très satisfaisante :
Nous avons un dégât des eaux ancien de 2 ans. Il y a un an, la MAIF nous donnait son feu vert pour réaliser les travaux après que nous ayons demandé l'intervention de leurs entrepreneurs partenaires.
Au moment de prendre rendez-vous avec l'entrepreneur fin août 2016 (nous avons attendu que les murs sèchent), l'entrepreneur nous signale être en désaccord avec la MAIF sur le montant de son devis de travaux : l'expert MAIF estime les travaux à 2200 euros, quand les entrepreneurs partenaires les estiment à 2900 euros.
Depuis cette date, nous itérons avec la MAIF qui nous dit ne plus pouvoir joindre son expert, ni leur expert régional (vers qui le dossier a été escaladé).
Nous avons fourni, entre temps, un descriptif détaillé à la MAIF, et avons fait réaliser un devis à un artisan tiers (espérant faire réaliser les travaux par nous-mêmes) : l'artisan nous en demande 4500 euros (sic) ; les travaux consistent à repeindre 95 m2, dont 15 m2 à réparer et enduire.
Je relance la MAIF quasiment toutes les semaines et obtiens toujours la même réponse gênée des conseiller : 'ha oui, effectivement, je comprends. Nous traitons au mieux votre dossier, mais nous n'arrivons malheureusement pas à joindre les experts'.
C'est une é-n-o-r-m-e déception. Je suis client MAIF depuis 25 ans. Mes parents le sont depuis 45 ans. Je n'avais jamais eu à me plaindre de la MAIF (au contraire).
Mais là, c'est l'indigestion : nous vivons depuis 2 ans, à 5 avec nos 3 enfants, dans une pièce insalubre, et la MAIF nous laisse à nos peines malgré nos relances et descriptions très détaillées (photos...).</t>
  </si>
  <si>
    <t>13/12/2016</t>
  </si>
  <si>
    <t>artur-51573</t>
  </si>
  <si>
    <t>J'ai subit un dégât des eaux de mon voisin du dessus, endommageant le plafond de la salle d'eau et la GMF ne veut pas payer malgré toutes les options prises dans mon contrat.</t>
  </si>
  <si>
    <t>23/01/2017</t>
  </si>
  <si>
    <t>maduruin-72177</t>
  </si>
  <si>
    <t>c'est une filiale de la CAISSE D'EPARGNE. Difficile de faire plus nul. Inutile d'envoyer des courriers simple, ils sont automatiquement broyés. Quand au téléphone, même avec leurs 4 identifiants : Numéro de DOSSIER, Numéro BENEFICIAIRE, IDENTIFIANT, Numéro du CONTRAT, ils ne vous trouvent pas, ils n'ont, semble-t-il pas fait le pas informatique et sont restés avec des feuillets manuels. Bref des vrais nuls comme j'en ai rarement trouvé.</t>
  </si>
  <si>
    <t>14/03/2019</t>
  </si>
  <si>
    <t>marjo-82112</t>
  </si>
  <si>
    <t>Sinistre non responsable depuis le 28 aout 2019 avec un conducteur espagnol. Assurée au tiers j'attends que l on m indemnise pour réparer ma voiture qui a la direction principalement de touchée tout l'avant gauche et jante hs . Aucune nouvelle depuis on me dit d'attendre mais difficile d'aller au taf sans voiture....ai besoin de ma voiture au plus vite</t>
  </si>
  <si>
    <t>19/12/2019</t>
  </si>
  <si>
    <t>audrey--98428</t>
  </si>
  <si>
    <t xml:space="preserve">Technique de vente abusif , fait passer un contrat de prévoyance dans le contrat auto sans explication. Faire très attention ou mieux éviter cette assurance </t>
  </si>
  <si>
    <t>07/10/2020</t>
  </si>
  <si>
    <t>trg-64346</t>
  </si>
  <si>
    <t>Voir ci-dessous</t>
  </si>
  <si>
    <t>21/03/2019</t>
  </si>
  <si>
    <t>brian-l-135342</t>
  </si>
  <si>
    <t xml:space="preserve">Je suis très satisfait néanmoins le contrat ya quelquet jours était à 477€ non à 469 donc pas très satisfait au contraire ??bonne journée cordialement </t>
  </si>
  <si>
    <t>cyril-d-105701</t>
  </si>
  <si>
    <t>Le prix a augmenté de +20% par rapport à l'année dernière je songe sérieusement à consulter mon ancien assureur.
Je ne comprends pas cette augmentation alors que je n'ai pas eu d'accident et avec la crise sanitaire de 2020 les assureurs ont fait plus de bénéfice.
Pourquoi les prestataires n'en bénéficient pas avec Direct Assurance ?
Cordialement.
Mr Duval Cyril</t>
  </si>
  <si>
    <t>06/03/2021</t>
  </si>
  <si>
    <t>emilien-t-132691</t>
  </si>
  <si>
    <t>service téléphonique très agréable dommages que les prix pour les jeunes conducteurs soient élevés mais j'ai quand même trouver mon bonheur merci bisous</t>
  </si>
  <si>
    <t>13/09/2021</t>
  </si>
  <si>
    <t>guillaume-96477</t>
  </si>
  <si>
    <t>Tarifs corrects mais service client totalement absent. Ils sont injoignables, quelle que soit  l'heure ou le jour de l'appel.
Si vous voulez du pas cher, allez-y. Si vous voulez du service, laissez tomber.</t>
  </si>
  <si>
    <t>19/08/2020</t>
  </si>
  <si>
    <t>01/08/2020</t>
  </si>
  <si>
    <t>michel-a-122006</t>
  </si>
  <si>
    <t>Je suis satisfait pour l'instant. 
Très simple et efficace. 
Rapidité par internet.
Tarifs satisfaisants par prélèvement. 
Merci et bonne continuation.</t>
  </si>
  <si>
    <t>arizona-87656</t>
  </si>
  <si>
    <t>tres bon accueil, bonne compréhension de ma demande et tres réactive par la suite, en revanche je regrette la lenteur des remboursements, car cela fait plusieurs semaines que j'ai envoyé les documents.
merci a ALIMATOU</t>
  </si>
  <si>
    <t>05/07/2021</t>
  </si>
  <si>
    <t>pascalvfr-96554</t>
  </si>
  <si>
    <t>l'agent d'assurance est OK
leur informatique reseau entre agence bug sans arret  (perte de données client  pour ma part)
et  leur "sal...perie." de site internet est sans arrêt HS   !!!!
c'est incroyable !!!
je quitte cet assureur dés que possible</t>
  </si>
  <si>
    <t>21/08/2020</t>
  </si>
  <si>
    <t>angelique-r-114993</t>
  </si>
  <si>
    <t xml:space="preserve">je suis satisfait des services, le coût est beaucoup moins cher que l'assurance actuelle.
Merci
On verra dans le temps ce que ça donne, en tout cas l'adhésion est simple.
</t>
  </si>
  <si>
    <t>27/05/2021</t>
  </si>
  <si>
    <t>thibaut-s-124258</t>
  </si>
  <si>
    <t xml:space="preserve">Je suis satisfait, très facile à utiliser.
L’assurance la moins chère parmi pleins d’autres. 
Très réactif et très correcte niveau prix.
Je reconseille. </t>
  </si>
  <si>
    <t>22/07/2021</t>
  </si>
  <si>
    <t>kranenwitter-r-107750</t>
  </si>
  <si>
    <t xml:space="preserve">Bonjour ,
Je ne suis pas satisfait du tarif de l'assurance habitation qui ne cesse d'augmenter d'années en années
Je vais voir ce que me propose la concurrence
Cordialement
Richard Kranenwitter
</t>
  </si>
  <si>
    <t>24/03/2021</t>
  </si>
  <si>
    <t>ruydo86-61664</t>
  </si>
  <si>
    <t xml:space="preserve">Service client de piètre qualité. Impossible de résilié, personnes ne répond au téléphone ou par email. En revanche quand il faut prendre de l'argent beaucoup de communications...
Avant de laisser cet avis j'ai même essayer de prendre contact avec l'email qui soit disant gère les incidents "dialogweb@allianz.fr". Je pense qu'il doit s'agir d'une adresse bidon car là encore personne ne répond.
Je pense que vous êtes prévenus, il a d'autres assureurs beaucoup plus professionnels. </t>
  </si>
  <si>
    <t>22/02/2018</t>
  </si>
  <si>
    <t>atr69-85434</t>
  </si>
  <si>
    <t>J'attends depuis mars 2019 le versement de l'assurance vie de ma Maman décédé. nous sommes le 3.01.2020. Tous les documents demandés ont été envoyés plusieurs fois. Aucune réponse pas même aux lettres recommandées. Paris ne répond plus.Le correspondant local n'existe plus depuis 3 ans. Il n'y a plus personne pour nous renseigner et traiter la demande. que se passer-t-il? C'est très inquiétant.</t>
  </si>
  <si>
    <t>03/01/2020</t>
  </si>
  <si>
    <t>boufatmi-kamel-113408</t>
  </si>
  <si>
    <t xml:space="preserve">0/20 HONTE A LA PRÉVOYANCE  interim ÉVITER LA !!!!Une honte sa fait 8mois que j'attends mon maintien de salaire  chaque fois que j'appelle il on un problème donc la date et repousser de cette fatigué de prévoyance aujourd'hui en me dit qu'il mon oublier et que le service réclamation va mettre 9semaine pour l'indemniser !!! Un truc de malade je suis entrain de crever les huissiers , facture ect..  et eu s'amusent avec nous bande danarqueur!!!! MR qui répond au téléphone téléconseiller parle bien mais il et  désagréable ne laisse pas les gens s'exprimer pour lui c'est un robot je répond puis bye il  prend les gens de haut  j'ai jamais vu sa !!! Je vais porter plainte si d'autre veulent créé une action collective pour que notre dossier soit vite pri en compte au tribunal ne pas avoir trop d'attente . vraiment decuuuuuu énerver ,il se cache derrière leur seule défense le CORONA lolll les années passer le Corona était juste dans votre société vu les avis négatif des gens .je suis entrain de tout perdre à cause de cette prévoyance ! </t>
  </si>
  <si>
    <t>Ag2r La Mondiale</t>
  </si>
  <si>
    <t>11/05/2021</t>
  </si>
  <si>
    <t>niel-v-111713</t>
  </si>
  <si>
    <t>satisfaite de l acceuil les prix un peu eleve mais au vu de la situation de mon fils je n avais d autre choix , donc je ne peux me rendre compte par rapport a un contrat dit normal</t>
  </si>
  <si>
    <t>26/04/2021</t>
  </si>
  <si>
    <t>sidonie1-69523</t>
  </si>
  <si>
    <t>Tres bonne assurances,toujours bien conseiller.le prix est correcte.le site est tres bien fait,pour envoyer des documents c est tres simple.</t>
  </si>
  <si>
    <t>18/12/2018</t>
  </si>
  <si>
    <t>hesdin-g-139679</t>
  </si>
  <si>
    <t>Assurance Très simple d utilisation et très rapide. Que se soit sur internet ou par téléphone et très bon rapport qualité prix très satisfait de cette assurance</t>
  </si>
  <si>
    <t>15/11/2021</t>
  </si>
  <si>
    <t>nas68-71613</t>
  </si>
  <si>
    <t>Que dire a part que j'ai un bonus de 50% depuis 3 ans, est 2 véhicules assurer chez eu, donc pour les 2 vehicules j'ai eu le droit a 9 euros de remise cumuler pour les 2 ...... 2018/2019 voila ....</t>
  </si>
  <si>
    <t>24/02/2019</t>
  </si>
  <si>
    <t>anitof60-68716</t>
  </si>
  <si>
    <t>A l'écoute, réactif, tarifs corrects.
pour prendre l'assurance c'est relativement simple par internet, puis relance par telephone et contrat en cours mais pour résilier, le contact sur leur site ne suffit pas, le contact telephonique non plus et le mail en direct non plus, il faut envoyer une lettre recommandée, le mail a pourtant la même valeurs juridique mais ecrire une lettre pour l'environnement de la planète, livrée une voire 2 fois puis même chose pour accusé réception avant bien sur de s'être déplacé à la poste pour valider l'envoi</t>
  </si>
  <si>
    <t>18/11/2018</t>
  </si>
  <si>
    <t>01/11/2018</t>
  </si>
  <si>
    <t>thomasjam31-60367</t>
  </si>
  <si>
    <t>demande de geste commercial pour une habitation que je n'habite plus depuis plus d'un an, le service client ne veut rien savoir, et me menace de recouvrement par voie contentieuse pour moins de 40 euros, certes les prix sont pas mal mais AUCUN service chez la MATMUT</t>
  </si>
  <si>
    <t>11/01/2018</t>
  </si>
  <si>
    <t>01/01/2018</t>
  </si>
  <si>
    <t>oustric-y-113134</t>
  </si>
  <si>
    <t>service pratique  et abordable pour une inexperimentée, tarifs  attractifs, service téléphonique efficace  et compétent  .Satisfaction à  confirmer ou à non l'usage ;</t>
  </si>
  <si>
    <t>08/05/2021</t>
  </si>
  <si>
    <t>francoise-c-131253</t>
  </si>
  <si>
    <t>TRES BONNE ECOUTE. PRISE EN CHARGE DES DEMANDES ADAPTEE ET RAPIDE. TARIFS RAISONNABLES. SOCIETAIRE DEPUIS PLUSIEURS ANNEES ET PAS DE REGRET. COMPAGNIE TRES PROFESSIONNELLE.</t>
  </si>
  <si>
    <t>04/09/2021</t>
  </si>
  <si>
    <t>perray-r-139160</t>
  </si>
  <si>
    <t xml:space="preserve">Je suis satisfait du service et de l'accueil que j'ai pu recevoir tout ce que j'ai demander à ou être réalisé et mon contrat à été réalisé avec ce que je souhaitais </t>
  </si>
  <si>
    <t>lvb-89276</t>
  </si>
  <si>
    <t>J'ai eu un sinistre non responsable en février. La personne responsable de l'accident n'était pas assurée. Après expertise, ma voiture a été classée irréparable. A ce jour, je n'ai toujours pas été remboursée par L'Olivier Assurance de la valeur estimée de ma voiture. J'ai besoin de cet argent pour pouvoir racheter une nouvelle voiture. Ils me mènent en bateau depuis des semaines en me disant que le virement va être effectué très prochainement mais je ne vois toujours rien venir, malgré leurs CGV qui stipulent que l'on doit être indemnisé sous 15 jours. Je précise qu'ils ont reçu de ma part tous les documents de la cession de mon véhicule dûment complétés début avril.
Je ne vois qu'une seule solution maintenant: faire intervenir une grande association de consommateurs à laquelle je suis abonnée.
Je suis extrêmement déçue de la façon dont ils traitent leurs clients bons conducteurs, qui sont doublement victimes des irresponsables qui roulent sur la route et du manque de professionnalisme de cette assurance.</t>
  </si>
  <si>
    <t>30/04/2020</t>
  </si>
  <si>
    <t>therese-d-106638</t>
  </si>
  <si>
    <t>adhésion rapide, claire et simple tout peu se faire directement en ligne donc gain de temps pas de discours à rallonge, pas besoin de se déplacer, prix plus que correct</t>
  </si>
  <si>
    <t>15/03/2021</t>
  </si>
  <si>
    <t>chaulet-90091</t>
  </si>
  <si>
    <t>Bonsoir mon chien c est fait attaqué par un autre chien nous sommes victimes dans l histoire cela a été confirmé par la gendarmerie le lendemain on déclare a sogessur les fait ils nous ont balladés pendant 2 mois pour nous dire que l assurance ne prendrais rien en compte (frais de véto 240 euros).Ils n ont meme pas pris contact avec la partie adverse je les connais et je me suis renseigner.Cela fait 6 ans que je suis chez et je n ai jamais eu besoin de remboursement et la il m ignore ils ne réponde pas aux mails et au téléphone il vous accueil avec mépris...très déçu</t>
  </si>
  <si>
    <t>Sogessur</t>
  </si>
  <si>
    <t>04/06/2020</t>
  </si>
  <si>
    <t>bertille-63125</t>
  </si>
  <si>
    <t>Mutuelle fiable (je suis sociétaire depuis presque 40 ans), et qui a gardé des valeurs solidaires. De plus, les cotisations sont proportionnelles au salaire, ce qui est plus juste.</t>
  </si>
  <si>
    <t>10/04/2018</t>
  </si>
  <si>
    <t>celine-b-131976</t>
  </si>
  <si>
    <t>L’inscription est facile, à voir sur l’année si les services sont accessibles et si une personne est facilement joignable en cas de question.
Dommage de ne pas avoir pu imprimer mon devis, à aucun moment je n’ai pu le faire!</t>
  </si>
  <si>
    <t>cedric-v-124000</t>
  </si>
  <si>
    <t xml:space="preserve">Satisfait à vérifier mon bonus moto je suis pas sur , et impossible de le modifier merci ......... et j'ai besoin d'une attestation d'assurance merci </t>
  </si>
  <si>
    <t>20/07/2021</t>
  </si>
  <si>
    <t>leblois-j-138926</t>
  </si>
  <si>
    <t>Satisfait du service et de sa réactivité. La demande de changement d'assurance suite à une erreur de date a pu être effectuée dans la matinée. Efficacité des échanges</t>
  </si>
  <si>
    <t>04/11/2021</t>
  </si>
  <si>
    <t>kat45-62087</t>
  </si>
  <si>
    <t>mauvais assureur
changement de tarifs comparé au tarifs indiqué a la souscription
relation avec le service fidélisation trop bâclé et sans solution
je pense résilié mon contrat avec les 14 jours de rétractation</t>
  </si>
  <si>
    <t>07/03/2018</t>
  </si>
  <si>
    <t>trinckquel-t-139341</t>
  </si>
  <si>
    <t>je suis satisfaite du contrat signé. Le conseillé a été très professionnel et a mon écoute Mais je ne trouve pas très clair les explications pour la signature électronique.</t>
  </si>
  <si>
    <t>10/11/2021</t>
  </si>
  <si>
    <t>anthony-55484</t>
  </si>
  <si>
    <t>sa vas riens a dire.</t>
  </si>
  <si>
    <t>19/06/2017</t>
  </si>
  <si>
    <t>01/06/2017</t>
  </si>
  <si>
    <t>rachedi-f-139174</t>
  </si>
  <si>
    <t xml:space="preserve">Je suis satisfait du service et du prix .
Très bon service client au téléphone                                       Je vais recommandé autour de moi </t>
  </si>
  <si>
    <t>maiaaa-90128</t>
  </si>
  <si>
    <t>Très mécontente du service client ! .mon chat a des soucis de santé et je découvre par la même occasion que les offres ont évolué et on ne m'a pas contactée! 
J'ai vérifié et n'ai jamais reçu le mail communiquant ces offres mais la réponse : c'est au demandeur de prouver que c'est vrai ! 
A moi de faire la démarche en plus ? 
5 ans que je suis le dindon de la farce pour entendre dire le conseiller : je ne peux pas vous faire d'offre commerciale et se cache derrière l'argument nous sommes les leader ! 
Une honte ! 
Aucun geste commercial alors que je paie pour un service moins bien, aucune reconnaissance de fidélité au bout de 5 ans.
Ma reconduction est à la fin du mois, je ne pense pas rester à ce tarif avec une offre obsolète et aucun geste commerciale de leur part ! 
C'est bien quand il y a des problèmes, qu'il n'y a plus personne ! Et changez vos conseillers qui n'ont que des discours institutionnels et aucune marge de manoeuvres  pour nous fidéliser !</t>
  </si>
  <si>
    <t>02/06/2020</t>
  </si>
  <si>
    <t>xav-58731</t>
  </si>
  <si>
    <t xml:space="preserve">Incroyable ! Sinistre non responsable , remorquage du véhicule non roulant après 4h d attente ,pas de véhicule de pret puis 8jrs d attente pour un qu' il soit transféré dans un "garage agrée " qui est en réalité une casse auto , bref une gestion a l abandon avec aucune prise en compte des p robleme peripherique a gérer.Donc juste des incompétents et surtout pas assureur.  </t>
  </si>
  <si>
    <t>10/11/2017</t>
  </si>
  <si>
    <t>unal-d-138485</t>
  </si>
  <si>
    <t>Je suis très satisfait de votre équipe bien souriante et aimable 
Le prix les services rien a dire 
Merci l’olivier
Bien cordialement mme unal et mr han</t>
  </si>
  <si>
    <t>28/10/2021</t>
  </si>
  <si>
    <t>prescilia-l-132314</t>
  </si>
  <si>
    <t>Je suis satisfaite du prix proposé et des prestations qui figurent dans mon contrat.
J ai apprécié également la rapidité du montage de dossier. Et facilité pour payer.</t>
  </si>
  <si>
    <t>10/09/2021</t>
  </si>
  <si>
    <t>madb-89937</t>
  </si>
  <si>
    <t>Bonjour,
Voiture accidentée le 13 mars et à ce jour toujours aucune expertise de réalisée alors que celle ci est prévu à distance. 
Les conseillers, bien que sympathiques, n'ont aucune solution à m'apporter à part des appels de toute évidence inutiles au cabinet d'expertise. J'ai même dû l'appeler moi même pour faire avancer le dossier. 
Les informations données changent d'un conseiller à l'autre (l'une ne peut pas appeler le garage car non agréé mais la suivante le peut, l'une me dit qu'on pourra mandater un autre expert qui se déplacera, l'autre me dit que c'est impossible, pour finalement me dire encore l'inverse par mail).
À part un premier appel de leur part suite à la déclaration du sinistre, ce n'est à aucun moment l'olivier qui m'a rappelée malgré leur promesse de me faire un retour. 
Au vu des autres commentaires je crains maintenant de me voir attendre encore 6 mois de plus avant un remboursement de ma voiture si celle ci devait passer épave...</t>
  </si>
  <si>
    <t>26/05/2020</t>
  </si>
  <si>
    <t>leo-g-117125</t>
  </si>
  <si>
    <t xml:space="preserve">Très bien et rapide, j’ai peu assuré en 10 minutes mon scooter 50cc pour la journée la même. Les prix sont attractifs, plus intéressant que les autres en tout cas, donc je conseille cette assurance </t>
  </si>
  <si>
    <t>15/06/2021</t>
  </si>
  <si>
    <t>alexandra-m-132719</t>
  </si>
  <si>
    <t xml:space="preserve">Très bon rapport qualité prix, devrait à mon sens avoir un accès rapide pour les clients déjà en compte chez vous.
Envoi rapide rien à signaler de particulier. </t>
  </si>
  <si>
    <t>bernard-m-130573</t>
  </si>
  <si>
    <t>Très satisfait depuis plus de 50 ans. Aucun souci.
Toujours bien accueilli que ce soit en agence ou au téléphone.
Personnel très réactif quelque soit le sujet : assurance, accident etc</t>
  </si>
  <si>
    <t>esmeralda-p-108111</t>
  </si>
  <si>
    <t xml:space="preserve">je trouve que la gestion des dossier notamment des sinistres laisse un peu à désirer , cela fait plus d'un mois que j’attends pour mes réparations concernant mon véhicules , sachant que tout est en règles de mon coté au niveau administratif.
</t>
  </si>
  <si>
    <t>26/03/2021</t>
  </si>
  <si>
    <t>florin-92386</t>
  </si>
  <si>
    <t xml:space="preserve">Je suis satisfait du devis 
Îl reste a voir si c’est des vraie prix
J’aimerais bien avoir un conseillé au téléphone 
Et aussi comment sa marche au cas au d’un sinistres </t>
  </si>
  <si>
    <t>26/06/2020</t>
  </si>
  <si>
    <t>ooto-55577</t>
  </si>
  <si>
    <t xml:space="preserve">Ils ont les meilleurs prix mais ATTENTION ça va faire bientôt 4 semaines que j'ai souscrit mon assurance auto chez Olivier et ils m'ont toujours pas envoyé la carte verte définitive malgré plusieurs relances et malgré le fait que j'ai envoyé tous les documents qu'ils m'ont demandés. Le pire c'est qu'ils m'ont affirmé qu'ils avaient résilié mon ancien contrat auto de mon ancien assureur alors que c'est faux et aujourd'hui je viens de recevoir une facture de cet ancien assureur. </t>
  </si>
  <si>
    <t>22/06/2017</t>
  </si>
  <si>
    <t>maryse050360-68043</t>
  </si>
  <si>
    <t>EN PANNE EN QUITTANT MON POSTE DE NUIT. JE NE PEUX DEMARRER. ALLO ASSISTANCE MATMUT.INTERLOCUTRICE TRES PROFESSIONNELLE,PREND EN CHARGE LA RECHERCHE D UN DEPANNEUR. SMS RECU AVEC COORDONNES DE L INTERVENANT. ALLO MR LE GARAGISTE .IL VIENT DE SUITE .SON INTERVENTION RAPIDE ME PERMET DE RENTRER RAPIDEMENT ET DE FAIRE LE NECESSAIRE POUR REMPLACER LA BATTERIE. MERCI MAMUT ET PARTICULIEREMENT LES EMPLOYES DE CHALON SUR SAONE (71).JE SUIS SATISFAITE DE MON CONTRAT.CORDIALEMENT.MARYSE</t>
  </si>
  <si>
    <t>24/10/2018</t>
  </si>
  <si>
    <t>monax-124-105139</t>
  </si>
  <si>
    <t xml:space="preserve">Ma mère de 74 ans se retrouve avec un « faux » contrat. Elle n’a JAMAIS SIGNÉ, elle ne sait pas non plus réaliser de signature électronique. Est-ce la seule dans ce cas ? Ils refusent de résilier (LRAR reçu refusant notre demande). Comment faire ??? </t>
  </si>
  <si>
    <t>02/03/2021</t>
  </si>
  <si>
    <t>amelie-h-117599</t>
  </si>
  <si>
    <t>Ras rien a déclaré prix un peu cher a voir dans le temp plus de précisions sur les prestation plus de service serai un plus vu le prix reponcse rapide du devis</t>
  </si>
  <si>
    <t>lili-62301</t>
  </si>
  <si>
    <t>Malgré un regroupement de toutes nos assurances,le tarif reste très élevé......................................</t>
  </si>
  <si>
    <t>14/03/2018</t>
  </si>
  <si>
    <t>dedepanneuse-69595</t>
  </si>
  <si>
    <t>j'ai choisi l'olivier assurance car mon frére est client chez vous et j'ai eu des bons commantaires</t>
  </si>
  <si>
    <t>20/12/2018</t>
  </si>
  <si>
    <t>fifi-91124</t>
  </si>
  <si>
    <t xml:space="preserve">SAUVEZ vous vite de leurs site et si vous vous étes fait PIEGER ne ratez pas la date d'écheance, car malgré des appels et des lettres accusé reception, rien 
paiement annuel pourtant
et surtout, je vous en conjure, ne jamais leur fournir un R.I.B SANS QUOI PRELEVEMENT  ET GRANDE SURPRISE . </t>
  </si>
  <si>
    <t>16/06/2020</t>
  </si>
  <si>
    <t>serge-c-109154</t>
  </si>
  <si>
    <t>Absolument pas satisfait de l'acharnement dont vous faites preuve. Vous vous entêtez à me facturer tous les ans une assurance pour un véhicule remisé a l'état d'épave qui pourri dans un champs autour de mon domicile</t>
  </si>
  <si>
    <t>05/04/2021</t>
  </si>
  <si>
    <t>sarah-p-109645</t>
  </si>
  <si>
    <t>Satisfaite.
Site internet bien fait.
Adhésion rapide.
Conseiller par téléphone très sympathique et professionnel. Explications claires.
Je recommande.</t>
  </si>
  <si>
    <t>08/04/2021</t>
  </si>
  <si>
    <t>casimiro-ferro-d-113120</t>
  </si>
  <si>
    <t xml:space="preserve">vous étés super et professionnel et de très bon renseignant.
très bon accueil téléphonique, les information sont très détailler précise et net, j'en suis ravie merci.
</t>
  </si>
  <si>
    <t>ben96-104693</t>
  </si>
  <si>
    <t xml:space="preserve">J’invite au assure de fuire la Macif de Montigny les cormeilles incompétents manque de maintrise des dossiers et un laxisme total incohérent et un laxisme total </t>
  </si>
  <si>
    <t>24/02/2021</t>
  </si>
  <si>
    <t>tsf-85882</t>
  </si>
  <si>
    <t>Assurance-vie:à ce jour, plus de 2 mois après une demande d'arbitrage et de rachat partiel,  RIEN. pas de nouvelles malgré plusieurs relances;les fonds ne sont toujours pas disponibles</t>
  </si>
  <si>
    <t>14/01/2020</t>
  </si>
  <si>
    <t>claudia-m-134208</t>
  </si>
  <si>
    <t>Je suis satisfait du service et le rapport qualité/prix. Le prix reste comme même un peu élevé, mais les prestations sont bonnes. La personne était à l'écoute.</t>
  </si>
  <si>
    <t>23/09/2021</t>
  </si>
  <si>
    <t>joaquim-d-130125</t>
  </si>
  <si>
    <t>Je suis très satisfait des prix proposer par AMV le site est très facile d'utilisation et je suis très satisfait également du service rien a redire. 
JDM
Cdt</t>
  </si>
  <si>
    <t>30/08/2021</t>
  </si>
  <si>
    <t>damian-r-106342</t>
  </si>
  <si>
    <t>je susi satisfait des offres et des services. Les prix sont tres competitif et en adequations avec mes besoins. J'espere que cela restera ainsi dans le future</t>
  </si>
  <si>
    <t>johnny-76902</t>
  </si>
  <si>
    <t>3 ans d assurance un accrochage sur parking équivaut 1,18 de malus honteux</t>
  </si>
  <si>
    <t>18/06/2019</t>
  </si>
  <si>
    <t>anthony-53846</t>
  </si>
  <si>
    <t>Depuis plus de 3 semaines, j'essaye de souscrire a cette assurance. Ils ont mis plus de 15 jours pour me debiter ma carte de credit mais sans JAMAIS envoyer mon contrat. PERSONNE ne repond a AUCUN de mes emails, j'ai envoye des email en francais, en anglais a plus de 10 personnes differentes RIEN !!! Au telephone on me dit que l'on ne retrouve pas mon dossier ! On ne me rappelle JAMAIS !! Si quelqu'un d'April lit ce message ici CONTACTEZ MOI !!!!!!</t>
  </si>
  <si>
    <t>05/04/2017</t>
  </si>
  <si>
    <t>01/04/2017</t>
  </si>
  <si>
    <t>pigeon13-55116</t>
  </si>
  <si>
    <t xml:space="preserve">L'assureur ne rend pas l'argent.
Suite à un incident nous avons fait une demande de recherche à AGIRA en novembre 2016. En décembre réception d'un dossier Cardif pour le règlement d'une assurance vie de ma mère décédée en 2011.( Après 5 ans de silence.) Dossier complet renvoyé fin décembre 2016, mais toujours impayé à ce jour de juin 2017. Au téléphone une personne qui ne "sait pas", lettre recommandée sans réponse. J'ai peur que nous soyons obligés d'aller en justice pour obtenir ce versement. 
ASSURES: il est prudent de retirer votre argent avant décès. </t>
  </si>
  <si>
    <t>16/06/2017</t>
  </si>
  <si>
    <t>nal-88682</t>
  </si>
  <si>
    <t>Facture de pare brise envoyé ya 2 mois toujours sans 
nouvelles je trouves sa déplorable je suis toujours en attente de rembousement</t>
  </si>
  <si>
    <t>03/04/2020</t>
  </si>
  <si>
    <t>vivie-105288</t>
  </si>
  <si>
    <t>Démarchage abusive. Impossible de joindre du personnel par téléphone pour une prise en charge au autre. Même les professionnels de santé ni arrive pas. Les tarifs sont élevés. A éviter.</t>
  </si>
  <si>
    <t>eric-99014</t>
  </si>
  <si>
    <t xml:space="preserve">Ils font beaucoup de publicité !!!
Il ferait mieux de bien s'occuper de leurs clients et le bouche à oreille fonctionnerait.
Sauvez vous, ne souscrivez à rien
Ils sont absents en cas de problème, pire encore, ils vous en crée !!!!
</t>
  </si>
  <si>
    <t>21/10/2020</t>
  </si>
  <si>
    <t>olivier-77869</t>
  </si>
  <si>
    <t>Les délégations régionales ne sont devenues que des agences commerciales pour vendre des contrats et n'aident plus en cas de sinistre. Les sinistres doivent passer en ligne (téléphone, internet et c'est très difficile)</t>
  </si>
  <si>
    <t>23/07/2019</t>
  </si>
  <si>
    <t>titi-126808</t>
  </si>
  <si>
    <t>Je suis ravi de mon assurance pour les remboursements de santé très rapides, et aussi pour la garantie de salaire ,qui complète ce dernier lorsque vous basculez en demi traitement de la part de votre administration ,au delà de 12 mois d’arrêts consécutifs.
Je ne pensais jamais être dans cette situation, comme tout le monde ,je pense,et bienvenue à cette option qui va me permettre de me soigner sereinement sans crainte financière.
Je recommande vraiment sans aucune retenue.</t>
  </si>
  <si>
    <t>06/08/2021</t>
  </si>
  <si>
    <t>mze-j-129695</t>
  </si>
  <si>
    <t xml:space="preserve">Simple et efficace je recommande cette assurance à tout mon entourage et pour finir je trouve les conseillers agréables et très chaleureux. Excellent accueil téléphonique </t>
  </si>
  <si>
    <t>mt-63906</t>
  </si>
  <si>
    <t>Ma conversation téléphonique avec Céline (service client) a été très productive.</t>
  </si>
  <si>
    <t>11/05/2018</t>
  </si>
  <si>
    <t>01/05/2018</t>
  </si>
  <si>
    <t>jasmine-j-125229</t>
  </si>
  <si>
    <t xml:space="preserve">Les services et prix me conviennent 
L'accueil et les conseils téléphoniques sont parfaits.
J ai déjà été cliente et je reviens car je suis très satisfaite.
Je recommande fortement </t>
  </si>
  <si>
    <t>28/07/2021</t>
  </si>
  <si>
    <t>ponsinet-l-116791</t>
  </si>
  <si>
    <t>Très satisfait du service de L'Olivier que ce soit sur internet et au téléphone. Très rapide et fiable. Je recommande ce site à tous ceux qui veulent faire des économies et simplifier leur contrat avec un accès en ligne.</t>
  </si>
  <si>
    <t>11/06/2021</t>
  </si>
  <si>
    <t>maeva-m-132343</t>
  </si>
  <si>
    <t xml:space="preserve">Je suis satisfaite des prix à voir la suite pour la relation client à distance et la gestion de dossier en tout cas je paye presque moitié prix avec toutes options par rapport à mon ancienne assurance </t>
  </si>
  <si>
    <t>11/09/2021</t>
  </si>
  <si>
    <t>olga-c-124650</t>
  </si>
  <si>
    <t>Jusque là tout va bien :)
Dommage que AMEX ne soit pas acceptée pour les paiements lors de la souscriptions de contrat d'assurance que ce soit par email ou par téléphone.</t>
  </si>
  <si>
    <t>25/07/2021</t>
  </si>
  <si>
    <t>patma-75899</t>
  </si>
  <si>
    <t>Honte à cette Mutuelle qui ne répond ni aux lettres recommandées ni aux aux emails</t>
  </si>
  <si>
    <t>jean-j-115010</t>
  </si>
  <si>
    <t>Je suis satisfait du service. Les prix me conviennent. Les services par téléphone sont assurés par des personnes sympathiques et compétentes. Demande traitée avec rapidité et efficacité.</t>
  </si>
  <si>
    <t>chfa59-80765</t>
  </si>
  <si>
    <t>suite sinistre l'assurance décennale  ne veux pas prendre en charge le sinistre sous pretesque que le terme souche à l'italienne n' est pas dans le devis
c' est une honte</t>
  </si>
  <si>
    <t>Sma</t>
  </si>
  <si>
    <t>garantie-decennale</t>
  </si>
  <si>
    <t>06/11/2019</t>
  </si>
  <si>
    <t>andree-s-115650</t>
  </si>
  <si>
    <t>JE SUIS TRES SATISFAITE DE VOS SERVICES UNE RAPIDITE POUR LA SOUSCRIPTION; FACILITE, MEILLEURS CONTRAT, AVEC PLUS D OPTIONS CE QUI EST PLUTOT RASSURANT</t>
  </si>
  <si>
    <t>02/06/2021</t>
  </si>
  <si>
    <t>hoffstetter-c-112057</t>
  </si>
  <si>
    <t>Un assureur pas trop cher et tolérant, c'est suffisamment rare pour être noté. Alors que les autres assurances ou courtiers cherchent la p'tite bête pour vous refuser pour un oui ou pour un non, l'Olivier vous ouvre les bras, ça donne vraiment envie d'en parler autour de soi.</t>
  </si>
  <si>
    <t>29/04/2021</t>
  </si>
  <si>
    <t>nathalie-55956</t>
  </si>
  <si>
    <t xml:space="preserve">La catastrophe conseils zéro services zéro radiation injustifiée car délais de la préfecture trop long je déconseille vivement cette assurance remplie de bons à rien revenchads et sournois je suis très en colère car ils m'ont prise pour une moins que rien au téléphone je pense m'adresser aux millions consommateurs pour me plaindre véritablement  </t>
  </si>
  <si>
    <t>11/07/2017</t>
  </si>
  <si>
    <t>01/07/2017</t>
  </si>
  <si>
    <t>david-40031</t>
  </si>
  <si>
    <t xml:space="preserve">excellent , rapidite et facilite du service en ligne , juste dommage que nos interlocuteurs ne proviennent pas d'une plate forme en france .
bien cordialement </t>
  </si>
  <si>
    <t>24/09/2021</t>
  </si>
  <si>
    <t>vince-104387</t>
  </si>
  <si>
    <t>Le rappel automatique à été très rapide le correspondant à été attentive et très claire dans les réponses données elle a su y répondre avec efficacité</t>
  </si>
  <si>
    <t>17/02/2021</t>
  </si>
  <si>
    <t>mel-95273</t>
  </si>
  <si>
    <t>Cambriolé le 31 janvier 2020, Aucun gros sinistre en 30 ans, dossier complet envoyé Recommandé AR le 28 février, plusieurs semaines d'attente pour effectuer la réparation de l'effraction au motif que c'était à l'assurance du proprio de la prendre en charge puisque montant supérieur à un certain seuil..jusque là pas de problème encore aurait-il fallu me prévenir au lieu de laisser traîner le devis de réparation en attente et ce malgré mes multiples mails et appels ( Pourtant le propriétaire est mon père et son assurance proprio la GMF!!). 
Concernant les indemnités liées aux objets volés, je suis assuré au plus simple avec plafond à environ 6000€ + franchise...de toutes façons en cas de sinistre on est toujours perdant. 
Le service sinistre a-t-il transféré le dossier à l'expert  cause COVID,  j'ai un entretien avec celui-ci seulement le 29 avril par téléphone, il m'indique cependant  que tout celà sera réglé sous 10 jours. 
Aujourd'hui 26 juillet aucune nouvelles ni de la GMF ni de l'expert. Je vais donc devoir écrire et réclamer par recommandé une mise en demeure en attendant de peut-être devoir saisir le médiateur de la république. J'ai tout assuré à la GMF,  autos, habitation, défense et recours, RC, j'ai toujours  payé mes avis d'échéance à l'heure y/c leurs frais d'échéance et ce à chaque renouvellement et sur chaque contrat (cqfd). Aujourd'hui  après un cambriolage ou vous  subissez un vrai traumatisme, vous vous retrouvez doublement victime de par le préjudice moral, physique ou matériel subit mais aussi par le comportement honteux de certains des collaborateurs de cette mutuelle qui vous abandonnent et limite vous enguirlandes quand vous osez les déranger par vos interrogations pourtant polies. Faut comprendre, ils travaillent eux!!!
Pour finir je suis assuré en valeur de remplacement mais que faire tant que vous n'avez pas les montants de remboursement accordés...les achats avant accord de la part de la GMF seront-ils pris en compte?? j'attends donc pour me racheter un PC, pour racheter des lunettes de vues ( et oui les cambrioleurs sont partis avec car dans un étui de lunettes de soleil...j'ai vraiment pas de bol).
Bref comme on ne le dira jamais assez, de plus en plus de mutuelles ne peuvent vous servir que tant que vous ne vous en servez pas!</t>
  </si>
  <si>
    <t>26/07/2020</t>
  </si>
  <si>
    <t>richard-m-129996</t>
  </si>
  <si>
    <t>Je reçois d'habitude mon attestation d'assurance par courrier, mais là, rien... J'espère que je la recevrai avant le 3 septembre, puisque on me demande une attestation pour l'année en cours (la mienne se termine le 4 septembre 2021.;;)</t>
  </si>
  <si>
    <t>coco-103969</t>
  </si>
  <si>
    <t>Nulle!!Nulle!!Nulle!!
Zéro remboursement…service commercial zéro…prélèvements au top toujours à l’heure!! Fuyez cette assurance ne sert qu’à vous appauvrir…je ne comprends pas qu’avec de tels avis de clients mécontents elle soit toujours sur le marché!!!</t>
  </si>
  <si>
    <t>Eca Assurances</t>
  </si>
  <si>
    <t>09/07/2021</t>
  </si>
  <si>
    <t>hrvat-50524</t>
  </si>
  <si>
    <t>bonjours insatisfait de la matmut ce qui est ecrie dans les contrat ne corresponde pas aux garantie je ne recommande a personne cette assurance</t>
  </si>
  <si>
    <t>20/12/2016</t>
  </si>
  <si>
    <t>thy-111545</t>
  </si>
  <si>
    <t>La MAIF est à l'assurance ce que le Livret A est à l'épargne : Si vous n'attendez rien et que vous avez besoin de peu, la MAIF vous conviendra.
Sa dérive bureaucratique et son manque de souplesse afin de s'adapter aux incertitudes de situations, son devenus insupportables au fil des années.</t>
  </si>
  <si>
    <t>24/04/2021</t>
  </si>
  <si>
    <t>al29-78105</t>
  </si>
  <si>
    <t>A fuir, quand ils indiquent qu'ils vous rappellent, vous pouvez toujours attendre. Attention au frais de dossier qui s'ajoutent au prix annoncé !
Ils font tout pour augmenter le prix annoncé : malgré 3 voitures et plus de 30 ans d'assurance en continu, ils trouvent un creux de 2 mois sur les derniers 3 ans lorsque j'ai changé 1 de mes voitures et que je ne suis pas conducteur principale de toutes !</t>
  </si>
  <si>
    <t>01/08/2019</t>
  </si>
  <si>
    <t>achard-j-133446</t>
  </si>
  <si>
    <t xml:space="preserve">Les prix me convienne, ainsi que mes options choisis.
Très bon service client, on m'a aidé dans toute mes démarches pour l'achat de ma première voiture.
Je recommande </t>
  </si>
  <si>
    <t>18/09/2021</t>
  </si>
  <si>
    <t>bouton-e-135719</t>
  </si>
  <si>
    <t>Bonjour,
les prix sont très attractif pour un jeune conducteur
n'ayant jamais eu d'accident c'est ce que je recherchais un tarif le plus bas possible
merci</t>
  </si>
  <si>
    <t>03/10/2021</t>
  </si>
  <si>
    <t>krystyna-b-115407</t>
  </si>
  <si>
    <t>Problème au moment de passer du devis (avec franchise de 150 €) au contrat (on m'a appliqué une franchise de 250 € finalement, sans me demander).
La modification a été faite mais heureusement que je m'en suis rendue compte.
Sinon, niveau de prix très satisfaisant et rapidité de traitement également.</t>
  </si>
  <si>
    <t>31/05/2021</t>
  </si>
  <si>
    <t>sangare-b-117036</t>
  </si>
  <si>
    <t xml:space="preserve">je suis satisfait du prix j'espère ne pas avoir de surprise parce qu'on m'a dit vous faites encore des prélèvements avant la fin des 2 mois payés.
merci  </t>
  </si>
  <si>
    <t>14/06/2021</t>
  </si>
  <si>
    <t>dominique-d-112303</t>
  </si>
  <si>
    <t>J'ai trouvé la déclaration de sinistre simple et rapide
J'espère que son traitement sera  au moins aussi rapide et efficace..
Famille DUROSELLE Dominique</t>
  </si>
  <si>
    <t>azzeddine-z-106844</t>
  </si>
  <si>
    <t>Je suis satisfait et les prix me conviennent. L'accueil de l'agent de direct assurance était excellent et les modalités de souscription sont simple. Merci pour le service.</t>
  </si>
  <si>
    <t>16/03/2021</t>
  </si>
  <si>
    <t>salvat-p-125471</t>
  </si>
  <si>
    <t>Je suis satisfaite du service, les prix sont raisonnable, et c ‘est trés rapide
Je recommande cette assurance pour les personnes ayant du malus
Merci.</t>
  </si>
  <si>
    <t>29/07/2021</t>
  </si>
  <si>
    <t>michel84860-79522</t>
  </si>
  <si>
    <t>envoi du relevé d'information ok, puis résiliation au bout de 3 jour pour un motif bidon selon mon ancien assureur. Bilan sans assurance aujourdhui!</t>
  </si>
  <si>
    <t>27/09/2019</t>
  </si>
  <si>
    <t>jean-paul-c-124837</t>
  </si>
  <si>
    <t>Je suis globalement satisfait du service
Néanmoins je tiens à signaler que lors de l'accident que j'ai eu, j'ai essayé de contacter l'assistance pour une aide à la rédaction du constat amiable et que le temps d'attente était de 10 minutes 
Autant dire que j'ai dû remplir le constat sans aucune aide !</t>
  </si>
  <si>
    <t>26/07/2021</t>
  </si>
  <si>
    <t>marlon69-80648</t>
  </si>
  <si>
    <t>Offres alléchantes pour les nouveaux clients changeant d'assurance, mais il n'est stipulé nulle part que c'est un tarif promotionnel qui n'est valable que la première année.</t>
  </si>
  <si>
    <t>02/11/2019</t>
  </si>
  <si>
    <t>lucas-90836</t>
  </si>
  <si>
    <t>Le service est correct 
Les prix sont trop élevés je suis client direct assurance depuis plus de 5 ans et il n'y a aucun geste commercial. Ma compagne est venu assurer ça voiture chez vous et aucun geste.</t>
  </si>
  <si>
    <t>14/06/2020</t>
  </si>
  <si>
    <t>eve-o-127462</t>
  </si>
  <si>
    <t>Je viens de souscrire avec franchise à 334euros.
Moitié prix par rapport à mon ancienne assurance. On verra à l'usage.
Avec mensualisation, 30euros de plus par an.</t>
  </si>
  <si>
    <t>10/08/2021</t>
  </si>
  <si>
    <t>alex31-81938</t>
  </si>
  <si>
    <t>Attention aux estimations ubuesques des 'experts' dont les estimations sont largement en dessous du tarif normal artisans. J'ai donc du rajouter la différence afin de pouvoir faire mes travaux de réparation.... inadmissible pour un assurance</t>
  </si>
  <si>
    <t>15/12/2019</t>
  </si>
  <si>
    <t>daisy-d-129301</t>
  </si>
  <si>
    <t xml:space="preserve">Simple et pratique, cliente depuis plus de 15 ans
Appli très intuitive, service client au top et à l'écoute en toutes circonstances 
Je recommande vivement </t>
  </si>
  <si>
    <t>belkassem1972-103128</t>
  </si>
  <si>
    <t>Amv reste est un nom ds la communauté des motards un prix raisonable un service de qualité un interlocuteur à l écoute et une grande facilité d exécution de travaux en cas de reparations</t>
  </si>
  <si>
    <t>23/01/2021</t>
  </si>
  <si>
    <t>paulvedovati-79380</t>
  </si>
  <si>
    <t>une approche client avec un prix attractif avec une inflation annuel pouvant dépasser les 10% des garanties limitées impactées par de nombreuses franchises</t>
  </si>
  <si>
    <t>22/09/2019</t>
  </si>
  <si>
    <t>dimaio-m-108075</t>
  </si>
  <si>
    <t>Je suis satisfaite pour l'instant, du service de souscription par téléphone (conseillère à l'écoute) ainsi que de la rapidité de réception des docus !</t>
  </si>
  <si>
    <t>pascal-c-112383</t>
  </si>
  <si>
    <t>Satisfait du service .J'ai trouvé une assurance qui me correspond au niveau tarif .Si je dois la recommander ,je le ferais sans probléme .
Salut à tous</t>
  </si>
  <si>
    <t>02/05/2021</t>
  </si>
  <si>
    <t>tombapic-56576</t>
  </si>
  <si>
    <t>direct assurance  vous assure uniquement pour récupérer les cotisations dues , pour les indemnisations des dégats sortez votre carte bleu</t>
  </si>
  <si>
    <t>09/08/2017</t>
  </si>
  <si>
    <t>01/08/2017</t>
  </si>
  <si>
    <t>dia-71472</t>
  </si>
  <si>
    <t>Pour une fois que je fais appel a un de leurs services service juridique de la MAAF pour un conseil, j'ai du monter un dossier avant et pas de conseil ni de conseiller au bout du fil ni par mail néant donc je paie l'assistance juridique pour rien car même un conseil c'est a dire poser une question c'est impossible ,je me sents  spoliés,  lorsque j'étais chez Allianz via  il y a encore 11 ans  l'accès au conseil juridique était aisé facile  j'avais le juriste directement par téléphone ou rendez vous  il y avait pas de dossier a monter pour être conseiller sauf dans le cas de l'assistance  direct , il y avait un réel service</t>
  </si>
  <si>
    <t>20/02/2019</t>
  </si>
  <si>
    <t>olivier-l-111343</t>
  </si>
  <si>
    <t>Je suis satisfait du service et du mode de souscription de l'assurance. Cela a été très rapide et simple de souscrire chez APRIL MOTO. Merci à vous pour cette simplicité</t>
  </si>
  <si>
    <t>22/04/2021</t>
  </si>
  <si>
    <t>lylilo-70051</t>
  </si>
  <si>
    <t>Suite à un comparatif sur un site de recherche du meilleur tarif d'assurance pour un nouveau conducteur, l'assurance L'Olivier était la plus compétitive en tiers simple. Le montant d'une assurance pour un nouveau conducteur est très cher.</t>
  </si>
  <si>
    <t>09/01/2019</t>
  </si>
  <si>
    <t>nono31-107050</t>
  </si>
  <si>
    <t>Depuis le 10 décembre 2020, j'attend de cette compagnie la liquidation de ma retraite. Aucune nouvelles, pas d'interlocuteur bref zéro pointé partout et zéro euros pour moi retraité
Lamentable.</t>
  </si>
  <si>
    <t>ag-63268</t>
  </si>
  <si>
    <t>Fuyez, Fuyez Nouveau chez eux et aussitôt résilier après m'avoir prélever 3 mois de cotisation en une seule fois! bien sûr pas de remboursement</t>
  </si>
  <si>
    <t>14/04/2018</t>
  </si>
  <si>
    <t>yoann-128008</t>
  </si>
  <si>
    <t>SIMPLE ET PRATIQUE 
BON RAPPORT QUALITE PRIX
les prix pourraient être un peu plus attractif surtout pour un véhicule de petite cylindrée.
Service rapide</t>
  </si>
  <si>
    <t>14/08/2021</t>
  </si>
  <si>
    <t>valery-o-131827</t>
  </si>
  <si>
    <t>Oui plutôt bon prix pour les garanties incluses. Reste à voir la qualité du service client  Facilite de souscription par internet agréable et efficace</t>
  </si>
  <si>
    <t>pergay-q-122755</t>
  </si>
  <si>
    <t>merci encore pour votre professionnalisme, très content de vos services pour l'instant  je vais parler de vos services à mes connaissances pour les parrainer et qu'ils vous rejoignent</t>
  </si>
  <si>
    <t>08/07/2021</t>
  </si>
  <si>
    <t>xavier-q-134971</t>
  </si>
  <si>
    <t>Impossible de contacter par téléphone un conseiller ! Jamais eu besoin pour un dommage éventuel et je pense heureusement, sinon quelle galère j'imagine.</t>
  </si>
  <si>
    <t>29/09/2021</t>
  </si>
  <si>
    <t>myriam-86802</t>
  </si>
  <si>
    <t>très bonne qualité téléphonique et réponse à mes questions</t>
  </si>
  <si>
    <t>06/02/2020</t>
  </si>
  <si>
    <t>cooky-77423</t>
  </si>
  <si>
    <t>Mauvaise gestion des contrats chez e-allianz!!</t>
  </si>
  <si>
    <t>08/07/2019</t>
  </si>
  <si>
    <t>fag-76187</t>
  </si>
  <si>
    <t xml:space="preserve">Assuré depuis 15 ans chez GMF rue du temple à Dijon, le directeur d'agence vient me refuser la prolongation de mon assurance auto au motif qu'il à eu des incidents.  2 accidents non responsable en 15 ans!!! du coup je me retrouve sans assurance. Fuyez la GMF......JE VOUS LA DECONSEILLE VIVEMENT! </t>
  </si>
  <si>
    <t>23/05/2019</t>
  </si>
  <si>
    <t>sanchez-n-131865</t>
  </si>
  <si>
    <t xml:space="preserve">Répond à toutes les demandes, à l'écoute et serviable avec des prix concurrentiel
Je recommande fortement à mon entourage dommages qu'ils ne proposent pas les assurances deux roues
</t>
  </si>
  <si>
    <t>evano-t-114770</t>
  </si>
  <si>
    <t>Le service est vraiment agréable. Merci à vous! La personne qui m'as accueillis était très compréhensif et a su répondre à toutes mes demandes. Je recommanderais à mes proches.</t>
  </si>
  <si>
    <t>25/05/2021</t>
  </si>
  <si>
    <t>christian-p-113950</t>
  </si>
  <si>
    <t>Facile a gerer, simple et efficace. Direct assurance a ete capable de m'assurer après une absence en France de plus de 20 ans. Cela s'est fait en quelques minutes seulement et cela est exceptionnel. Merci</t>
  </si>
  <si>
    <t>17/05/2021</t>
  </si>
  <si>
    <t>cyril-p-130032</t>
  </si>
  <si>
    <t>Super tarifs je recommande direct assurance a tous mes proches et je vais essayer d'en faire venir chez vous pour voir les solutions tarifaire que vous pratiquez</t>
  </si>
  <si>
    <t>val-105648</t>
  </si>
  <si>
    <t>J’ai un contrat avec direct assurance depuis plus de 8 ans ; je n’ai jamais eu aucun sinistre responsable et un bonus supérieur à 50 % depuis plus de 12 ans.
Malheureusement en septembre 2020, j’ai retrouvé ma voiture abîmée dans un parking et lorsque j’ai quitté le parking j’ai touché une pierre donc 2 sinistrés le même jour ; un responsable et l’autre non responsable : Résultat j’ai reçu un recommandé fin 2020 m’informant ma résiliation au 15 mars ; c’est honteux !!!
J’ai fait 2 lettres de réclamation sans retour positif et lorsqu’on les appelle, personne ne comprend .
Assurance réservée à ceux qui n’ont jamais de sinistres mais la vie est faite d’imprévus ..À fuir !</t>
  </si>
  <si>
    <t>05/03/2021</t>
  </si>
  <si>
    <t>kikou-garcia-100570</t>
  </si>
  <si>
    <t>Assurée fidèle depuis plus de QUARANTE ans, il n'y a aucune reconnaissance de cette fidélité. Je le regrette vivement et je ne reste pas pour autant passive. Déjà 2 contrats chez une compagnie différente avec un gain d'environ 200 euros pour les mêmes garanties (dont un véhicule qui a 10 ans et un véhicule neuf).
Seule négociation réalisée, après devis auprès d'un concurrent, la compagnie s'est "alignée" mais cela n'a pas été sans quelques remarques de la part de l'agent.
Cette année, notre second assureur n'a pas attendu pour faire le geste commercial évoqué par les médias alors que GMF, certainement comme d'autres, nous a annoncé un remboursement (40 euros !) le lendemain de la diffusion dans les médias de la conclusion d'une association de consommateurs dénonçant le manquement des assureurs faces à ce qui avait été annoncé. Je suis déjà en recherche d'une autre compagnie pour mon 3ème véhicule... les devis montrent un écart de près de 200 euros !</t>
  </si>
  <si>
    <t>25/11/2020</t>
  </si>
  <si>
    <t>kerneves-j-113199</t>
  </si>
  <si>
    <t>RAPIDE EFFICACE, à l'ecoute lorsque l'on appelle cette assurance....
Je suis toujours tombé sur un interlocuteur sérieux, attentif, prenant son temps pour repondre le mieux a mes attentes</t>
  </si>
  <si>
    <t>09/05/2021</t>
  </si>
  <si>
    <t>eric-127740</t>
  </si>
  <si>
    <t>Je ne donnerais même pas une étoile
Depuis le 4 mars j'ai sollicité cette compagnie pour solliciter le transfert d'un contrat d'assurance retraite vers un péri ouvert avec une autre compagnie. pas de possibilité de joindre un conseiller compétent, à part de braves dames situées à bordeaux qui ne connaissent pas le dossier.
En outre, Groupama Ga euro courtage joue la montre pour ne pas transférer les fonds. Après 4 mois sans nouvelles j'ai reçu un mail me demandant des pièces complémentaires que je me suis empressé de fournir dans les 24 h
Un mois plus tard soit hier j'ai reçu un autre mail m'indiquant qu'il manquait des pièces complémentaires.
Mon sentiment est que cette société joue la montre pour garder les fonds le plus longtemps possible et que c'est scandaleux sur le plan déontologique et sur le plan du professionnalisme
Société à éviter à tout prix
Eric Cayol</t>
  </si>
  <si>
    <t>12/08/2021</t>
  </si>
  <si>
    <t>alvarez-m-135750</t>
  </si>
  <si>
    <t xml:space="preserve">Super assureur ils sont rapide et prenes des jeune deans le besoins sans de grandes contreparties effrayantes, de plus pour un jeune malusé les tarrifs sont très raisonnable. </t>
  </si>
  <si>
    <t>chichon-61331</t>
  </si>
  <si>
    <t>Ne respecte pas client une fois contrat signé  ne reconnaissent pas leur erreurs seul compte pour eux les encaissements même s ils sont irreguliers</t>
  </si>
  <si>
    <t>11/02/2018</t>
  </si>
  <si>
    <t>rguelou-54143</t>
  </si>
  <si>
    <t>On ne peux pas se satisfaire d'un service client si incohérent et inexistant ! Deux trois semaines pour un mail, des réponses complètement à côté ! J'ai bien mis 6 mois pour obtenir ma carte verte...</t>
  </si>
  <si>
    <t>18/04/2017</t>
  </si>
  <si>
    <t>arnaud-d-124075</t>
  </si>
  <si>
    <t>Je suis très satisfait des services en cas de panne (le service à toujours été très bon à ce niveau là), mais en cas d'accident, il est très compliqué d'voir un suivi correct.</t>
  </si>
  <si>
    <t>21/07/2021</t>
  </si>
  <si>
    <t>yann-p-127577</t>
  </si>
  <si>
    <t xml:space="preserve">Clair et efficace avec une proposition de garantie extra large adapté à chacun aux meilleurs tarifs. souscription rapide, assuré immédiatement je recommande </t>
  </si>
  <si>
    <t>11/08/2021</t>
  </si>
  <si>
    <t>carry-58195</t>
  </si>
  <si>
    <t>C'est dommage qu'il n'y ait pas la possibilité de régler par virement vu que tout se fait via le net ou par téléphone et que tout le monde peut avoir un souci de carte bancaire au mauvais moment (ex:perte, vol, plafond insuffisant...) et ainsi ,comme se fut mon cas , aller ailleurs pour un nouveau contrat! Dommage!</t>
  </si>
  <si>
    <t>19/10/2017</t>
  </si>
  <si>
    <t>gradlon29300-78835</t>
  </si>
  <si>
    <t xml:space="preserve">Direct assurance était parfait il y'a 5 ans niveau tarif. Mais là ils abusent complétement . presque 900 euros pour un Renaut captur 6 cv en tout risque. 2 fois plus chère que des enseignes qui on pignon sur rue. </t>
  </si>
  <si>
    <t>31/08/2019</t>
  </si>
  <si>
    <t>grosses-65918</t>
  </si>
  <si>
    <t>trés bonne réception téléphonique</t>
  </si>
  <si>
    <t>sebastien-c-124054</t>
  </si>
  <si>
    <t>Je ne suis pas satisfait des conditions tarifaires et du service. le prix protiqué est différent du prix pratiqué sans justification. Je suis assuré chez direct assurance depuis très longtemps et je ne comprends pas le tarif excessif demandé</t>
  </si>
  <si>
    <t>pascal-l-114118</t>
  </si>
  <si>
    <t xml:space="preserve">facilité d' utilisation du site et prix très concurrentiel .Demandes d'informations prises en compte rapidement et formulaire et attestations faciles à imprimer </t>
  </si>
  <si>
    <t>18/05/2021</t>
  </si>
  <si>
    <t>bentivegna-m-110755</t>
  </si>
  <si>
    <t>pour l'instant je suis satisfait je viens de souscrire à cette assurance donc avis favorable pour la réception téléphonique et le tarif donc rien à ajouter pour l'instant</t>
  </si>
  <si>
    <t>17/04/2021</t>
  </si>
  <si>
    <t>ameruxxh17-61294</t>
  </si>
  <si>
    <t>assurances de  mauvaise fois,experts ,si l'on peut appeler ça comme "expert",je dis commis d'assurances,darty,boulanger,des enseignes qui veulent vendre et non pas le contraire,alors il y a un serieux malaise, apres six ans chez eux,habitation, deux vehicules, protection juridique et  un lave vaisselle dont une durite pompe brulé suite a un contact avec une resistance et que l'on veut pas prendre en charge, et bien NON je ne suis pas d'accord du tout</t>
  </si>
  <si>
    <t>09/02/2018</t>
  </si>
  <si>
    <t>bonnie-l-106331</t>
  </si>
  <si>
    <t>Apparemment ls clients distants sont punis de leur loyauté avec des prix beaucoup plus élevés que pour ls nouveaux clients. Et le service client n'a rien d'autre à dire que : "vous avez qu'à résilier" !</t>
  </si>
  <si>
    <t>sabrina-v-130927</t>
  </si>
  <si>
    <t xml:space="preserve">Satisfait du service prix correct et site très clair je recommanderai direct assurance à mon entourage
Très rapide et simple
La conseillère que j'ai eu était très claire et aimable 
</t>
  </si>
  <si>
    <t>mat-sf-96014</t>
  </si>
  <si>
    <t>Terrible expérience avec l'Olivier Assurance qui refuse la prise en charge du sinistre en Tous risques suite à l'incendie par combustion de mon véhicule qui a pris feu sur notre propriété le 11/07/2020 et qui selon l'avis des pompiers et des experts aurait incendié le véhicule de ma femme par propagation.
Aucune trace d'acte de vandalisme n'a été trouvée et l'hypothèse privilégiée est celle d'un défaut provenant de mon véhicule qui est encore sous garantie constructeur BMW. 
L'olivier refuse de reconnaître le transfert des garanties de mon contrat d'assurance en formule Tous risques comme je l'avais demandé depuis le 5/11/2019 et souhaite enregistrer le sinistre avec le minimum de garanties, au tiers essentiel suite à une erreur de leur service client qui n'aurait pas effectué le transfert de garanties en formule Tous risques comme demandé.
Réclamation transmise auprès de la Direction Qualité de L'olivier assurance qui est injoignable et ne répond plus à mes demandes ni à la mise en demeure remise par recommandé avec accusé de réception le 21/07/2020 avec l'ensemble des preuves et échanges des emails.
Le service client m'indique une chose et son contraire à chaque appel, on me confirme à plusieurs reprises que je suis bien assuré en Tous risques et que je serais indemnisé puis ils font marche arrière et m'indiquent que je suis assuré au Tiers essentiel...
J'ai transmis ma réclamation auprès de la Direction Qualité comme demandé par le service client(réclamation RCLA20-07-016).  Madame Viscart de la Direction Qualité de L'olivier assurance en charge de mon dossier, m'avait confirmé qu'ils attendaient de recevoir mon courrier de mise en demeure avec l'ensemble des documents et preuves de ma demande de transfert de garanties en Tous risques pour me répondre et revoir mon dossier. Je n'ai jamais eu de réponses à ma mise en demeure ni à mes demandes de rappel téléphonique de la part de la Direction Qualité depuis deux semaines. Le service client est incapable de me transférer les appels auprès d'un responsable ou auprès de la Direction Qualité qui reste injoignable malgré mes demandes de rappel effectuées auprès du service client.
Il semble évident que le service client de L'olivier assurance ait commis une erreur et n'ait pas procédé à l'enregistrement de ma demande de transfert de garanties en Tous risques comme je l'avais manifesté à plusieurs reprises. Le service client a donc visiblement clôturer ma demande d'augmentation de garanties sans même me prévenir si le dossier était incomplet alors que je l'avais explicitement demandé. Je tiens à préciser que j'étais déjà assuré chez l'Olivier depuis 2017 en Tous risques avec mon ancien véhicule.
Le véhicule sinistré est toujours présent sur notre propriété et nous n'avons pas pu nettoyer les dégâts tant que le véhicule n'a pas été enlevé, ce qui reste dangereux compte tenu des débris de verres et de ferrailles présents dans notre jardin.  
Etant donné que la Direction Qualité de L'Olivier Assurance ne répond plus à mes demandes ni à ma mise en demeure, j'ai saisis les services de la Médiation de l'Assurance et compte engager une procédure judiciaire comme recommandé par mon avocat puisque nous n'avons plus de nouvelles de l'assurance.
Nous allons faire remonter le dossier auprès de l'Autorité de contrôle prudentiel et de résolution afin de signaler les pratiques de cet assureur.</t>
  </si>
  <si>
    <t>06/08/2020</t>
  </si>
  <si>
    <t>pedrokite34-108931</t>
  </si>
  <si>
    <t xml:space="preserve">Après de mauvaises expériences chez d'autres assureurs, j'ai trouvé un très bon accompagnement chez la mutuelle des motards. Toujours efficasse dans le traitement de mes demandes, je suis pleinement satisfait ! </t>
  </si>
  <si>
    <t>Mutuelle des Motards</t>
  </si>
  <si>
    <t>02/04/2021</t>
  </si>
  <si>
    <t>malikachu-96492</t>
  </si>
  <si>
    <t>J ai demandé mon bulletin de situation et la la manière de parler de la conseillère a changer du tout au tout 
 J ai des problème financier du coup pas possible de payer la cotisation je veux donc changer d assurance parce que MAAF ne veut plus me donner d accord pour payer en plusieurs fois et la grande surprise j ai demander le relever d informations la conseillère qui est de habitude gentille est compréhensible est devenue presque méchante au téléphone 
En même temps j ai tous mes contrats chez eux voiture  maison enfants assurance décès
Bien déçu de leur réaction</t>
  </si>
  <si>
    <t>20/08/2020</t>
  </si>
  <si>
    <t>defender-78776</t>
  </si>
  <si>
    <t>Des prix bas mais pour rien, ils utilisent les experts du BCA qui sont des nuls,  ils vous demandent de payer la franchise de 350e alors que vous n'êtes pas responsable et que vous êtes en tous risques, l'expert bidon refusent de faire les réparations dans l'intégralité,  et pacifica se retranche derrière lui, bref, c'est le jeu du c'est pas moi c'est lui le fautif, et 5 mois d'attente pour juste repeindre un capot de voiture, car ils ont préfèrés faire d'abord un polish dont le résultat a été lamentable. 
après ma plainte, lorsqu il a fallu repeindre capot calandre pour enlever des tâches de peinture blanche sur une voiture noire, ils ont juste fait repeindre le capot sans la calandre, et ce, en prétextant que la calandre avait des traces de gravillons , alors que le polish fait avant avait fait des éclats de peinture.
Un conseil,  payer plus cher mais aller ailleurs, et surtout avant de signer demander à votre future assurance si ils utilisent le cabinet d'experts BCA, et si oui, fuyez!</t>
  </si>
  <si>
    <t>28/08/2019</t>
  </si>
  <si>
    <t>anne1949-126863</t>
  </si>
  <si>
    <t xml:space="preserve">Si je pouvais mettre ZÉRO ÉTOILE je le ferai !
Je dépose une déclaration d accident dans une antenne Bureau MAIF de province , déjà l interlocutrice est rébarbative,  pas avenante du tout , aucun sourire , style coincée,   comme c est pour un parent qui travaille et ne peux venir en journee et soirée  , deja on me demande pourquoi la personne ne se deplace pas elle meme ...et on me dit que par CONFIDENTIALITÉ elle  ne sera pas enregistrée et que cette déclaration sera juste scannée et envoyée par mail et figurera donc dans son   dossier . A mon parent  de téléphoner et faire cette déclaration ensuite .
Je demande donc à mon interlocutrice de vérifier quand même  le constat et si tout est clair car mon parent n a AUCUNE responsabilité dans cet accident . Elle me répond que tout explicite et que c est ok . 
SAUF que lorsque mon parent appelle  pour l enregistrement on lui dit qu' il FAUT REFAIRE LE CONSTAT !! On lui  propose même de REPOUSSER son départ en vacances qui est demain pour expertiser sa voiture !! 
Mon parent perd une heure a TOUT REFAIRE VIA LEUR PLATEFORME ! Comment signera la partie adverse qui lui est rentrée dedans en reculant ??  il y a  un témoin oculaire heureusement  !!
Sacrées tracasseries pour éviter toute prise en charge quoi , bien que nous n ayons aucune responsabilité,  le constat a été vu et validé par une menfoutiste , pure perte de temps et d énergie. 
Je vais résilier mes 7  CONTRATS chez eux , par principe . 
</t>
  </si>
  <si>
    <t>lyline-63794</t>
  </si>
  <si>
    <t>Pour le moment, je ne peux pas parler sur les remboursements en cas de sinistre, je n'en ai pas, par contre, les tarifs sont super compétitifs et avec la loi Hamon l'assureur s'est occupé de toutes les démarches vers l'ancien assureur.</t>
  </si>
  <si>
    <t>04/05/2018</t>
  </si>
  <si>
    <t>philippe-c-121272</t>
  </si>
  <si>
    <t>Tarifs encore élevés, je regarde ailleurs pour baisser ce prix. Il semblerait que des concurrents soient moins chers. Je me donne 1 mois pour trouver une autre assurance</t>
  </si>
  <si>
    <t>26/06/2021</t>
  </si>
  <si>
    <t>viovio-80486</t>
  </si>
  <si>
    <t xml:space="preserve">je déconseille fortement à tous les automobilistes de prendre cette assurance.
je me suis fais vandalisé mon véhicule le 15septembre, on m a volé ma banquette arrière.
A ce jour le 28 octobre, mon véhicule n est toujours pas réparé. résultat je ne peux pas transporter plus d une personne depuis bientôt deux mois.
de plus il a fallu que je remplace a mes propres frais le carreau cassé lors de l incident.
sans oublier que le jour de la déclaration du sinistre, ils se sont permis de modifier mon contrat et par conséquent mes cotisations.
</t>
  </si>
  <si>
    <t>28/10/2019</t>
  </si>
  <si>
    <t>celine59-61502</t>
  </si>
  <si>
    <t xml:space="preserve">Cet assureur coute cher et quand vous avez un souci il n'y pas de moyen simple de les contacter.
Le dossier n'évolue pas et ils sont très antipathiques et enclins à vous dire que de toutes faons vous n'aurez rien quel soit  soit le sinistre.
Fuyez cet assureur </t>
  </si>
  <si>
    <t>06/07/2021</t>
  </si>
  <si>
    <t>abdelhaqe-a-115074</t>
  </si>
  <si>
    <t xml:space="preserve">je suis satisfit de votre service simple et claire et pratique par contre le prix un peu chère.
 mais en générale le service et claire   et très bien
</t>
  </si>
  <si>
    <t>mfd-76963</t>
  </si>
  <si>
    <t>les remboursements ne sont pas satisfaisants. Nous devons faire l avance de frais sur des hospitalisations, soins dentaires etc.</t>
  </si>
  <si>
    <t>20/06/2019</t>
  </si>
  <si>
    <t>jean-michel-wilfried-eloick-n-125942</t>
  </si>
  <si>
    <t>Je suis satisfait du service , le prix est un peu chère . Les informations était  très claire et précise . Rien a dire à ce niveau là . Continuez ainsi .</t>
  </si>
  <si>
    <t>thomas-paul-122805</t>
  </si>
  <si>
    <t>Grand merci à Aminata qui m’a très  bien répondu pour ma résiliation de mon contrat suite à une réponse différente entre le « suivi client » et la « gestion ».</t>
  </si>
  <si>
    <t>14/07/2021</t>
  </si>
  <si>
    <t>brunodesc-117238</t>
  </si>
  <si>
    <t>Je veux attirer l'attention des clients GMF : après des années (des décennies!) avec un bonus de 50%. J'ai eu coup sur coup deux accidents (matériels, responsabilité totale): la GMF m'annonce que mon bonus passe à,5 à 0,62 (c'est normal) puis peu avant l'échéance suivante ... la GMF m'annonce (recommandé avec A/R) que mon contrat est résilié!
Alors attention! même avec des années à 50% la GMF résilie ses contrats après 2 accidents
Dommage car j'étais très satisfait de la GMF jusqu'à présent (j'allais écrire ce coup pendable...)
Dommage que les clients ne soient pas prévenus (j'aurais pu changer d'assureur avant, ça m'aurait coûté moins cher) Ils le seront  maintenant j'espère.</t>
  </si>
  <si>
    <t>16/06/2021</t>
  </si>
  <si>
    <t>frederic-b-133388</t>
  </si>
  <si>
    <t>Je suis très satisfait d'avoir pu régler ça un samedi à midi passé !  Merci beaucoup pour ce service.
Et je trouve les tarifs tout à fait corrects, nous verrons à l'usage si les garanties suivent ...</t>
  </si>
  <si>
    <t>bruno-56770</t>
  </si>
  <si>
    <t>Cette assurance est limité , prenez garde aux prise en charges car il est noté CHIRURGIE mais plein d actes ne sont pas pris en charge donc finalement le rapport prix et actes prises en charges et très élevés</t>
  </si>
  <si>
    <t>21/08/2017</t>
  </si>
  <si>
    <t>jeangomez-77238</t>
  </si>
  <si>
    <t xml:space="preserve">Bonjour, ma femme a eu un accident le 28mai 2019 , envois de tout les documents dans les délais . Aujourd'hui 1er juillet et aucun remboursement !!!! Appel à la MatMut ( perte du constat) et comme par magie le constat réapparaît !!!! Appel aujourd'hui et on me répond que mon dossier n'a toujours pas était traiter !!!! Alors je pense vraiment qu'ils sont incompétents dans leur travail car aucune réponse de leur part ont me répond que mon dossier n'a pas était traiter !!!! Je pense que cet assurance et de mauvaise fois tout simplement...pour le sinistre ils sont fait appel à Allianz aussi incompétent plus de 1 semaines pour que l'expert donne sont chiffrage du jamais vu !!!! Je déconseille cet assurance ne vous assurer pas à la MATMUT </t>
  </si>
  <si>
    <t>eleonore-v-114669</t>
  </si>
  <si>
    <t>Impossible a résilier, parcontre facile d'etre radié. Service client lamentable et insultant. 
Plus jamais. Il y a bien d'autres assurances moins cheres.</t>
  </si>
  <si>
    <t>24/05/2021</t>
  </si>
  <si>
    <t>canac-c-112960</t>
  </si>
  <si>
    <t xml:space="preserve">Le prix de l'assurance n'a pas changé d'une année à l'autre. 
Pas de nouveau bonus. Je ne sais pas ce qui m'attend dans le futur niveau bonus. Comment cela fonctionne ? Pour le reste, l'application fonctionne bien. </t>
  </si>
  <si>
    <t>tesoro-d-107392</t>
  </si>
  <si>
    <t>top, le rapport qualité prix est parfait! le contrat est très accessible, clair et net, il ne manque plus qu'a tester l'assurance...merci l'olivier!!!</t>
  </si>
  <si>
    <t>21/03/2021</t>
  </si>
  <si>
    <t>nadine-85418</t>
  </si>
  <si>
    <t>tres bon pour la pub(mensongere),mais pas pour le reste</t>
  </si>
  <si>
    <t>02/01/2020</t>
  </si>
  <si>
    <t>alenorf--92481</t>
  </si>
  <si>
    <t xml:space="preserve">Devis simple et rapide a faire en ligne . Plus difficile d’avoir un conseillé. Prix dans la moyenne du marcher pour un conducteur expérimenté avec 50 pour-cent de bonnes . Assure les jeunes conducteur mais assez chère Pour le coup, même en conducteur autorisé . </t>
  </si>
  <si>
    <t>27/06/2020</t>
  </si>
  <si>
    <t>cocowave-97135</t>
  </si>
  <si>
    <t>Même le correspondant assureur de ma région n’a pas réussi à régulariser ma situation, c’est dire le niveau d’incompétence de cette assurance qui, au bout de 4 mois de réclamations, n’a toujours pas mis ma cotisation à jour avec le nouveau tableau d’amortissement envoyé à trois reprises ! A croire que leurs compétences sont inversement proportionnelles aux progrès technologiques ! J’ai donc dû souscrire une autre assurance, moins chère. En 10 jours, tout était fait. CQFD.</t>
  </si>
  <si>
    <t>08/09/2020</t>
  </si>
  <si>
    <t>bruno13-55151</t>
  </si>
  <si>
    <t xml:space="preserve">attente de 4 semaine pour passage d'un expert suite à un sinistre ils n'aime pas que l'on choisisse une concession plutôt qu'un de leur garage conventionné. pensé à renégocier les tarif des cotisations réponse de mon agent "tant que le client ne se plaint pas c'est qu'il est content" suite comparaison avec d'autre assurance 200euros de remise. c'est pas rien. de plus suite sinistre leur enquête satisfaction ne fonctionne quand fonction d'une bonne notation déplorable </t>
  </si>
  <si>
    <t>05/06/2017</t>
  </si>
  <si>
    <t>follydo-52610</t>
  </si>
  <si>
    <t xml:space="preserve">depuis le 31/01 suite à la demande de l'olivier j'ai envoyé le 
relevé d'information concernant  ma voiture pour prouver que ma femme bénéficiait également de 50/*100 de bonus.
Surprise ce matin mail me demandant à nouveau ce relevé pour recevoir la carte verte sinon menace de supprimer le contrat d'assurance et le paiement effectué non remboursé.
Aberrant cette assurance ras le bol .  </t>
  </si>
  <si>
    <t>21/02/2017</t>
  </si>
  <si>
    <t>01/02/2017</t>
  </si>
  <si>
    <t>lil-66343</t>
  </si>
  <si>
    <t>attention les assurés à la CNP au passage d'une assurance prêt de 69 ans à 70 ans elle vous fera payé 227 % de plus soit de 36 euro  à 118 euro par mois et la banque CA vous dira vous payerez un peu plus cher en passant senior  et cela avec un dossier médical normal aucune réclamation n'est pris en compte</t>
  </si>
  <si>
    <t>22/08/2018</t>
  </si>
  <si>
    <t>ladelnet-n-125057</t>
  </si>
  <si>
    <t>Rien à dire bravo ! Je suis totalement satisfaite. Dommage, mais c'est le principe,  qu'il faille faire beaucoup de saisie pour arriver à la rubrique souhaitée.</t>
  </si>
  <si>
    <t>27/07/2021</t>
  </si>
  <si>
    <t>jeremie--93683</t>
  </si>
  <si>
    <t>Satisfait du service. Les prix me conviennent . Excellent rapport qualité prix . Bien accompagné durant tout le long de ma recherche. Content de ce devis</t>
  </si>
  <si>
    <t>10/07/2020</t>
  </si>
  <si>
    <t>jacque--108912</t>
  </si>
  <si>
    <t xml:space="preserve">Bravo !j'ai eux la chance d'avoir Rita en ligne . très très agréable et passiante. A récidivé !. J'attende avec impassiance  la réponse a ma question .
 </t>
  </si>
  <si>
    <t>cessco-60996</t>
  </si>
  <si>
    <t>J'ai 4 contrats MRH aux ACM.
Après un DDE et la visite d'un expert Eurexo, j'ai donc envoyé les devis des artisans il y a 3 semaines.
Malgré 3 relances, toujours pas de nouvelles sur l'accord de la prise en charge, et là, je suis en attente depuis 13 minutes 27 secondes pour essayer de les joindre.
Je vous laisse vous faire votre avis sur leur réactivité et la qualité du "service Client".</t>
  </si>
  <si>
    <t>31/01/2018</t>
  </si>
  <si>
    <t>ee9688-99373</t>
  </si>
  <si>
    <t>J'estime que cette compagnie mérite les louanges qui lui reviennent, compte tenu des avantages de prime, des soutiens prodigués à ses assurés, du maintien du contact permanent avec eux et non seulement au moment de l'encaissement des primes, l'extension qu'elle propose à d'autres contrats, et la vitesse ainsi que le professionnalisme qu'elle accorde aux réponses relatives aux demandes des assurés. Bravo à ses gestionnaires!!!</t>
  </si>
  <si>
    <t>29/10/2020</t>
  </si>
  <si>
    <t>alba-78790</t>
  </si>
  <si>
    <t>Mutuelle très chère qui aime entretenir le flou auu sujet des hausses de cotisation</t>
  </si>
  <si>
    <t>29/08/2019</t>
  </si>
  <si>
    <t>bris-andre-g-137710</t>
  </si>
  <si>
    <t>Très content du service téléphonique afin de souscrire à l'assurance. Je recommande sans soucis. Bonne explication, personne qui prend sont temps......</t>
  </si>
  <si>
    <t>18/10/2021</t>
  </si>
  <si>
    <t>corinne-e-111503</t>
  </si>
  <si>
    <t xml:space="preserve">Société d'assurance bien placée sur le marché. J'ai toujours obtenu réponse à mes questions. Ayant eu 1 accrochage 100% responsable, ils se sont occupés de tout. 1 véhicule de remplacement est arrivé à mon domicile. La mienne étant partie chez le garagiste, l'expert est passé dans les 24H. Bonus 50 gardé tel quel, car 1er accident de ma vie ! Maintenant, reste à découvrir le surcoût de la prime d'assurance annuelle... Pas d'excès m'a-t-on dit ! J'attends de voir... </t>
  </si>
  <si>
    <t>chrystele-c-122946</t>
  </si>
  <si>
    <t>Je suis très satisfaite de ce service et de la plupart des autres contrats que j'ai à la GMF dans leur ensemble, même au niveau qualité / prix . merci</t>
  </si>
  <si>
    <t>yves-103924</t>
  </si>
  <si>
    <t>Mutuelle en dessous de tout ne réponds jamais n'y mail n’y téléphone in excitant même pas le respect des adhérents j'en suis a un mois toujours pas de remboursement.
Je me barre a la fin de l'année</t>
  </si>
  <si>
    <t>10/02/2021</t>
  </si>
  <si>
    <t>andrew49-101948</t>
  </si>
  <si>
    <t xml:space="preserve">Nouvel abonné mon assurance mutuelle ne prenant effet qu'au premier JANVIER 2021 et déjà un premier couac !. Le devis établi le 09/12/2020 avec la conseillière financière s'établissait à une mensualité de 274 € par mois, ce qui était déjà supérieur de 50 € à ma mutuelle actuelle FMA, mais présente quelques garanties supérieures. Le 15/12, je reçois l'échéancier dont les futures mensualités s'élévaient à 334 €. Je fais immédiatement une réclamation auprès de la conseillère qui l'a établi le contrat et elle me déclare que la prime a été "majorée tardivement" du fait que je n'avais pas de mutuelle auparavant. Ce qui est faux puisque c'est la première qu'elle ma demandé. Donc, elle fait une réclamation auprès du groupe afin de supprimer cette majoration en joignant une copie de la carte de mon  ancienne mutuelle. A ce jour, je n'ai toujours aucune réponse et il est probable que les mensualités de 334 euro soient prélevées dès le 5 Janvier. Aujourd'hui, 29/12, je recontacte le groupe au 0980 980 880, la conseillère est incapable de me dire ce que devient la réclamation et me rassure qu'un réajustement se fera dès le mois de Février. Toutes les mutuelles à qui j'ai demandé des devis, ne m'ont jamais demandé si j'avais une mutuelle auparavant et ne m'ont imposé une majoration dite "tardive" de 60 euro. C'est inadmissible. J'espère qu'ils ne pas font passé le délai de rétraction en qu'ensuite le problème ne sera pas résolu. Déjà la confiance envers cette mutuelle et et leurs pratiques en a pris un sérieux coup dès le départ.  </t>
  </si>
  <si>
    <t>29/12/2020</t>
  </si>
  <si>
    <t>01/12/2020</t>
  </si>
  <si>
    <t>alain-c-115643</t>
  </si>
  <si>
    <t>Les prix me semble correct , on verra par la suite si les services suivent et si le tarif ne double pas l'année prochaine en ce qui concerne l'adhésion par internet  et les envoies de documents c'est parfait</t>
  </si>
  <si>
    <t>cc-124990</t>
  </si>
  <si>
    <t xml:space="preserve">Un conseil pour votre santé et votre porte-monnaie : fuyez!!! Quand vous résiliez avec eux comme par hasard vous leur devez de l'argent qu'ils ont "oublié " de réclamer, cela est arrivé à beaucoup d'assurés et cela concerne de grosses sommes de 400 à 5000 €  </t>
  </si>
  <si>
    <t>hicham-b-133370</t>
  </si>
  <si>
    <t xml:space="preserve">Je trouve la procédure de souscription du contrat trop compliquée. Ma femme est mise d'office en second conducteur alors qu'elle ne conduit pas ma voiture..  par ailleurs y a t-il un prix plus bas si le véhicule est garé dans ma propriété ? </t>
  </si>
  <si>
    <t>nussbaum-103885</t>
  </si>
  <si>
    <t xml:space="preserve">Très déçu par Direct assurance, en deux ans, j'ai eu trois contrats différents, sans en être averti et à chaque fois avec une augmentation de tarif. C'est le premier assureur qui me donne chaque année du bonus et portant les échéances ne diminues pas, mais au contraire augmentes. De plus impossible de les joindre, que ce soit  par internet, où par téléphone. </t>
  </si>
  <si>
    <t>nadine26-68457</t>
  </si>
  <si>
    <t>J'ai été extrêmement satisfaite de Macif pendant 10 ans, mais depuis plusieurs mois ma satisfaction diminue nettement. 
J'ai eu un problème habitation qui n'a pas été correctement pris en charge par Macif et depuis 2 mois je leur demande de me rembourser une intervention couverte par l'assurance, sans réponse de leur part. Et un employé de Valence est tout sauf aimable!!
A mon grand regret, je vais essayer de changer toutes mes assurances et mutuelle</t>
  </si>
  <si>
    <t>laurence-d-130352</t>
  </si>
  <si>
    <t>Je suis satisfaite des services.
Un peu chère quand même.
Mais toujours bien reçue.
Je suis assurée chez vous depuis très longtemps.
Bien cordialement,</t>
  </si>
  <si>
    <t>eric--96830</t>
  </si>
  <si>
    <t>Après plus de 10 ans d’ancienneté, bonus maximum depuis plus de 3 ans,je me suis fait virer comme un délinquant de la route, pour 3 bris de glaces sur 3 années  consécutives et sur les 3 bris de glaces deux n’ont pas nécessités de changement juste une injection de résine .
Étant donné mon sentiment d’injustice, j’ai résilié mon deuxième véhicule chez eux.
C’est inacceptable! je recommande de fuir ce type d’assurance !</t>
  </si>
  <si>
    <t>30/08/2020</t>
  </si>
  <si>
    <t>belaid-l-106666</t>
  </si>
  <si>
    <t>Je suis satisfait du service 
Lanaki belaid très content 
Par apport à d'autre compagnie je recommande direct assurance a les amis et ma famille 
Cordialement</t>
  </si>
  <si>
    <t>evitezgroupama56-54430</t>
  </si>
  <si>
    <t xml:space="preserve">je veux annoncer un sinistre: l'employé au téléphone ne me laisse pas placer un mot, il m'interrompe sans cesset en me disannt "ce sinistre n'est pas couvert" </t>
  </si>
  <si>
    <t>03/05/2017</t>
  </si>
  <si>
    <t>01/05/2017</t>
  </si>
  <si>
    <t>sonia-b-129962</t>
  </si>
  <si>
    <t xml:space="preserve">je suis satisfaite, j'ai toutes mes assurances chez vous
rien a redire , rapide et disponible
les tarifs sont bon, le site internet est intuitif, 
je recommande vivement.
</t>
  </si>
  <si>
    <t>normand-j-117817</t>
  </si>
  <si>
    <t xml:space="preserve">Je très satisfait de la conseillère et des explications reçues . Je recommande vivement cette assurance . Allez y les yeux fermées ! Prix tres attractifs par rapport a la concurrence ! </t>
  </si>
  <si>
    <t>22/06/2021</t>
  </si>
  <si>
    <t>maldy-e-109660</t>
  </si>
  <si>
    <t>Je suis satisfaite des prix et de la qualité de services et je recommanderais autour de moi l'olivier Assurance 
Prix qui sont vraiment très abordables</t>
  </si>
  <si>
    <t>maya-99298</t>
  </si>
  <si>
    <t xml:space="preserve">Catastrophique ! Des augmentations de cotisations annuelles de l’ordre de 60 à 80%,  cotisation à 50 € pour un chien passe à 80€ l’année suivante) qu’il faut passer 1h voire plus à renégocier avec le service client qui vous envoie vers le service qualité lequel est joignable au bout de 20/30 mn ! </t>
  </si>
  <si>
    <t>Assur O'Poil</t>
  </si>
  <si>
    <t>27/10/2020</t>
  </si>
  <si>
    <t>expat-95974</t>
  </si>
  <si>
    <t xml:space="preserve">Vivant à l'étranger, je vis un enfer pour procéder au rachat. Leur procédures sont incroyablement lentes et complexes, et leur service très mal internationalisé. </t>
  </si>
  <si>
    <t>louisa-114426</t>
  </si>
  <si>
    <t>J ai demandé un devis pour un soin dentaire pour mon fils le 28 mars. Nous sommes le 20 mai et je n'ai toujours pas de réponse. Malgré plusieurs relances par téléphone. Le temps d attente au téléphone peut aller jusqu'à 30 minutes, pour obtenir aucune aide. Pour écourter le temps d'attente au téléphone la mutuelle met en avant son site convivial. Je ne comprends pas très bien en quoi un site de mutuelle souligne sa convivialité, mais bref, passons. D'ailleurs impossible d'acceder à mon espace assuré sur le site. Le service technique n'était pas capable de resoudre ce problème, malgré plusieurs relances à ce sujet également. 
En demandant à parler à un responsable, j'ai été guidé directement vers l'enquête de satisfaction, on m'avait donc tout simplement raccroché au nez. Expérience mutuelle juste décévante pour l'instant.</t>
  </si>
  <si>
    <t>20/05/2021</t>
  </si>
  <si>
    <t>carole-b-130924</t>
  </si>
  <si>
    <t>Je suis totalement satisfaite de la GMF, pour l'auto et l'habitation. Je la recommande. Prix très correct et très bonne relation clientèle. Vraiment top.</t>
  </si>
  <si>
    <t>hayat67-91225</t>
  </si>
  <si>
    <t>Je n'ai jamais eu de sinistres, et pourtant je laisse un commentaire négatif.
Je demande à avoir mon conjoint en conducteur secondaire, on me dit OK et quand je recois les documents il n'y figure pas.
A chaque fois que je demande à cet assurance la moindre chose, ils sont incapables de faire les choses correctement.
Cliente chez eux depuis 2017, ce sera ma dernière année chez eux. Je préfère payer 50€ plus cher ailleurs et ne plus avoir d'emmerdes.</t>
  </si>
  <si>
    <t>17/06/2020</t>
  </si>
  <si>
    <t>kol-94537</t>
  </si>
  <si>
    <t xml:space="preserve">Après un sinistre, malgré mes relances, l ajout de témoignages de passants, aucune nouvelle des personnes en charge de mon dossier.
Véhicule immobilisé depuis plus d un mois.
Aucune empathie. Aucun retour d information.
Lamentable.
Assurance que je déconseille vivement.
Je changerai dès que possible
</t>
  </si>
  <si>
    <t>22/10/2020</t>
  </si>
  <si>
    <t>daniel-71553</t>
  </si>
  <si>
    <t xml:space="preserve">Depuis cette année Mutavie remunere moins bien le fond euro de ses tout premiers contrats alors que les frais étaient identiques voir plus élevés Mutavie sait que ses premiers souscripteurs sont âgés souvent plus de 70 ans et ne peuvent plus changer de contrat ce qui leur ferait perdre tous leurs avantages de fiscalité lors de la transmission de leur patrimoine   Mutavie vol ses anciens adhérents et les volera jusqu à la fin de leur jour pour mieux rémunérer les nouveaux adhérents et rendre ses produits plus attractifs   Mutavie a trahit ses anciens adhérents en leur inspirant confiance avec de belles paroles tél que Epargne solidaire et toujours des Valeurs mis en avant jusqu à l an dernier  Ne faites pas confiance à Mutavie Assurance-vie de la Macif qui dans quelques années inventeront un nouveau contrat pour moins rémunérer celui qui existe maintenant </t>
  </si>
  <si>
    <t>23/02/2019</t>
  </si>
  <si>
    <t>nge-fr-58873</t>
  </si>
  <si>
    <t>complices de courtiers sans scrupule, bonimenteur, se présentant comme services de la Sécurité Sociale pour mettre à jour les dossiers-un conseil, rétractez-vous immédiatement après signature électronique auprès service client, et avisez des agissements de tous auprès de monsieur le Procureur de la République de la circonscription de votre résidence.</t>
  </si>
  <si>
    <t>16/11/2017</t>
  </si>
  <si>
    <t>sophie-51736</t>
  </si>
  <si>
    <t>Bonjour,
J'ai été démarché ce jour par un courtier me faisant l'article de la mutuelle Neolia.
La demoiselle me demande quelques informations pour pouvoir m'envoyer mon contrat. Elle veut connaitre ma date de naissance ainsi que mon numéro de portable pour pouvoir m'envoyer la documentation. Méfiante, je lui demande pourquoi elle a besoin de savoir tout ça alors qu'elle a apparemment mon adresse. Je lui demande donc à quoi ça servir. Elle me sort l'article "je comprends que vous soyez méfiante avec tous les démarchages téléphoniques qu'on reçoit aujourd'hui mais ne vous inquiétez pas c'est juste pour pouvoir vous envoyez la documentation." Finalement je lui donne ces 2 informations et là elle me demande ma situation familiale et mon numéro IBAN. Pourquoi ?? Je croyais qu'elle n'avait besoin que de 2 informations et là on en est à mon numéro bancaire ??! Elle tente encore une fois de me rassurer en me disant que c'est normal, ce n'est pas une arnaque, elle m'explique que sur mes factures edf, téléphone, etc. il y a bien mon numéro IBAN, n'est-ce pas ? Oui, en effet mais parce que c'est moi qui leur ai donné APRES avoir signé un contrat, pas avant ! Bref, elle m'embrouille, elle me donne ses noms et prénoms (là j'ai un sérieux doute mais bon..., son numéro, etc). Bref je lui donne. Elle me dit que je vais recevoir un sms. En effet, mais ce n'est pas une doc ! Elle me demande de lire ce qui est écrit. Je le lui lit à moitié et j'ai bien fait puisque dans ce sms il y a un code pour faire une signature électronique !!! Heureusement que je ne lui ai pas donné en entier ! Après moult palabre j'ai finalement réussi à m'en débarrasser et au vu des commentaires que je viens de lire ici j'ai bien fait !
On vous oblige à souscrire une assurance sans avoir de contrat sous les yeux en dehors de quelques explications bien choisis. On a en effet toujours le choix de résilier ensuite mais on nous force la main ! Surtout quand elle me dit que je vais recevoir le courrier dans les délais postaux (14 jours plus tard comme je l'ai lu ici ce sont les délais postaux ??!).
Bref, super en colère par ce démarchage abusif.
Néoliane je ne vous salue pas !</t>
  </si>
  <si>
    <t>27/01/2017</t>
  </si>
  <si>
    <t>gadogaan-110096</t>
  </si>
  <si>
    <t>Prix exorbitant en comparaison du remboursement pénalisé par une franchise tout aussi exorbitante 
En économisant le montant mensuel de l'assurance, vous comptabilisez un capital conséquent en cas de coup dur pour votre animal gadogaan</t>
  </si>
  <si>
    <t>12/04/2021</t>
  </si>
  <si>
    <t>deric25-77492</t>
  </si>
  <si>
    <t>Harmonie Fonction publique : très très moyen. Me réclame près de 1000 eur sur 2018 que l'organisme payeur n'aurait pas prélevé sur 2018. Lettre de relance abrupte, sans explication, ce à la veille des congés.
Pas sérieux</t>
  </si>
  <si>
    <t>10/07/2019</t>
  </si>
  <si>
    <t>biggy-133386</t>
  </si>
  <si>
    <t>Pfff que dire....rien de positif...
Délais énormes dans les remboursements,  impossible d'avoir le service client par téléphone (18 essais et j'ai abandonné) ,  aucun retour aux mails envoyés ...et le niveau remboursement par rapport au tarif: à fuir.... J'ai clôture mon contrat depuis fin juin et j'attends toujours des remboursements liés à la période de cotisation. Nous sommes en septembre...tout est dit.</t>
  </si>
  <si>
    <t>charpentier-f-109477</t>
  </si>
  <si>
    <t xml:space="preserve">Très performant et rapide je suis contente de mes contrats chez Olivier Assurance et des. Avantages que ça me permet de réel économie chaque mois et sur l année </t>
  </si>
  <si>
    <t>isabelle-h-127701</t>
  </si>
  <si>
    <t>les prix me conviennent 
assurance tres rapide et très claire pour tout
remplissage du dossier parfait. 
En esperant recevoir très vite la carte verte</t>
  </si>
  <si>
    <t>fares-h-124848</t>
  </si>
  <si>
    <t xml:space="preserve">Simple, pas cher et pratique.
Merci direct assurance.
Espérons qu'en cas de problème vous serez efficaces aussi... 
C'est parti pour un an puis on verra </t>
  </si>
  <si>
    <t>djaze-123938</t>
  </si>
  <si>
    <t>Je n’ai jamais vu une mutuelle autant incompétente que celle-ci. Après le décès de mon Enfant née sans vie impossible de me faire rembourser les frais d’obsèques pourtant compris dans ma mutuelle que je paie tous les moi. jusqu’au jour d’aujourd’hui je me bat pour me faire rembourser. De plus une attente très longue pour pouvoir avoir quelqu’un au bout si il ne te raccroche pas au nez. Ont m’envoie au prés de mon  RH au niveau de l’entreprise pour pouvoir me faire rembourser. Une véritable catastrophe.</t>
  </si>
  <si>
    <t>eugenie-v-105955</t>
  </si>
  <si>
    <t>Super accompagnement du téléconseiller! Avec des démarches faciles à entreprendre! Je vais recommander ce service à d'autres personnes de mon entourage.</t>
  </si>
  <si>
    <t>09/03/2021</t>
  </si>
  <si>
    <t>doudou-74784</t>
  </si>
  <si>
    <t>Assurance auto eallianz souscrite depuis 2 mois et je n'ai toujours pas reçu ma carte verte malgré les très nombreuses relances téléphoniques et mail.
On me dit qu'elle va partir par courrier le jour même où j'appelle et j'attends plusieurs jours sans rien voir arriver dans ma boîte aux lettres. J'appelle à nouveau, même scénario. Je suis à bout de nerfs, le service client est d'une incompétence sans nom.</t>
  </si>
  <si>
    <t>05/04/2019</t>
  </si>
  <si>
    <t>elhadji-n-114909</t>
  </si>
  <si>
    <t>Baissez les prix ! L'assurance est devenu trop chère de nos jours et une reconsidération des prix dans les petits logements de moins de 70 m2 serait la bienvenues.</t>
  </si>
  <si>
    <t>26/05/2021</t>
  </si>
  <si>
    <t>denis-70346</t>
  </si>
  <si>
    <t>Bonjour a tous je suis abonnée depuis le 01 01 2019 ATTENTION TOUt CE QUE SANTIANE PROPOSE il y a anguille sous roche je vient de prendre un abonement chez eux j'etais sencé avoir rien a sortir de ma poche pour me faire faire une paire de lunette et au final quand je vais chez l'opticien je dois payer pas loins de la totalité sans etre remboursé cette mutuelle et pas bonne du tout faite bien attention et la proposition allechante qui vous fond sont bidon surtout leur proposition de carte blanche carte blanche C faut il vous dise oui ses bon et quand cous vous servez de carte blanche ses l'opposé de se qu'il vous ont dit je me suis fait avoir en beauter ATTENTION avec cette mutuel</t>
  </si>
  <si>
    <t>18/01/2019</t>
  </si>
  <si>
    <t>jvp-70782</t>
  </si>
  <si>
    <t>Des augmentations de cotisations éhontées en 2019 pour une offre dispersée sur des points sans intérêt au dépens de l'essentiel. Un système de communication lourd et totalement inefficace qui se robotise et coupe de plus en plus l'adhérent de sa mutuelle. Un discours de solidarité qui masque les réalités d'une gestion très discutable.</t>
  </si>
  <si>
    <t>30/01/2019</t>
  </si>
  <si>
    <t>evabaylone--90634</t>
  </si>
  <si>
    <t>Merci pour le devis proposé je suis satisfaite du prix proposé les garanties proposées sont les mêmes que le devis que j’ai fait chez AXA et vous êtes moins chers</t>
  </si>
  <si>
    <t>13/06/2020</t>
  </si>
  <si>
    <t>1-95719</t>
  </si>
  <si>
    <t>Envisagez vous de faire une réduction, lors du renouvellement de l'assurance, pour compenser le confinement. Beaucoup des sociétés d'assurance on fait ce geste commercial qui a été apprécié des automobilistes.
Sinon je suis pleinement satisfait par cette société</t>
  </si>
  <si>
    <t>30/07/2020</t>
  </si>
  <si>
    <t>maeliss78-76113</t>
  </si>
  <si>
    <t xml:space="preserve">Très bonne explication des données 
Prix plus que correct niveau des prix pour une famille de 3personnes 
Par contre revoir le site internet qui mets plus de 3mois pour ouvrir les demandes </t>
  </si>
  <si>
    <t>21/05/2019</t>
  </si>
  <si>
    <t>kaczmarek-j-121894</t>
  </si>
  <si>
    <t>Une assurance reste une assurance pour le moment je n'ai eu qu'une panne en 3 ans assistance dépannage au top. Contact top. Pour le reste pas eu besoin pour le moment en souhaitant que cela continu</t>
  </si>
  <si>
    <t>30/06/2021</t>
  </si>
  <si>
    <t>frochot-n-133940</t>
  </si>
  <si>
    <t>Je suis très satisfaite de vos services il y a une très bonne gestion des dossiers ??  merci pour toute votre attention.
Je recommanderais a mon entourage.</t>
  </si>
  <si>
    <t>22/09/2021</t>
  </si>
  <si>
    <t>johane-61034</t>
  </si>
  <si>
    <t xml:space="preserve">on les appelle pour avoir des informations sur nos contrats, ils nous réponde n'importe quoi (quoi vous avez mal compris mon nom? ma plaque d'immatriculation? vous pouviez pas me dire que vous aviez mal compris ou que vous ne trouvez pas mon dossier????) et derrière on se retrouve à ne pas pouvoir sortir la voiture du garage parce qu'on ne peut pas payer directement les 550 euros demandés!!!! </t>
  </si>
  <si>
    <t>rjoulain-67285</t>
  </si>
  <si>
    <t>La Macif ne tient pas ses engagements ! J'ai inscrit mon fils en 2015 à la conduite accompagnée à l'ECF (École de Conduite Française), avec un engagement de la MACIF à nous reverser un chèque de 100 euros à l'obtention de son permis de conduire (il s'agit d'une offre proposée aux sociétaires MACIF en partenariat avec la MACIF et l'ECF).
J'ai effectué les démarches dans les règles avec un bulletin d'engagement rempli et tamponné par la MACIF en 2015 et remis à l'ECF.
Mon fils vient d'avoir son permis en septembre dernier, j'ai rappelé la MACIF à ses engagements et là mauvaise surprise, une conseillère me dit sans ménagement que la MACIF arrête de verser les 100 euros. 
Pour enfoncer le clou de la déception, j'ai demandé à la MACIF d'ajouter mon fils en conducteur secondaire (hors usage professionnel) sur la Twingo de 1994, et là, la MACIF m'annonce un surcout de 700 euros par an ? Alors que dans la plupart des autres mutuelles l'ajout d'un conducteur secondaire est le plus souvent gratuite. 
Sociétaire Macif depuis 30 ans avec 50 pour-cent de bonus , jusqu'à présent j'étais fier d'être sociétaire MACIF, aujourd'hui, j'ai presque honte. 
Sociétaire déçu.</t>
  </si>
  <si>
    <t>02/10/2018</t>
  </si>
  <si>
    <t>sylvain-r-132145</t>
  </si>
  <si>
    <t xml:space="preserve">Je suis satisfait.....à voir par la suite 
Merci pour votre devis j'espère que je resterai longtemps , très longtemps dans votre compagnie d'assurance </t>
  </si>
  <si>
    <t>lea-trz-103243</t>
  </si>
  <si>
    <t xml:space="preserve">Dommage que l’on ne puisse pas mettre 0 étoiles dans la satisfaction ! Depuis 4 mois je n’ai aucun retour concernant mon devis dentaire. Je suis malgré tout allée chez mon dentiste me faire mes soins j’envoi la facture 1 mois après ils me répondent qu’il manque des informations dessus alors que entre temps je les ai eu 4 fois au téléphone !! C’est inadmissible un tel manque de professionnalisme de toutes les plateformes comme des managers !! </t>
  </si>
  <si>
    <t>26/01/2021</t>
  </si>
  <si>
    <t>jika-64189</t>
  </si>
  <si>
    <t xml:space="preserve">La pire assurance que vous pouvez trouver, surtout a évité, quand vous auriez un probléme, soyer sure qu'ils vont vous laisser seuls, la seule phrase qu'ils connaissent est "non ce n'est pas nous" même avant de finir vos paroles. Ça fait 1 mois et quelque que j'ai déclaré un sinistre et ils ne répondent plus á mes mails ni appels... </t>
  </si>
  <si>
    <t>25/05/2018</t>
  </si>
  <si>
    <t>vero-121541</t>
  </si>
  <si>
    <t>Assurance nulle en cas de dégâts des eaux, j'ai mis plus de 4 mois à en finir pour enfin payer la presque totalité du sinistre pour lequel je n'étais pas responsable bien  sur.
Ils sont incompétents, de mauvaise fois et font tout pour faire trainer afin de ne pas rembourser
C est un véritable sandale ,FUYEZ à toute vitesse</t>
  </si>
  <si>
    <t>29/06/2021</t>
  </si>
  <si>
    <t>baptiste-n-111809</t>
  </si>
  <si>
    <t>Top et rapide : April a été super efficace dans le traitement de ma demande, je recommande et tarfi aussi conmpétitifs que les low cost Euroassurance et j'en passe</t>
  </si>
  <si>
    <t>27/04/2021</t>
  </si>
  <si>
    <t>vaderetro-130599</t>
  </si>
  <si>
    <t>Je viens d'entrer en contact téléphonique avec Santiane, étant complètement perdu dans la manière de procéder aux démarches vis-à-vis de ma mutuelle. Je n'arrivais pas à m'y retrouver parmi les différentes entités que sont Santiane, Malakoff-Humanis (ma mutuelle), Néo Santé, Viamédis, Orys Prévoyance, Mutua Gestion, Néoliane, tous ces organismes figurant comme entêtes de documents fournis par Santiane lors de mon adhésion.
C'est donc Lissa du réseau Santiane qui m'a accueilli très aimablement et qui m'a enfin permis (après 8 mois d'adhésion) de défricher cette jungle et surtout de comprendre et d'apprendre à utiliser tous les services qui me sont proposés.
Encore un grand merci à Lissa</t>
  </si>
  <si>
    <t>hamad-96245</t>
  </si>
  <si>
    <t>Assuré tout risque et victime d'un vol de véhicule. Leur service vol ont tout mis en oeuvre pour ne pas m'indemniser, après quasiment deux mois d'angoisse. 
Valeur du bien estimé à 18 000€, ils ne me verseront pas un centime. 
J'entre en procédure de contestation et probablement avocats etc...
C'est à vous dégoûter de ce système pratiquant à coeur joie la double peine.  
Mais sinon en effet ce n'est pas cher.
J'avais conseillé à plusieurs amis d'aller chez eux pour leurs tarifs, je vais vite les conseiller de faire machine arrière</t>
  </si>
  <si>
    <t>12/08/2020</t>
  </si>
  <si>
    <t>crecel-a-130007</t>
  </si>
  <si>
    <t>Satisfait du prix a voir par la suite et du service qui sera prescrit en fonction de futur et éventuel demande voila bonne journée à vous cordialement</t>
  </si>
  <si>
    <t>isa17-104969</t>
  </si>
  <si>
    <t>Suite à un sinistre déclaré le 1/07/2020 et non résolu à ce jour (01/03/2021) je me permets de dire que je ne suis absolument pas satisfaite des services de la Matmut. Ceci ne remet absolument pas en cause l'amabilité des interlocuteurs hormis une personne désagréable, mais l'organisation dans le traitement des dossiers et la réactivité de la Matmut.
En effet, si je ne prends pas la responsabilité d'appeler régulièrement la Matmut pour faire avancer le dossier, je ne suis tenue au courant de rien dans les prises de décisions.
L'expert auquel j'ai eu à faire n'a, à mon sens, absolument pas été dans la réalité des dégâts commis par le sinistre. Il est allé jusqu'à mentionné, à la matmut, que le canapé abîmé était dû à un défaut de fabrication. Il n'a même pas eu le courage de me le dire lors du RDV surement de peur que je conteste parce que c'est complètement faux.
Je vous informe que j'ai eu à faire, à plusieurs reprises, à des experts lors de sinistres (incendie, dégâts des eaux...) et que jamais je n'ai rencontré de soucis comme avec ce monsieur. 
En conclusion je ne conseillerais pas à mon entourage de s'assurer chez vous.
Cordialement</t>
  </si>
  <si>
    <t>louis-71796</t>
  </si>
  <si>
    <t>Un bon conseil, ne souscrivez jamais aucun contrat auprès de cette compagnie.
0% de torts dans un accident de la circulation et il faudrait que je paye personnellement le remplacement de certaines pièces.
Je résilie tous mes contrats auprès de cette compagnie.</t>
  </si>
  <si>
    <t>pujolle-m-139276</t>
  </si>
  <si>
    <t xml:space="preserve">Prix trop élevé pour quelqu'un qui possède le permis depuis 25 ans et qui a ces 12 points ,car je n'ai pas été assuré depuis plus de trois ans.
Cordialement </t>
  </si>
  <si>
    <t>09/11/2021</t>
  </si>
  <si>
    <t>ahmed-h-134957</t>
  </si>
  <si>
    <t>disponibilité explication et réactivité nous avons déja sollicité zenup par le passé pour notre résidence principale et nous sommes très sattisfaits de la Prestation</t>
  </si>
  <si>
    <t>28/09/2021</t>
  </si>
  <si>
    <t>marie-alix-p-108808</t>
  </si>
  <si>
    <t xml:space="preserve">Très satisfaite des conseils personnalisés 
Assurée rapidement et facilement joignable même si j'espère ne pas avoir à le faire dans l'année ;-)
Le prix reste correct pour une assurance voiture.
</t>
  </si>
  <si>
    <t>fleursombre-59817</t>
  </si>
  <si>
    <t xml:space="preserve">Déplorable. Je suis actuellement en sinistre (responsabilité à déterminer mais un témoin m’innocente). Pacifica m’a clairement expliqué que je ne serai pas indemnisée, responsable ou pas, car je n’avais qu’à m’assurer tous risques. Après des allusions comme quoi j’aurais sûrement causé l’accident. Je suis enceinte de 6 mois, serais je folle ?! Gestion désastreuse ! Des allusions ignobles, des coups de pression pour faire détruire mon véhicule sans être indemnisée... a fuir ! </t>
  </si>
  <si>
    <t>20/12/2017</t>
  </si>
  <si>
    <t>gena-b-129253</t>
  </si>
  <si>
    <t>Satisfaite du service. Le prix me convient comparé aux autres assureurs. Même si, je trouve toujours que c’est cher. Mais j’espère le faire baisser dès l’année prochaine.</t>
  </si>
  <si>
    <t>titileterrible-116189</t>
  </si>
  <si>
    <t xml:space="preserve">Ils sont très gentils et plein de promesse avant de vous faire signer un contrat, mais une foi que c'est fait ils se défaussent dès qu'ils le peuvent au premier pépin sous des prétextes parfaitement mensonger.
S'exonèrent d'absolument tout en interprétant abusivement des clauses floues bien pratique dans leurs contrats. Refusent systématiquement de prendre leurs responsabilités. Ils refusent de prendre en charge les dégâts sur votre véhicule parce que vous n'êtes pas en "tout risque", alors que le tiers responsable est identifié. A vous de vous démerder avec la partie adverse.
Suite à ce refus, quand on leur demande l'application de la garantie défense et recours pour payer experts et avocats, ils prétextent que les dégâts sur votre véhicules n'étant pas couverts, la garantie défense et recours ne peut pas s'appliquer non plus. Du jamais vu !
En bref ils vous vendent sans vous le dire un bout de papier vert qui n'offre pour protection qu'une vague responsabilité civile et le droit d'être en règle vis a vis des flics.  
Obligé de hurler pour faire valoir ses droits. Même les assurances les plus low-cost font mieux. </t>
  </si>
  <si>
    <t>07/06/2021</t>
  </si>
  <si>
    <t>jpipiol-54662</t>
  </si>
  <si>
    <t xml:space="preserve">Client depuis 2011 pour 3 contrats.
Résilié sous 10 jours pour 3 sinistres non responsables:
2014: bris de glace
2016: bris de glace et vol de mes jantes
J'ai eu la mauvaise idee de les appeler pour une modification de mon contrat (trajets pro)=resilié sous 10 jours. </t>
  </si>
  <si>
    <t>13/05/2017</t>
  </si>
  <si>
    <t>vulca-133227</t>
  </si>
  <si>
    <t xml:space="preserve">de très bon conseilles  a notre écoute je viens de souscrire mais les garantie qu' il me propose  on l'air d être correcte et le conseiller que j 'ai eu en ligne a été très aimable </t>
  </si>
  <si>
    <t>17/09/2021</t>
  </si>
  <si>
    <t>jean-j-126489</t>
  </si>
  <si>
    <t>Rapidité du service de souscription en ligne à des prix corrects 
J'ai 3 véhicules assurés chez vous.
Je recommande systématiquement Direct Assurance à mes proches</t>
  </si>
  <si>
    <t>pinari-o-132020</t>
  </si>
  <si>
    <t xml:space="preserve">Je suis satisfaite du prix et de la prestation,  les tarifs intéressants, je n'ai rencontré aucun problème rencontrés, explication claire et précise, pas d’ambiguïté, </t>
  </si>
  <si>
    <t>marechal-62208</t>
  </si>
  <si>
    <t>je viens de recevoir ma RC avec une augmentation de 11.27% , la voiture +6.93% j attends le relevé de la prévoyance...des assurances déja augmentées  l année dernière .Etant un pro je ne peux résilier ( Délai de 2 mois/ des avis arrivées 18j avant l'écheance).Je suis pris en otage. Je n ai pas eu d 'accident et je suis client depuis 1993 ...Axa a besoin d' argent pour faire ces emplettes !</t>
  </si>
  <si>
    <t>11/03/2018</t>
  </si>
  <si>
    <t>kundalinia85-61325</t>
  </si>
  <si>
    <t>Tarif intéressant la première année, ensuite ils augmentent leurs tarifs. Malgré un bonus qui augmente, les prix augmentent car Allianz se réserve le droit de modifier ses tarifs comme bon lui semble. Donc avec plus de bonus, je paie 240 euros de plus annuellement que l’année précédente. Les franchises sont élevées mais les garanties sont faibles</t>
  </si>
  <si>
    <t>10/02/2018</t>
  </si>
  <si>
    <t>bri94-63828</t>
  </si>
  <si>
    <t>sociétaire depuis plus de 40 ans, je suis restée 8 ans sans voiture, tout en conduisant régulièrement des voitures( famille, locations...). Aujourd'hui, étant de nouveau propriétaire d'un véhicule j'apprends que je ne peux plus bénéficier de mon bonus de 50%! il disparait au bout de 5 ans! aucune possibilité d'avoir un geste commercial pour des sociétaires d'ancienne date!!! bravo! je pense que je vais aller voir ailleurs, pour mes autres assurances également! pourquoi rester fidèle à "un esprit mutualiste" qui ne fonctionne que dans un sens! je n'aurai aucun mal à trouver les mêmes couvertures pour moins cher en plus!</t>
  </si>
  <si>
    <t>07/05/2018</t>
  </si>
  <si>
    <t>stephane-j-136651</t>
  </si>
  <si>
    <t>je suis satisfait, TARIF INTERESSANT.
POUVEZ VOUS ME DIRE SI JE VAIS RECEVOIR UNE CARTE.
DANS L'ATTENTE DE VOUS LIRE
MERCI BONNE SOIREE
STEPHANE JAMON</t>
  </si>
  <si>
    <t>08/10/2021</t>
  </si>
  <si>
    <t>de-visscher-103936</t>
  </si>
  <si>
    <t>LA MACIF POURRAIT FAIRE UN MEILLEUR TARIF  ASSURE DEPUIS 48 ANS A LA MACIF BIEN SUR 50% BONUS PLUS 15%  MALGRES CECI JE PAYE 460 EUROS UN PEU CHER J AI UN DEVIS A 275 EUROS L ANNEE A PEU PRES LES MEMES CONDITIONS</t>
  </si>
  <si>
    <t>steve-m-129648</t>
  </si>
  <si>
    <t>On verra la suite sur le remboursement des 2 mois offerts pour 2ème souscription de contrat automobile,j’attend de voir la suite et si c’est le cas je pourrai me faire une idée et parrainer.</t>
  </si>
  <si>
    <t>26/08/2021</t>
  </si>
  <si>
    <t>vavacali-101628</t>
  </si>
  <si>
    <t>Les garanties sont corrects le vrai plus est l'assistance 0 KM et la durée de prêt de véhicule en cas de problème Il faut néanmoins dire qu'un petit point négatif existe , il est nécessaire d'être vigilant sur les hausses de tarif chaque année.</t>
  </si>
  <si>
    <t>18/02/2021</t>
  </si>
  <si>
    <t>edwige-m-132045</t>
  </si>
  <si>
    <t>efficace simple à comprendre tarif plus correcte que le reste des assureur, c'est pourquoi je conseille cette assurance et que tous mes contrat de voiture sont ici</t>
  </si>
  <si>
    <t>nadia-64498</t>
  </si>
  <si>
    <t>J ai eu un sinistre dû a la tempête l expert de cette assurance ma fait passé pour une menteuse .l assurance bien sur et de son côté c est un comble avoir un telle sinistre et ne pas vouloir m indemnisé de plus il vienne de me résilier mon contrat habitation allor que ce sinistre a bien eu lieu.demain je vais allez résilier mon assurance voiture qui et aussi chez eux .ma fille a un contrat habitation elle va aussi le résilier ainsi que ma soeur c est quoi cette assurance a fuire.je vais demandé une contre expertise et j irais jusqu au bout pour prouvé ue je ne suis pas une menteuse.un conseille n allez pas chez groupama il prendrons vos cotisations et une fois que vous avez un sinistre adieu.je suis decus on m aviez prevenus qu ils n était pas sérieux.allor suivez bien mon conseil fuyez cette assurance</t>
  </si>
  <si>
    <t>05/06/2018</t>
  </si>
  <si>
    <t>toto-87417</t>
  </si>
  <si>
    <t xml:space="preserve">En arrêt depuis le 02 juillet 2019 pour cause de maladie , et après 120 jours de carence ,aucune nouvelle de cette assureur , j'ai transmis ce jour une mise demeure par le biais de ma protection juridique et attend la suite . Une mauvaise foi évidente et un manque de respect de la part des conseillers téléphonique. </t>
  </si>
  <si>
    <t>jeickotaspe-111596</t>
  </si>
  <si>
    <t xml:space="preserve">parfait très pratique tout se fait de la maison et déjà été assuré pour un bateau il y a quelque temp les tarifs sont très correct et bien expliqué cordialement </t>
  </si>
  <si>
    <t>25/04/2021</t>
  </si>
  <si>
    <t>adri-86917</t>
  </si>
  <si>
    <t xml:space="preserve">Bonjour, 
Le service client refuse de regarder les choses en face !!! Refuse d'entendre les choses, ne répondent pas au téléphone, envoie des courriers sans laisser les coordonnées pour répondre !!!!
passer votre chemin </t>
  </si>
  <si>
    <t>Carac</t>
  </si>
  <si>
    <t>09/02/2020</t>
  </si>
  <si>
    <t>jean74-52677</t>
  </si>
  <si>
    <t>déjà, au moment de prendre mon assurance, c'était hyper rapide et facile. tout par internet, le site est super bien fait et clair . Malheureusement, quelques temps j'ai eu un sinistre et là aussi, vraiment rien à dire, prise en charge rapide, conseillères aux petits soins. je vous recommande Peyrac Assurances</t>
  </si>
  <si>
    <t>Peyrac Assurances</t>
  </si>
  <si>
    <t>23/02/2017</t>
  </si>
  <si>
    <t>ambrine-n-109733</t>
  </si>
  <si>
    <t>Pratique, facilité de transaction en ligne, zéro papier, démarche écologique. Tarifs compétitifs, rapidité de contractualisation. Mensualités adaptées à ma situation.</t>
  </si>
  <si>
    <t>09/04/2021</t>
  </si>
  <si>
    <t>so-79601</t>
  </si>
  <si>
    <t>J'ai été très bien renseigné par le commercial Gwendal qui a été très professionnel et m'a aidé dans mes démarches. Excellent relationnel,courtois,très aimable. Je le remercie.</t>
  </si>
  <si>
    <t>30/09/2019</t>
  </si>
  <si>
    <t>yavuz-s-134189</t>
  </si>
  <si>
    <t>Je suis satisfait du service, prix très raisonnable, je recommande fortement 
Je vais conseiller à toute ma famille de s’assurer leurs véhicule chez vous</t>
  </si>
  <si>
    <t>mahfoudimed-97907</t>
  </si>
  <si>
    <t xml:space="preserve">trés tres mauvaise gestion juste aprés adhésion .. je regrette vraiment cette adhésion  
j'ai déja testé 3 mutuelles , mais cette expérience c'est vraiment autre chose ( je note 1/20)
le 1 c'est pour la communication avant adhésion </t>
  </si>
  <si>
    <t>27/09/2020</t>
  </si>
  <si>
    <t>alexandre-j-128485</t>
  </si>
  <si>
    <t xml:space="preserve">Assurance rapide et claire j'étais déjà assuré chez vous pour une golf 6 sans incident donc je reviens les yeux fermés je vous recommanderais à la famille ou des amies sans soucis </t>
  </si>
  <si>
    <t>pat-100708</t>
  </si>
  <si>
    <t>Nous sommes dans le cas d'une succession et attendons le versement des fonds..... Sans aucune réponse du siège Allianz de Strasbourg. Le coronavirus a dû décimer les gestionnaires de succession.??????</t>
  </si>
  <si>
    <t>marie-jeanne-d-129445</t>
  </si>
  <si>
    <t>je suis pour le moment satisfaite du service et de la rapidité et la facilité de la souscription en ligne. Je n'ai pas eu de difficulté apparente dans cette souscription .</t>
  </si>
  <si>
    <t>25/08/2021</t>
  </si>
  <si>
    <t>pierre-jean-f-118050</t>
  </si>
  <si>
    <t>Je suis satisfait des services de Direct Assurance et de la qualité de la relation avec le service client.
Pas d'autres commentaires à exprimer pour l'instant.</t>
  </si>
  <si>
    <t>24/06/2021</t>
  </si>
  <si>
    <t>csophies-50398</t>
  </si>
  <si>
    <t>Quand on est déjà client on est moins intéressant</t>
  </si>
  <si>
    <t>17/12/2016</t>
  </si>
  <si>
    <t>marco-95685</t>
  </si>
  <si>
    <t>Bonjour à tous, je pense que le meilleur moyen de ce faire entendre par NAOASSUR SURAVENIR est de faire une action de groupe devant les tribunaux.... pour ma part j’ai pris un avocat spécialisé en assurance...
Je suis dispo pour une action de groupe !</t>
  </si>
  <si>
    <t>Suravenir</t>
  </si>
  <si>
    <t>olivia-62384</t>
  </si>
  <si>
    <t>rien de plus à dire, si ce n'est que je ne conseille pas de s'assurer chez eux d'autant que le contrat n'a pas été mis à mon nom mais celui de ma mère. Pourquoi, ils ont dit c'est comme ça chez nous.</t>
  </si>
  <si>
    <t>15/03/2018</t>
  </si>
  <si>
    <t>tonio-130244</t>
  </si>
  <si>
    <t>assuré depuis 20 ans chez eux 1 sinistre auto qui prend feu à cause d'un court circuit sur batterie puis feu qui s'etend sur la haie du voisin et mon abris j'appelle le service depuis février et pas d'avancement ni pour moi ni pour mon voisin bref personne incompétente au telephone ...je continue pas je suis dégouté...
je déconseille cette assurance...</t>
  </si>
  <si>
    <t>fojp-125878</t>
  </si>
  <si>
    <t>Bonjour,
J'ai acheté une 125 cm3, j'ai pris l'assurance directement chez le concessionnaire pas de souci ça c'est super bien passé ! mais quand j'ai comparé les prix avec mon assureur la MACIF, il était deux fois plus chère ! pour la même chose ! 
spécialiste du deux roues et des prix bas ! ..... 
Cordialement,</t>
  </si>
  <si>
    <t>bertin-e-108143</t>
  </si>
  <si>
    <t>Satisfaite du service
Bon tarif
Personnel a l'écoute
Joignable rapidement par téléphone
Site très accessible
Très bon accompagnement des clients 
très réactif</t>
  </si>
  <si>
    <t>fabrice140167-62754</t>
  </si>
  <si>
    <t>Comparé aux autres assurances je suis plutôt satisfait au vu des différents devis reçus par d autres compagnies d assurance automobile.</t>
  </si>
  <si>
    <t>28/03/2018</t>
  </si>
  <si>
    <t>arnaud-v-130784</t>
  </si>
  <si>
    <t xml:space="preserve">Rien à redire sur les services proposés par la GMF, que ce soit pour l'habitation, la voiture ou la santé. Plutôt pas cher, très réactif. Et surtout, facilement joignable ! Et ça, c'est vraiment pas le cas de toutes les assurances...
</t>
  </si>
  <si>
    <t>laetitia-c-109816</t>
  </si>
  <si>
    <t>simple et pratique,prix interressants, reste à voir comment cela se passerra  dans le cas d'un sinistre. comment faire la declaration, à qui, en somme pas mal d'interrogations.</t>
  </si>
  <si>
    <t>sael-104873</t>
  </si>
  <si>
    <t>Après 20 ans de fidélité, voilà que ma mère subit un sinistre DDE fuite dans la dalle. Cela fait bientôt 3 mois, la fuite était invisible et a entraîné trop de dégâts. Carrelage et faïence décollés, moisissure qui apparaît dans le mur, odeur nauséabonde. 
Pacifica décide de mandater un expert . La société Texa Expertise : qui me fixe une expertise en visio conférence , j’attends quelques heures avant que l’expert me
Contacte car il était en Rtt..... 
Un véritable dialogue de sourd, il refusait de prendre en charge les dégâts suite au sinistre. Il finit par me demander un devis des travaux mais refuse de prendre en charge la réparation !!! En fait cette société n’est ni plus ni moins qu’une société d’expertise qui fait des économies pour Pacifica sur le dos des assurés. Et aujourd’hui, ils veulent encore une expertise mais sur place ! 
Ma maman qui a des problèmes de santé vit dans une maison sans pouvoir utiliser sa cuisine et dans une odeur de moisissure, alors que son état de santé est fragile.
Je vais chercher une nouvelle assurance pour ma maman des que ce dossier sera réglé.
A FUIR.</t>
  </si>
  <si>
    <t>26/02/2021</t>
  </si>
  <si>
    <t>maxval-59482</t>
  </si>
  <si>
    <t>A fuir !!!!</t>
  </si>
  <si>
    <t>07/12/2017</t>
  </si>
  <si>
    <t>sofianm-72204</t>
  </si>
  <si>
    <t>Assurance qui ne fait que d'augmentée son prix, ils ont résilié mon contrat pour impayé alors que j'ai réglé ma facture à temps et me demandent maintenant de rembourser la totalité de la somme de l'assurance sans être assuré( alors que j'ai déjà payé plusieurs mois).</t>
  </si>
  <si>
    <t>15/03/2019</t>
  </si>
  <si>
    <t>helene-b-113246</t>
  </si>
  <si>
    <t>je suis très satisfaite de la rapidité et la communication échangés avec les services. pour le devis et la mise en route du contrat d'assurance prêt immobilier.</t>
  </si>
  <si>
    <t>10/05/2021</t>
  </si>
  <si>
    <t>prescillia-102910</t>
  </si>
  <si>
    <t xml:space="preserve">Les assureurs que l’on a par téléphone sont très professionnels. Ils prennent le temps de bien expliquer les garanties liées aux contrats et sont très réactives. 
Pour les prix : je suis très satisfaite car quand je vois que j’ai des garanties topissimes et que je paye 60€ de moins par mois alors que la MATMUT m’assurait avec des garanties basiques, je ne possédais pas les options souscrites chez l’Olivier pour un prix exorbitant et à chaque fois que j’appelais on ne traitait jamais ma demande... 
qu’une chose à dire : MERCI L’OLIVIER! Enfin des personnes humaines et compétentes! Je recommande fortement! </t>
  </si>
  <si>
    <t>20/01/2021</t>
  </si>
  <si>
    <t>aurely77-67897</t>
  </si>
  <si>
    <t>Des experts dans leur domaine rien à dire. solliciter après ma demande aussitôt appeler devis soumis bonne explications de professionnelle...satisfaite de mon contrat . merci a vous.</t>
  </si>
  <si>
    <t>19/10/2018</t>
  </si>
  <si>
    <t>genbarre-64670</t>
  </si>
  <si>
    <t xml:space="preserve">Je suis très satisfaite de santiane, et les personnes qui m'ont contactée m'ont aidée à remplir les documents,et m'ont signalé les avantages auxquels j'ai droit. </t>
  </si>
  <si>
    <t>judgefil-103181</t>
  </si>
  <si>
    <t xml:space="preserve">Après deux accidents matériels responsables la maaf vous resilie. De plus après les accidents j'ai subi une augmentation de ce que je devais payer avant de finalement être résilier. </t>
  </si>
  <si>
    <t>25/01/2021</t>
  </si>
  <si>
    <t>chicanos-89008</t>
  </si>
  <si>
    <t>chefs d'entreprises , fuyez !
si vous avez pris des contrats prévoyance espérez ne jamais en avoir besoin car là commence le parcours du combattant ; comme tous les témoignages le dénonce , tous les artifices sont utilisés pour ne pas ou retarder le maximum le versement d'indemnités dues ; j'en arrive contraint à utiliser ce forum pour dénoncer les méthodes incorrectes de cette compagnie et essayer de la faire enfin agir</t>
  </si>
  <si>
    <t>20/04/2020</t>
  </si>
  <si>
    <t>jcerman-110713</t>
  </si>
  <si>
    <t>C’est la compagnie qui m’a proposé le meilleur tarif au regard des garanties, toutes compagnies et mutuelles confondues. Les modalités de paiement par semestre ou à l’année sont très pratiques.</t>
  </si>
  <si>
    <t>16/04/2021</t>
  </si>
  <si>
    <t>laetib-87703</t>
  </si>
  <si>
    <t>Mutuelle entreprise donc malheureusement pas le choix mais qualité de service 0!!! J'attends une réponse depuis lundi suite à un devis pour prise en charge de lunettes on est jeudi impossible de les avoir au tel et ne répondent pas au mail non plus!! Je ferai remonter à mon service Rh c'est une honte!!!</t>
  </si>
  <si>
    <t>27/02/2020</t>
  </si>
  <si>
    <t>cedric27-89519</t>
  </si>
  <si>
    <t xml:space="preserve">J'ai parrainé mon beau frère qui a souscrit 2 contrats chez eux et il a fait un devis sur internet avant. Du coup il refuse le parrainage. Malgré les avoir contacté ils restent sur leur position et refusent toujours de parrainer. Par conséquent je vais les quitter. Ils ne font aucun effort commercial donc voilà. Bonjour l'assurance !! </t>
  </si>
  <si>
    <t>11/05/2020</t>
  </si>
  <si>
    <t>queyrel-f-122263</t>
  </si>
  <si>
    <t>Tres bien tres correct par rapport a d autres assurances qui vous presse pour signer je me suis pas sentie harceler puisque j ai du demander un rappel gratuit merci</t>
  </si>
  <si>
    <t>03/07/2021</t>
  </si>
  <si>
    <t>jcn-54951</t>
  </si>
  <si>
    <t xml:space="preserve">Mon fils s'est fait casser une vitre de sa voiture cette semaine. Le but du ou des  voleurs: ouvrir la voiture et voler son vélo de route acheté il y a un mois, valeur 2000 euros, vélo pour lequel toute la famille s'est cotisée et dont il était enchanté.
Ce jour là il devait partir en week-end surprise avec sa copine et faire du vélo avec elle. </t>
  </si>
  <si>
    <t>28/05/2017</t>
  </si>
  <si>
    <t>echo-113519</t>
  </si>
  <si>
    <t>Bonjour,je suis d'accord avec les avis négatifs;j'ai quitter la mgen au bout de 20 ans mutuelle beaucoup trop chère et très mal remboursée.Je suis a la mage c'est une mutuelle fonction publique qui est très bien au niveau cotisation et rembourse très rapidement,je vous la conseille, je l'ai trouvée sur internet.</t>
  </si>
  <si>
    <t>12/05/2021</t>
  </si>
  <si>
    <t>delia-l-125935</t>
  </si>
  <si>
    <t xml:space="preserve">Les prix sont plus que resonnable. facile pour faire un devis en seulement quelque clic.
J attend de voir si se sera aussi facile obtenir les contrat avec la vignette verte </t>
  </si>
  <si>
    <t>beber-61907</t>
  </si>
  <si>
    <t>Je suis adhérent à la MGP depuis 5 ans, j'ai quitté Intériale car je n'arrivais jamais à trouver quelqu'un de compétent pour régler mes problèmes de remboursement ou tout simplement mes demandes d'informations. Je ne rencontre aucune difficulté à la MGP car je me rends directement à l'agence de Toulouse et j'ai toujours eu affaire à des conseillères dynamiques, souriantes et compétentes.</t>
  </si>
  <si>
    <t>christophe-c-123510</t>
  </si>
  <si>
    <t>Dans le cadre de l'assurance du cyclo de mon fils je suis satisfait du service,rapide precis,facile a remplir.
Des conditions très correctes.
Je recommande</t>
  </si>
  <si>
    <t>15/07/2021</t>
  </si>
  <si>
    <t>mediakho-133406</t>
  </si>
  <si>
    <t>Je vous déconseille vraiment direct assurance ( désormais Avanssur )
Pendant 6 ans je payais un pack sérénité à 110€ par mois pour une 320D. Ce pack sérénité s'est transformé en pack stress lors d'un sinistre NON responsable ( PV de police + vidéo de l'accident enregistré). Direct assurance ( avanssur) n'ont pas voulu prendre en charge. C'est vraiment honteux  sachant que pendant 6 ans je n'ai déclaré qu'un seul sinistre NON responsable et surtout c'est l'assurance adverse qui va payer les dégâts, direct assurance n'avait qu'a exercé le recours contre l'auteur des faits.
Direct assurance (Avanssur) non seulement ils ont refusé d'exercer le recours contre la partie adverse mais ont aussi résilié mon contrat pour cause ( aggravation de risques ).
J'ai entamé bien sûr une poursuite judiciaire contre eux et soyez rassurés il ne vont non seulement prendre les dégâts matériels mais aussi morales.</t>
  </si>
  <si>
    <t>acide2-94506</t>
  </si>
  <si>
    <t xml:space="preserve">Ne pas se laisser avoir avec les prix attractifs... Ils ne font qu'augmenter chaque année. Mon bonus augmente,  et chaque année je bataille pour que mon tarif soit régulé.
Soit disant, on l'augmente à cause des sinistres autour de chez moi. 
Au final, en 3ans on m'a augmenté de 300€, je n'ai eu qu'un bris de glace en presque 3ans, ça fait cher le pare brise. J'emménage en octobre dans une maison avec garage et alarme etc... Je résilierais direct </t>
  </si>
  <si>
    <t>18/07/2020</t>
  </si>
  <si>
    <t>frederic--b-115043</t>
  </si>
  <si>
    <t xml:space="preserve">Simple, efficaces, rapide.
Interface ludique et simple. Très rapide. Tarif extrêmement intéressant, quasiment 30% demoins que la concurrence.  Je conseille. </t>
  </si>
  <si>
    <t>kikine59-106771</t>
  </si>
  <si>
    <t>Très bonne relation d Alimatou . 
Explications au top .. Vraiment je suis enchantée d'avoir souscrit mon contrat chez Santiane..
Je recommande vivement</t>
  </si>
  <si>
    <t>victor--d-110601</t>
  </si>
  <si>
    <t>Rapide et efficace ! 
Je change d’assureurs, en découvrant April Moto je suis ravi de leurs rapidité, de leurs tarif et la facilité d’accès via internet, je recommande.</t>
  </si>
  <si>
    <t>corinne-r-135050</t>
  </si>
  <si>
    <t xml:space="preserve">Depuis 3 ans maintenant je suis chez Direct assurance et jamais eu des problèmes.
Je suis très content, ils sont sérieux et très professionnels.
Je conseil a tout le monde. </t>
  </si>
  <si>
    <t>30/09/2021</t>
  </si>
  <si>
    <t>claude-b-106483</t>
  </si>
  <si>
    <t>je suis depuis très longtemps chez direct assurance, et je suis très ravis d’être ici depuis plusieurs année maintenant avec mes 0.50 de bonus 
merci pour tous</t>
  </si>
  <si>
    <t>fabrice-b-111360</t>
  </si>
  <si>
    <t>Bonjour
Très professionnel je suis très satisfait de A à Z ??????
De plus avec une très grande simplicité...
Je conseille fortement
bonne route à tout les motard...</t>
  </si>
  <si>
    <t>23/04/2021</t>
  </si>
  <si>
    <t>basilick-113600</t>
  </si>
  <si>
    <t>A FUIR !!!
Ils m'ont augmenté ma cotisation d'assurance de 454 à 557 euros sans jamais me prévenir.
Alors je les appelle, service très désagréable, le conseillés parle mal le français et n'en n'ont rien à faire de mon problème. Ils me disent que j'ai été informé par courrier postal (avis d'échéance) de cette augmentation, mais c'est faux ! Je n'ai jamais rien reçu. 
Ils m'informent que si je souhaite faire une réclamation c'est par mail. J'envoie le mail en expliquant le problème, ils m'envoient cette fois l'avis d'échéance en PDF. Super, mais il arrive 2 mois trop tard, je leur demande donc la preuve qu'ils me l'ont vraiment envoyé y a 2 mois (cachet de la poste, avis de réception) et là plus de réponse. 
Je ne peux pas faire opposition au prélèvement car sinon je serai en faute, je leur devrais toujours cette somme plus des intérêts et je paierais plus chère pour m'assurer par la suite dans d'autre compagnies d'assurance.
FUYEZ !</t>
  </si>
  <si>
    <t>taty-54695</t>
  </si>
  <si>
    <t>Assureur impossible à contacter..j'ai une prevoyance chez eux par le biais de mon employeur . je suis en arrêt maladie depuis octobre et rien perçu..je paie tous les mois j'en ai marre!!</t>
  </si>
  <si>
    <t>15/05/2017</t>
  </si>
  <si>
    <t>totomza-125262</t>
  </si>
  <si>
    <t xml:space="preserve">Je leur envoi une demande de remboursement via leur site internet... 
Ils me répondent donc sur ma boite mail en finissant par : 
"Pour toute future correspondance, merci d'utiliser l'e-mail qui vous sera adressé en réponse à votre question et de conserver la référence : [........] dans l'objet."
Ce que j'ai donc fait... sauf que l'adresse mail de l'e-mail qui m'a été adressé en réponse est : nepasrepondre@mercer.com
Et si j'essaie de le faire via leur site internet, je ne peux que choisir parmi les choix proposés donc je ne peux pas noter la référence en objet... 
Du jamais vu. Je ne sais pas si c'est pour gagner du temps dans l'espoir d'être hors délai ou si c'est simplement pour décourager. Pour ma part c'est inadmissible. Fuyez cette mutuelle. </t>
  </si>
  <si>
    <t>mercusc-95948</t>
  </si>
  <si>
    <t>Un service très satisfaisant, des conseillers disponibles et très réactifs. Les prix sont parmis les plus bas du marché. Pour un second contrat souscrit une réduction de 15% est appliquée.</t>
  </si>
  <si>
    <t>05/08/2020</t>
  </si>
  <si>
    <t>fitou-104010</t>
  </si>
  <si>
    <t>c'est INADMISSIBLE, impossible d'avoir quelqu'un au téléphone et même en laissant un message,personne ne vous rappelle.
Je change de mutuelle dès le mois prochain .De plus , mutuelle vraiment chère par rapport aux remboursements et ceux ci quand ils sont effectués arrivent vraiment tard!</t>
  </si>
  <si>
    <t>11/02/2021</t>
  </si>
  <si>
    <t>youpi-43056</t>
  </si>
  <si>
    <t xml:space="preserve">5e demande pour changer mon adresse, aucune réponse..depuis septembre, je refais ma demande et répond a vos mails, tout comme il faut. rien n'est fait.je m inquiète pour un sinistre éventuel, me repondrez vous? 
</t>
  </si>
  <si>
    <t>28/01/2018</t>
  </si>
  <si>
    <t>ce-79005</t>
  </si>
  <si>
    <t>Changement permanent de conseiller, incapable de donner des réponses correctes, gestionnaire plus qu'odieux au téléphone! Je n'ai plus de logement depuis 15 jours et je dois me reloger à mes frais, parce que la société de travaux attends l'aval de leur expert ! C'est tout simplement scandaleux, fuyez, je n'ai jamais vu de tels incompétents</t>
  </si>
  <si>
    <t>06/09/2019</t>
  </si>
  <si>
    <t>rbarbe-57686</t>
  </si>
  <si>
    <t>Voici l'histoire que je viens de vivre. Suite au décès de mon épouse ,sociétaire depuis plus de 40 ans, Maif a décidé la radiation unilatéral de tous les contrats notamment RAQVAM habitation. Renseignement pris j'ai constaté avec stupéfaction que Maif considérait que nous étions séparés et a extrapolé au divorce. De cette situation il n'en est rien, totalement erronée sans fondement juridique. Cependant Maif a admis son erreur sur le divorce mais a maintenu la séparation au prétexte qu'elle a été évoquée lors d'un entretien avec mon épouse. Bref j'ai souffert du comportement odieux de cette compagnie. Multiples intervenants sur le dossier avec un avis différent, Pièces absentes au dossier, difficulté pour être considéré comme le représentant de la succession et l'accueil qui m'a été réservé à l'agence de Strasbourg a été une horreur, pas de condoléances, suspicion à l'égard de mes propos. Les noms d'oiseaux ont volé malheureusement.
Sociétaires et futurs sociétaire méfiance, Maif n'est plus l'assureur militant qu'il prétend être. Tout vos propos sont enregistrés et sont retournés contre vous le cas échéant en cas de sinistre</t>
  </si>
  <si>
    <t>29/09/2017</t>
  </si>
  <si>
    <t>cr7-80532</t>
  </si>
  <si>
    <t xml:space="preserve">Tarif et rapport couvertures/prix imbattables au prix d'une franchise dommage proportionnelle plus importante que la moyenne en cas de gros sinistre cependant plafonnée à 720 € 
Service client téléphonique délocalisé mais aisément joignable qui décroche presque à chaque fois en moins de 5 minutes. Assistance assez réactive et efficace avec de nombreux garages agréés (groupe Axa oblige). Seul bémol même en TR les crevaisons seules hors autoroutes ne sont jamais couverte donc aucune assistance possible pour ce seul motif précis hélas ;-( 
Sinon RAS plutôt règlo et processus de souscription online ou par téléphone plutôt simple et efficace... </t>
  </si>
  <si>
    <t>joseph-t-105182</t>
  </si>
  <si>
    <t xml:space="preserve"> Depuis que je sis assuré à DIRECT ASSURANCE j'ai toujours été  très satisfait par leurs services lors des problèmes rencontrés au sujet de mon véhicule. 
Accueil sympathique et rassurant. J'en suis totalement satisfait. </t>
  </si>
  <si>
    <t>rosa-s-125110</t>
  </si>
  <si>
    <t xml:space="preserve">je suis très satisfait du devis reçu pour mon habitation, pour mon  logement et je souscrit donc à cette offre  immédiatement en ligne merci cordialement </t>
  </si>
  <si>
    <t>billy-87369</t>
  </si>
  <si>
    <t>accident non responsable et assure tous risque mon vehicule de 434000km est VEI et direct assurance et l expert me rembourse 700 euros alors que mon vehicule roulait parfaitement avant</t>
  </si>
  <si>
    <t>19/02/2020</t>
  </si>
  <si>
    <t>alex-104624</t>
  </si>
  <si>
    <t>Je suis du même avis que les précédents commentaires ,à ce jour j'attends toujours les indemnités liés à mon accident du 09/12/20.... Lettre recommandée envoyée depuis sans retour de leur part mais ils auront encore bientôt de mes nouvelles car j'en resterai pas là ! Il faut vraiment que la justice leur tombe dessus c'est plus que honteux !!!!!!!!!!!!!!!!!!!!!!!!</t>
  </si>
  <si>
    <t>23/02/2021</t>
  </si>
  <si>
    <t>thierry-mieg-d-107079</t>
  </si>
  <si>
    <t xml:space="preserve">Très content, une équipe attentive et à l'écoute. Les prix sont excellents, les prestations sont très bien expliquées. Je recommende vivement cette assurance. </t>
  </si>
  <si>
    <t>clairekylie-71688</t>
  </si>
  <si>
    <t>Je suis très en colère. 
J'ai eu un accident dont je ne me juge pas responsable. Les conseillés Matmut ont approuvé, le garage aussi, mon entourage pareil, un agent du service sinistre aussi (nan parce que j'ai dus les appeler car ils se sont trompés de véhicule). Et une des responsable du service sinistre me rappel pour me dire que je suis responsable.. sa reponse : VOUS N'AVIEZ PAS A VOUS ENGAGEZ SUR LE ROND-POINT ! 
Donc je m'engage car je ne vois personne à ma gauche, une nana qui sort de je ne sais où me coupe la route par l'avant pour sortir sur ma droite mais je suis comme même tenue responsable. 
Après ça se dit faire respecté le code de la route. 
Les conseillés Matmut (agence de Franconville (95)) font du très bon travail mais le service sinistre est pitoyable et irrespectueux. 
Je vais faire un courrier à la direction car je pense résilier.</t>
  </si>
  <si>
    <t>27/02/2019</t>
  </si>
  <si>
    <t>cdvx--124024</t>
  </si>
  <si>
    <t>Franchement nul ! Les remboursements sont lents, leur appli est mal fichue, c’est compliqué d’échanger avec eux. Très déçue d’être obliger de passer par eux…</t>
  </si>
  <si>
    <t>adrien-102413</t>
  </si>
  <si>
    <t>Pour les prises en charge et remboursement de sinistre, la Macif s'appuie sur un réseau d'expert incompétent qui ne font que refuser:
*catastrophe naturelle est à traduire par vétusté de l'habitation
*dégâts sur clôture rue non assurés
Absence de contrat précis avec exclusion des risques, l'accueil et conseil est plus que perfectible</t>
  </si>
  <si>
    <t>10/01/2021</t>
  </si>
  <si>
    <t>yassine-r-125328</t>
  </si>
  <si>
    <t>Service WhatsApp a répondu à mes questions sur le bonus d'assurance, le devis en ligne est assez intuitif. La banque dématérialisée possède clairement de meilleurs prix, espérons que le suivi des assureurs soit à la hauteur que leur concurrents.</t>
  </si>
  <si>
    <t>weitz-p-129801</t>
  </si>
  <si>
    <t xml:space="preserve">Je trouve cette assurance très intéressante, prix très attractif, à voir par la suite si le service client est satisfaisant en cas de problème . J aimerais pouvoir faire de même pour l habitation </t>
  </si>
  <si>
    <t>pwet-62940</t>
  </si>
  <si>
    <t>Prise par le biais du Crédit Agricole, incluse dans le crédit immobilier (pour ne pas dire obligatoire **tousse**).
Nous avons eu un dégât des eaux qui à été pris en charge assez rapidement, du coup assez satisfait de la rapidité du service. Une société a été mandatée pour mettre en évidence la cause et établir un devis.
La personne en charge du dossier s'est montrée compétente et compréhensive. Surtout elle m'a bien expliquée les limitations de mon contrat et c'est là qu'on comprend qu'il vaut mieux ne pas avoir un gros sinistre :/</t>
  </si>
  <si>
    <t>04/04/2018</t>
  </si>
  <si>
    <t>florent-m-128840</t>
  </si>
  <si>
    <t>Je suis satisfait tant pour l'interface que par l'assistance téléphonique. Comme d'habitude, le service AMV est de qualité et réactif.
Bonne journée et amicalement</t>
  </si>
  <si>
    <t>20/08/2021</t>
  </si>
  <si>
    <t>ahmed-l-134841</t>
  </si>
  <si>
    <t>Je suis nouveau chez vous alors je vais voir par la suite si je serais satisfait ou pas. Cordialement
Si c'est le cas je vais vous commander à mes amis et ma famille</t>
  </si>
  <si>
    <t>fune31-57006</t>
  </si>
  <si>
    <t>25 ans assurés à la MAAF sans sinistres et viré comme un malpropre après 2 déclarations de sinistres justifiés et non responsable ! Avec eux tout va bien tant que vous ne déclarez rien, au premier problème vous êtes identifiés à risque et au second, vous êtes virés ! Tout l'inverse d'une bonne assurance .... à éviter à tout prix !</t>
  </si>
  <si>
    <t>jo-51882</t>
  </si>
  <si>
    <t>Client eurofil depuis 2012 avec 50% de bonus et sans le moindre accident chez eux, ma cotisation augmentait sans raison tous les ans de 30 euros environ sous prétexte d'augmentation annuelle alors qu'en faisant le devis sur leur site ou sur un comparateur d'assurance le prix était moins élevé.</t>
  </si>
  <si>
    <t>31/01/2017</t>
  </si>
  <si>
    <t>jean-107927</t>
  </si>
  <si>
    <t>Injoignable depuis plusieurs semaines...
Autant aller chez Carrefour Assurances ou autres... au moins vous avez quelqu'un à qui parler...
Vraiment déçu et continue à me prélever malgré ma lettre recommandé envoyé il y a 3 semaines</t>
  </si>
  <si>
    <t>25/03/2021</t>
  </si>
  <si>
    <t>chris-moldo-136090</t>
  </si>
  <si>
    <t xml:space="preserve">Je remercie le service clientèle de Pacifica pour l'efficacité de la gestion de mon accident. Dans le cas qui me concerne je n'ai rien à reprocher au personnel et sa politesse à l'encontre de leur client.
Cordialement. 
</t>
  </si>
  <si>
    <t>philippe-m-121586</t>
  </si>
  <si>
    <t xml:space="preserve">Je suis très satisfait de la réactivité, de l'implication commerciale, et des propositions de contrat en adéquation avec nos attentes.
Félicitation pour la qualité de service 
</t>
  </si>
  <si>
    <t>Mapa</t>
  </si>
  <si>
    <t>multirisque-professionnelle</t>
  </si>
  <si>
    <t>rene-thierry--s-113597</t>
  </si>
  <si>
    <t xml:space="preserve">Je suis satisfait des services proposés pour le moment. Une réactivité pour la  réalisation de notre contrat habitation et en décembre pour la suspension de notre contrat auto. </t>
  </si>
  <si>
    <t>regalado-s-116415</t>
  </si>
  <si>
    <t xml:space="preserve">Assez satisfait, je dois quand même renvoyer des documents que l'olivier assurance possède déjà .
Les prix sont plutôt correct pour la prestation 
Merci </t>
  </si>
  <si>
    <t>aldo-76207</t>
  </si>
  <si>
    <t>je suis satisfais.je n'ai pas eu de sinistres.J'ai de bons contacts avec les conseilliers.Je n'ai ni bonus nimalus,aussi je trouve le tarif de cotisation un peu eleve</t>
  </si>
  <si>
    <t>24/05/2019</t>
  </si>
  <si>
    <t>alexandre-m-127188</t>
  </si>
  <si>
    <t xml:space="preserve">Prix équivalent à la concurrence, service de qualité. Bonne relation avec la clientèle, personnel de qualité, site facile d’accès. La signature électronique facilite les choses </t>
  </si>
  <si>
    <t>09/08/2021</t>
  </si>
  <si>
    <t>mango-99562</t>
  </si>
  <si>
    <t xml:space="preserve">Mutuelle en retard de leur côté mais qui presse les adhérents pour les cotisations. Suspend le contrat sans prévenir, et sans délais (la première fois, il y a 3 mois, ils ont suspendu mon contrat le jour où ils ont reçus le règlement de ma cotisation! Ahurissant) Alors que je paye le règlement dés réception de leur demande de cotisation par la poste (certes timbre vert pour le retour du règlement mais tout de même!!) il faut être patient pour leurs délais de remboursement et pour les avoir au téléphone.. et le mot est faible .. par contre, eux, ne sont aucunement tolérants, et encore moins patient, ne proposent pas de solutions en cette année 2020 si particulière pour tous les gens comme moi, qui se retrouvent au chômage. Salariée je payais 28,27€/mois, et maintenant que je suis au chômage, (petit chômage) ils me réclament 3 mois de cotisation d'un coup, d'un seul. D'autant plus que je leur ai déjà signalé il y a 3 mois, que jusqu'à présent, le montant de ma cotisation s'élevait à 28,27€ par mois et me refont de nouveau le même coup en octobre, en suspendant, de surcroît, mon contrat et me réclamant 3 mois de cotisations d'un coup (pour octobre, novembre et décembre) !! Le règlement a été envoyé dès réception de la demande de cotisation mais mon contrat s'est tout de même retrouvé suspendu ... Lettres recommandées avec accuses réception de mise en demeure, la folie !!! On m'a d'ailleurs rassuré en expliquant que ces lettres étaient envoyées automatiquement et qu'il ne fallait pas m'inquiéter, seulement le détail c'est qu'ils suspendent en plus le contrat sans avertir, et mon inquiétude est bien plus portée là dessus que sur la menace de mise en demeure, mais ils n'ont pas l'air d'en être conscient! De plus, ils suspendent le contrat en un instant,  sans délais, mais lorsque ils reçoivent le règlement, ils leurs faut au moins 10 jours pour régulariser votre situation, incroyable non ?? Donc au final je paye une mutuelle sans être couverte !!  C'est simple, je n'ai jamais subit autant de pression de la part d'une assurance et encore moins d'une mutuelle, tout en étant aussi peu satisfaite du service !!! Je ne conseil pas du tout cette mutuelle, j'en ai déjà eu beaucoup par mes différents emplois, mais je n'avais JAMAIS vue ça nul part ailleurs !! A fuir !! J'ai envoyé mon règlement de cotisation jusqu'à décembre (en 3 chèques, on m'a confirmé par téléphone qu'ils seraient pris en compte, mais j'attend de voir ... pour le moment mon contrat est toujours suspendu en tout les cas ...) je résilie mon contrat dès que possible, à la fin de mes cotisations déjà réglées par avance pour une couverture que je n'ai pas à l'heure actuelle. Enfin si j’arrive à résilier, parce que d’après les commentaires, même ça ils n’y arrivent pas.. pour suspendre à tord et à travers les contrats ils sont fort mais pour résilier il n’y a plus personne.. navrée de voir aussi peu de professionnalisme </t>
  </si>
  <si>
    <t>03/11/2020</t>
  </si>
  <si>
    <t>marie-therese-m-133568</t>
  </si>
  <si>
    <t>SATISFAITE DU TARIF 
SATISFAITE POUR TOUT
RAPIDITE POUR SOUSCRIRE
SATISFACTION GLOBALE
TOUT EST BIEN DANS CES TARIFS
SOUSCRIT ASSURANCE AUTO
SOUSCRIT ASSURANCE HABITZTION</t>
  </si>
  <si>
    <t>niniechab-117438</t>
  </si>
  <si>
    <t>A fuir, j'ai soucrit un contrat acti projet qui est sois disant rentable je ne récupères même pas les sommes investies
Nul, défaut de conseil, compagnie à bannir!</t>
  </si>
  <si>
    <t>17/06/2021</t>
  </si>
  <si>
    <t>pavelk-66919</t>
  </si>
  <si>
    <t>Grosse fuite dans mon appartement locatif a été pris en charge intégralement par cet assureur Pacifica. Il s'agit du deuxième sinistre que je fais face avec eux et à chaque fois la société fait preuve du professionnalisme et réactivité.</t>
  </si>
  <si>
    <t>14/11/2018</t>
  </si>
  <si>
    <t>olivier-c-109180</t>
  </si>
  <si>
    <t>Les tarifs ne semblent plus aussi attractif. J'envisage peut-être de changer d'assureur en fin d'année.
Je ne manquerai pas de revenir vers vous pour de plus amples renseignements.
Cordialement.</t>
  </si>
  <si>
    <t>caroline-j-123170</t>
  </si>
  <si>
    <t xml:space="preserve">Je suis satisfaite du service, rapidité pour effectuer le devis, tout est clair.
Prix intéressant. 
Les prix me conviennent, facilité des démarches prises. </t>
  </si>
  <si>
    <t>12/07/2021</t>
  </si>
  <si>
    <t>delep-59252</t>
  </si>
  <si>
    <t xml:space="preserve">-Le « conseiller » gmf : « Si je comprends bien, vous reprochez à nos conseillers juridiques de n'apporter aucune aide à un problème que vous avez depuis des mois? »
-L’adhérent gmf : « je l'ai écrit(courrielS), je l'ai dit(téléphoneS), vous n'avez plus rien de mutualiste, ni de commercial au sens noble, vous vous dissimulez derrière des pseudos procédures "higth tech", internet, réseaux sociaux...qui permettent de faire disparaitre l’intervention et la présence humaine, disparition qui rime avec profit, GMF l'ASSURANCE, LA MUTUELLE QUI NE VOUS CONNAIT PAS! »
</t>
  </si>
  <si>
    <t>santo-j-121841</t>
  </si>
  <si>
    <t>Pour l'ìnstant satisfait car je n'ai eu aucun problème. et mon contact avec le personnel très satisfaisant quand j'ai eu un doute... j'espère que ça continuera comme ça</t>
  </si>
  <si>
    <t>delamarre-c-115569</t>
  </si>
  <si>
    <t xml:space="preserve">Je viens juste de souscrire . Rapide efficace tout en ligne comme j'aime, car pas de prise de tête au téléphone. A voir dans le futur. Mais très bonne première impression 
</t>
  </si>
  <si>
    <t>yvette-c-107926</t>
  </si>
  <si>
    <t>Je ne suis pas satisfait car les prix des vos offres augmentent chaque année bien que la valeur de mon véhicule se déprécie. Cela devrait être plutôt le contraire. De surcroit, vous faites des pub en mentionnant qu'après 3 ans chez vous sans accident et autres, le bonus passe à 0.50. eh ben c'est mon cas et rien!</t>
  </si>
  <si>
    <t>dylan-s-139211</t>
  </si>
  <si>
    <t>Je suis satisfait du service et de l’offre que propose April moto. Je pense pouvoir prendre la route sereinement en sachant que je suis potentiellement bien assuré.</t>
  </si>
  <si>
    <t>hugues-75267</t>
  </si>
  <si>
    <t>Minable. Sinistre clos depuis 6 mois et toujours pas d'indemnisation, impossible à joindre au téléphone et ne repond pas au recommandés avec AR. Mon contrat est résilié sans que j'en soit averti.</t>
  </si>
  <si>
    <t>AssurOnline</t>
  </si>
  <si>
    <t>12/05/2019</t>
  </si>
  <si>
    <t>83pap-62705</t>
  </si>
  <si>
    <t>J'ai contacté plusieurs fois la Maaf par tél. et sur place, et TRES déçu, il n'y a que dans la PUB où l'on écoute le client, dans la réalité on en a que faire.</t>
  </si>
  <si>
    <t>27/03/2018</t>
  </si>
  <si>
    <t>ouepik-71960</t>
  </si>
  <si>
    <t xml:space="preserve">Incompetents nuls et de mauvaise foi Les documents envoyes ne sont jamais reçus ou le recto ou le verso est manquant Quand enfin ils parviennent a valider un dossier un mail de felicitations vous est adressé C est à eux qu il faut dire felicitation de reussir à reunir tous les documents les recto les verso etc envoyes plusieurs fois ! Ils ne savent meme pas repondre a des questions simples d'assurance ! Je n attends qu une chose la fin de cette 1ere annee pour vite changer ! Honteux! Je prie pour ne pas avoir a declarer de sinistre avec eux la prise en charge et l'indemnisation doit etre catastrophique ! A fuir vraiment ! </t>
  </si>
  <si>
    <t>07/03/2019</t>
  </si>
  <si>
    <t>jam-105846</t>
  </si>
  <si>
    <t>Bonjour
J ai eu un accident le 19 septembre 2019
Toujours aucune nouvelle
J appel une fois par mois il change toujours de version
Presque 2 ans sans nouvelles
Attention !</t>
  </si>
  <si>
    <t>08/03/2021</t>
  </si>
  <si>
    <t>mazzon-n-127623</t>
  </si>
  <si>
    <t>Le service client est à l'écoute et agréable, ce qui devient rare.
C'est le deuxième véhicule assuré dans le foyer et l'offre cumulative est intéressante.</t>
  </si>
  <si>
    <t>idirb-76473</t>
  </si>
  <si>
    <t xml:space="preserve">victime d'un incendie, ma voiture est gravement sous estimée par l'expert. 
Une C4 de 2013 qui a roulé 98000, payéé 12300 euros en 2016, remboursée 6820 euros en 2019 (en roulant 16000 KM/AN)!
Quand un sinistre vous tombe sur la tête on vous abandonne sans scrupule. Si vous avez un bon véhicule, cherchez un autre assureur. </t>
  </si>
  <si>
    <t>05/06/2019</t>
  </si>
  <si>
    <t>hulotte-79866</t>
  </si>
  <si>
    <t xml:space="preserve">Mon fils jeune conducteur a eu cette année 2 accrochages mineurs avec sa voiture et les a déclarés à la MAIF. L'assureur nous a téléphoné ensuite pour nous dire que la prochaine fois, il  ne voulait plus l'assurer. Nous les parents sommes assurés depuis plus de 30 ans à la MAIF avec un bonus maximal depuis longtemps, mais cela ils n'en tiennent pas compte bien sur. Moralité, si vous avez un accrochage, surtout ne soyez pas honnête, vous serez puni ! La MAIF, assureur...militant ? Mais qui milite pour quoi au juste ? uniquement pour la bonne santé du groupe (comme précisé sur son site), pas celle des sociétaires ! Il y a usurpation d'identité parce que le M de MAIF signifie mutuelle, mais peut-être ne savent-ils pas ce que cela veut dire... après autant d'années passées en tant que sociétaire MAIF, je suis amère et déçue de voir ce qu'ils ont fait de cette belle mutuelle : une compagnie d'assurance comme les autres. Si vous cherchez un assureur, ne vous fiez pas au beau discours affiché dans les pubs, vous ne trouverez plus ces valeurs à la MAIF. </t>
  </si>
  <si>
    <t>09/10/2019</t>
  </si>
  <si>
    <t>fredcan-70025</t>
  </si>
  <si>
    <t>Attention!! Ils vous harcèlent pour souscrire et le jour où vous trouvez un emploi ils feront tout pour vous empêcher de résilier. J'ai du refaire faire les documents 3 fois par les ressources humaines pour des raisons abusives.</t>
  </si>
  <si>
    <t>08/01/2019</t>
  </si>
  <si>
    <t>phileas76-54625</t>
  </si>
  <si>
    <t>Assuré depuis plus de 15 ans, je n'ai jamais eu d'accident . Le seul incident m'est arrivé l'été dernier à 700 Km de chez moi (panne suite à fusible grillé). Bien que cela soit couvert par mon contrat, l'assistance matmut n'a pas pu me mettre en relation avec un dépanneur. C'est un allemand qui passait par là qui m'a aimablement dépanné.</t>
  </si>
  <si>
    <t>11/05/2017</t>
  </si>
  <si>
    <t>frantz-81655</t>
  </si>
  <si>
    <t>Groupama est un excellent assureur : la relation clientèle est irréprochable, les conseillers très aimables ; la réponse à une question est garantie, et lorsque vous avez un problème, ils vous remboursent sans chercher à fuir leurs responsabilités ; l'excellence a un prix et leurs tarifs sont malheureusement revus à la hausse chaque année, c'est un peu là où le bât blesse.</t>
  </si>
  <si>
    <t>03/12/2020</t>
  </si>
  <si>
    <t>cochka-68084</t>
  </si>
  <si>
    <t>mutuelle chère et peu de remboursement mais !</t>
  </si>
  <si>
    <t>26/10/2018</t>
  </si>
  <si>
    <t>lindalinda-64805</t>
  </si>
  <si>
    <t>Assurance santé qui s'adapte bien à mes besoins  en santé. Lors de la souscription une étude a été faite pour répondre à mes besoins et s'adapter le plus à mes envies</t>
  </si>
  <si>
    <t>15/06/2018</t>
  </si>
  <si>
    <t>aissam-t-108189</t>
  </si>
  <si>
    <t>Très bien, je suis satisfait , bon rapport qualité prix, reste avoir la gestion des mensualités avec le boitier. Personnel très sympa et accueillant. Je recommande</t>
  </si>
  <si>
    <t>marion-p-122956</t>
  </si>
  <si>
    <t xml:space="preserve">Satisfait de la rapidité du service et des prix bas.
À voir par la suite mais il a été très simple de souscrire à l'assurance April moto. Merci aux conseillers </t>
  </si>
  <si>
    <t>auffret-c-116648</t>
  </si>
  <si>
    <t xml:space="preserve">très satisfait personnel compétent très disponible très polis très compréhensible . je ne sais pas quoi écrire de plus à part me souhaiter de ne pas avoir d’accident. </t>
  </si>
  <si>
    <t>10/06/2021</t>
  </si>
  <si>
    <t>sagat-109990</t>
  </si>
  <si>
    <t>Tarifs en perpétuelle augmentation. 
Dédommagement médiocre des sinistres non responsables, même après 15 d'assurance de plusieurs véhicules sans aucun sinistre !!!
À déconseiller !
À éviter !</t>
  </si>
  <si>
    <t>11/04/2021</t>
  </si>
  <si>
    <t>fredo92-63526</t>
  </si>
  <si>
    <t xml:space="preserve">et pourtant il me faut juste une attestation de responsabilité civile mais c'est un vrai parcourt du combattant .je passe par mon agence a levallois Perret mais impossible de les avoir au téléphone .donc je passe par le service clientele axa mais on peut rien faire pour vous car faut passer par les bureaux de Nanterre ou la defense je ne sais plus bref on les contacte par mail et par courrier pour etre sure d'avoir notre fameuse attestation mais non rien a faire ca fait plus de 1 mois que on a pas de réponse .alors la que faire j'avoue être un peu perdu  .merci axa </t>
  </si>
  <si>
    <t>09/05/2019</t>
  </si>
  <si>
    <t>michael-b-107249</t>
  </si>
  <si>
    <t>J'ai trouvé le site intuitif. Les démarches sont rapides à effectuer, via mail et l'espace client. Les tarifs semblent corrects. pas de frais annexes excessif.</t>
  </si>
  <si>
    <t>20/03/2021</t>
  </si>
  <si>
    <t>manu68-139252</t>
  </si>
  <si>
    <t xml:space="preserve">Gestion des sinistres nul,à éviter impérativement.
Expert mandaté incompétent dont le seul but est d’éviter d’indemniser les clients
J’avais une assurance protection juridique chez eux que j’ai également annulé </t>
  </si>
  <si>
    <t>vincent-95727</t>
  </si>
  <si>
    <t>Bonjour,
Rapport qualité / prix correct
Je regrette 3 choses:
1) Nous n'avons plus de courrier annuel nous indiquant les taris de l'année / A-1; il faut aller sur le site et ce n'est pas toujours clair. Nous voyons mal les écarts de tarif.
2) MATMUT cumule les montants de cotisation assurances autos + habitation; je préférerai un prélèvement auto et un autre habitation, car on ne sait plus ce que l'on paie.
3) Nous ne pouvons pas communiquer par mail, ce qui est pourtant pratique; il faut toujours passer par le site; ce qui est bcp plus long.
Cordialement,
Vincent Gadenne
0622190244</t>
  </si>
  <si>
    <t>francois-78892</t>
  </si>
  <si>
    <t>Caroline a été d'une grande efficacité en résolvant en temps réel un problème de télétransmission. 5 mn après nos échanges, j'ai reçu un appel de la sécurité sociale me confirmant l'activation. Difficile de faire mieux ! Merci Caroline :)</t>
  </si>
  <si>
    <t>03/09/2019</t>
  </si>
  <si>
    <t>gonzalez-v-131721</t>
  </si>
  <si>
    <t xml:space="preserve">Je suis satisfait, très bien conseillés, mes parents sont assurés chez vous et m ont recommandé l assurance de l Olivier. Personne au bout du téléphone très professionnelle et accueillante merci </t>
  </si>
  <si>
    <t>07/09/2021</t>
  </si>
  <si>
    <t>eric-b-114682</t>
  </si>
  <si>
    <t>Satisfait du rapport qualité prix , des options disponibles. Souscrire en ligne est un plus et relativement facile.
Merci pour la facilité de la prise en main.</t>
  </si>
  <si>
    <t>paolina-f-114926</t>
  </si>
  <si>
    <t xml:space="preserve">je suis satisfaite de vos services les prix sont correcte 
les conseils téléphoniques sont très compréhensible et simples 
ainsi que par messagerie.
 </t>
  </si>
  <si>
    <t>alain-b-116816</t>
  </si>
  <si>
    <t>Simple et rapide, j attends de voir la suite en cas de problème ainsi que la réactivité au téléphone si j ai besoin de les avoir! J attends maintenant mon contrat !</t>
  </si>
  <si>
    <t>12/06/2021</t>
  </si>
  <si>
    <t>drame-m-112527</t>
  </si>
  <si>
    <t xml:space="preserve">Prix intéressant concernant l assurance tous risques.  Au vue des garanties demandées je suis même surpris. L avantage de l assurance en ligne. Simple d utilisation </t>
  </si>
  <si>
    <t>04/05/2021</t>
  </si>
  <si>
    <t>buddy-125416</t>
  </si>
  <si>
    <t xml:space="preserve">Suite a des travaux à  ma maison j'ai demandé le rachat totale de mon assurance  vie le remboursement c'est  fait rapidement en une semaine en ligne merci allianz avoir été a mon  écoute </t>
  </si>
  <si>
    <t>jean-63092</t>
  </si>
  <si>
    <t>Mon contrat a été signé informatiquement par mes soins en faisant confiance à une jeune incapable ou peu formée me garantissant de recevoir une version papier avant un délais de rétractation sous 14 jours comme le prévois la loi alors que reçu 20 jours après donc plus de possibilité de se rétracter et des cotisations ne correspondant pas à ma demande(pas assez élevées), ni à la couverture souhaitée mais avec une option capital décès sois disant comprise mais en réalité étant un autre contrat jamais sollicité m'amputant drastiquement ma cotisation mutuelle.
J'attend une solution ayant déja engagé des soins mais aucune réponse.</t>
  </si>
  <si>
    <t>09/04/2018</t>
  </si>
  <si>
    <t>druard-a-121948</t>
  </si>
  <si>
    <t>J AI FAIT UN DEVIS LE 24 JUIN SUR VOTRE SITE ET LE LENDEMAIN JE L AI CONFIRME QUAND J AI VOULU FAIRE UN COMPARATIF DU COUP VOUS M AVEZ REFUSE LE PARRAINAGE PAS TRES COMMERCIAL ET J AI DU FAIRE REMARQUER QUE LE BONUS PASSE A 0,76 SINON IL ME LAISSE A 0,80 !!!!!!</t>
  </si>
  <si>
    <t>ventre-s-123624</t>
  </si>
  <si>
    <t>Je suis satisfait du service rapidité prix raisonnable je recommande cette assurance je vais de ce pas en parler à mes proches je pense prochainement assurer ma maison également chez vous</t>
  </si>
  <si>
    <t>16/07/2021</t>
  </si>
  <si>
    <t>didier-64363</t>
  </si>
  <si>
    <t>aucune prise en charge suite a un constat non responsable "une voiture est venu s'encastrer dans mon portail".Aucun déplacement d'expert,juste un mail en me disant qu'il ne pouvait pas donnez suite car il  n'y avait pas de close dans mon assurance habitation pour les dégat exterieur.Pour moi theoriquement c'est a l'assurance de celui qui m'est rentré dans le portail qui doit prendre en charge les frais. !!!!Mais rien n'est fait par la macif
Je deconseille cette assurance</t>
  </si>
  <si>
    <t>31/05/2018</t>
  </si>
  <si>
    <t>jean-francois-b-109896</t>
  </si>
  <si>
    <t>satisfait du service renseignements clairs et précis par téléphone. le prix reste correct quand on recommence a être assuré; interlocutrice agréable et disponible</t>
  </si>
  <si>
    <t>10/04/2021</t>
  </si>
  <si>
    <t>razmokets-42148</t>
  </si>
  <si>
    <t xml:space="preserve">Bonjour
Plus ca va et plus ca se dégrade. Il y a quelques années je demande une assurance scolaire pour mon fils qui allait rentrer à l'école. On me dit qu'il faut faire un avenant au contrat habitation. Je signe donc l'avenant mais le Crédit Mutuel ne m'informe pas à ce moment la que je ne dépends plus des mêmes conditions générales que précédemment. Il y a 3 ans je déclare un sinistre et là on m'informe que je ne suis plus couvert car les conditions générales sont je dépends ne me couvrent pas. Je vérifie alors mon contrat initial et aucune mention n'y était faite. Bref, pour une demande d'assurance scolaire, je me retrouve sans des garanties pour lesquelles j'étais couvert initialement . J'envisage d'aller devant les tribunaux car la situation ne peut plus durer..  et la, le Crédit mutuel me refait le même coup avec l'assurance auto d'un nouveau véhicule. . </t>
  </si>
  <si>
    <t>22/10/2018</t>
  </si>
  <si>
    <t>pierre-103687</t>
  </si>
  <si>
    <t>Adhérent depuis le 01 janvier 2021, ce jour, j'ai eu un bon échange avec Emeline.
De grosses difficultés à faire modifier mon mois de naissance et obtenir un nouveau échéancier compte tenu du non respect de ma demande à la souscription de prélever le 05 de chaque mois. J'espère que Emeline a fait cette fois le travail non réalisé par CP assurance.</t>
  </si>
  <si>
    <t>marc-o-132007</t>
  </si>
  <si>
    <t>Simple, bon tarifs et rapide, mais pas eu à m 'en servir depuis que je suis assuré donc pas d'avis sur les services en cas de sinistre; à voir donc lorsque j 'aurai à m 'en servir (j epere ....jamais !!!!)</t>
  </si>
  <si>
    <t>thibault59-58185</t>
  </si>
  <si>
    <t xml:space="preserve">Après un accident arrivé le 17 juillet 2017, je ne suis toujours pas indemniser a 100% alors que je n'ai aucune responsabilité et une moto épave.. En plus des mois 3 mois d'assurance prélevé après la cession du véhicule a l'assureur </t>
  </si>
  <si>
    <t>18/10/2017</t>
  </si>
  <si>
    <t>christian-c-122943</t>
  </si>
  <si>
    <t>Compagnie d'assurance qui me donne entière satisfaction. 
Très bien placée sur le montant de cotisations et prise en compte sérieuse lors d'un sinistre.</t>
  </si>
  <si>
    <t>audrey-70202</t>
  </si>
  <si>
    <t>J'ai souscris un contrat d'assurance auto au 14/12/18. Après de multiples appels pour connaitre la nature des documents que je devais envoyer, on m'informe la semaine dernière que mon dossier est complet et que je recevrais ma carte verte après vérification du relevé d'informations auprès de mon ancien assureur. Et le lendemain, ho surprise, on me recontacte pour m'informer qu'il manque finalement la carte grise du véhicule que j'avais pourtant envoyée. Depuis, j'ai renvoyé cette carte grise sur mon espace client, depuis mon mobile,ordinateur, par mail....et lors de mes multiples appels au service client personne n'est capable de me dire si cette carte grise a bien été reçue, mon attestation provisoire d'assurance prenais fin hier et aucune réponse satisfaisante du service client. Ils sont incompétents, irrespectueux. Quand je vois la façon dont sa se passe pour une simple finalisation de contrat, cela ne laisse rien présager de bon en cas de sinistre. Un conseil: FUYEZ !!!</t>
  </si>
  <si>
    <t>15/01/2019</t>
  </si>
  <si>
    <t>pompier-98538</t>
  </si>
  <si>
    <t>Contrat cher  ,la multirisque est loin de couvrir les dégats du a une tempéte  faire du fric sur le dos  du client  ,trés  déçu ++ au bout de 50 annnées.</t>
  </si>
  <si>
    <t>10/10/2020</t>
  </si>
  <si>
    <t>viviane-67990</t>
  </si>
  <si>
    <t>Remerciements à Stéphane Gauthier et Erika pour :
leur écoute
leur patience
leurs conseils
leurs compétences
Ma mutuelle commence le 01/02/2019 et je pars avec beaucoup de confiance et pense que je ne serai pas seule pour être bien consillée.</t>
  </si>
  <si>
    <t>23/10/2018</t>
  </si>
  <si>
    <t>llj-79838</t>
  </si>
  <si>
    <t>Politesse, amabilité et réactivité sont au RDV lors des appels. Je remercie particulièrement Caroline pour son aide et son implication !</t>
  </si>
  <si>
    <t>frederic-g-116238</t>
  </si>
  <si>
    <t>3 Fois ou j'appelle et le suivis n'est pas fais par vos conseillé qui nous raconte et comprenne que la moitié et surtout qu'ils mentent ils annonces des choses et il ne se passe rien bref je vais changer d'assureur</t>
  </si>
  <si>
    <t>christian-63257</t>
  </si>
  <si>
    <t>c est une mutuelle avec un fonctionnement qui se rapproche de celui de  la sncf, avec la grève en moins .</t>
  </si>
  <si>
    <t>did42-74694</t>
  </si>
  <si>
    <t>Bonjour , étant assuré depuis 2011 sans aucun sinistre , mon assurance a augmenté de 10% en 2018 et 10% en 2019 sans aucune explications , ou plutôt si pour prendre leur nouveau contrat que matmut m'a proposé plusieurs et qui bien sur n'est pas moins chère ,matmut applique des hausses trés importantes , en plus à la résiliation au 7/02/2019 ,matmut fait payé les frais de dossier annuel et taxe attentat annuelle aussi donc pour le mois de février(7 jours) je paye plus que ma mensualité de janvier , merci matmut !!</t>
  </si>
  <si>
    <t>02/04/2019</t>
  </si>
  <si>
    <t>zazou31-67357</t>
  </si>
  <si>
    <t>12 ans que je suis à la gmf, aujourd'hui je suis en difficulté suite à un licenciement. Je demande un geste.
Rien n'est possible et en plus de ça on me dit droit dans les yeux que je n'ai pas le droit de résilier mon assurance auto ni mon assurance habitation. On va me dire qu'il n'était pas au courant de la loi Hamon ?
Oups...mais que vois je ! On m'a reengagee pour 1 an en modifiant juste la clause petit conducteur. Mais qu'est ce qu'ils sont malins ! 
Je suis déçue, avec le sentiment de me faire avoir.</t>
  </si>
  <si>
    <t>04/10/2018</t>
  </si>
  <si>
    <t>rachida-j-128431</t>
  </si>
  <si>
    <t>Après plusieurs tentatives je constate que les prix varient en fonction des connexions internets. Le service client n'a pas été en mesure de m'expliquer cette variation</t>
  </si>
  <si>
    <t>razlekul-112470</t>
  </si>
  <si>
    <t>bonjour
tans que vous n'aurez besoin de rien, eurofil est l'assurance parfaite.
très mauvaise prise en charge d'un sinistre à l'étranger.
prestataire local extérieur inefficace (moins disant ?) et véhicule de remplacement inadapté 
toujours moins disant
comme beaucoup d'assurance, le tous risque ne veux rien dire.
n'hésitez pas à les appeler pour vérifier vos conditions et garanties, vous seriez surpris...</t>
  </si>
  <si>
    <t>03/05/2021</t>
  </si>
  <si>
    <t>mrstephd-96176</t>
  </si>
  <si>
    <t>A FUIR ! Je déconseille très fortement cet assureur chez qui vous ne pouvez pas récupérer vos fonds investis sans adresser plusieurs réclamations . Aucune considération clients et aucune communication. UNE HONTE !!!</t>
  </si>
  <si>
    <t>11/08/2020</t>
  </si>
  <si>
    <t>clarisse--102216</t>
  </si>
  <si>
    <t xml:space="preserve">Je suis bénéficiaire d un contrat d assurance vie de part ma tante décédée en septembre 2020 nous sommes trois bénéficiaires cela fait deux semaines que les deux autres bénéficiaires ont reçu l attestation sur l honneur 990i qu ils ont retourné rempli à sogecap depuis le capital leur a été versé malheureusement pour moi je n ai jamais reçu ce document cela fait deux semaines que je me bats avec sogecap pour l avoir sois disant envoyé par deux fois je ne le reçois jamais je leur ai proposé de me le transmettre en pdf ils me disent que ça leur ai impossible c est aberrant on tourne en rond ils me parlent de délais postaux etc comment se fait il que les deux autres bénéficiaires ont eu ce document et pas moi je passe mon temps au téléphone avec eux sans succès je n ai jamais le même interlocuteur je suis à la société générale depuis plus de 20 ans je suis extrêmement déçue moi qui ensencais ma banque je ne sais plus quoi faire </t>
  </si>
  <si>
    <t>Sogecap</t>
  </si>
  <si>
    <t>05/01/2021</t>
  </si>
  <si>
    <t>jonathan-h-110842</t>
  </si>
  <si>
    <t xml:space="preserve">Prix excessivement élevés pour assurer un 2-roues, c'est dommage... 900€/an (même pas en tout-risques) ? De nos jours, nombre de voitures sportives qui sont assurées (même avec des conducteurs "non-seniors") ne paient pas ce prix là... </t>
  </si>
  <si>
    <t>18/04/2021</t>
  </si>
  <si>
    <t>leconte-a-114776</t>
  </si>
  <si>
    <t xml:space="preserve">Je suis satisfait de l assurance Lolivier assurance 
Des tarifs abordable des options pas tres couteuse , je recommanderai a mes proches 
A voir si il y a une augmentation de tarifs , l annee prochaine </t>
  </si>
  <si>
    <t>horth-m-108586</t>
  </si>
  <si>
    <t xml:space="preserve">Trop cher et beaucoup trop de franchises. J'ai eu de grosse difficulté à envoyer les documents demandés.                                                </t>
  </si>
  <si>
    <t>31/03/2021</t>
  </si>
  <si>
    <t>alkatraz-79762</t>
  </si>
  <si>
    <t>Bonjour jai souscris chez eux une assurance voiture avec paiement d'avance de 139€ le 16 09 2019 Ils m'ont résillé  deux jours plus tard car jai indiqué 090 de bonus sur le devis en ligne alors que  le RI indiqué 095 Une légère erreur que je paie cash Surtout quand on a un mois pour valider le dossier Je me retrouve donc sans assurance et sans aucun remboursement. Je suis face à un mur Révoltant.</t>
  </si>
  <si>
    <t>06/10/2019</t>
  </si>
  <si>
    <t>villard-116336</t>
  </si>
  <si>
    <t xml:space="preserve">Accident non responsable depuis plus d'une année et toujours d’indemnisation payée (900 euros). Il font venir une boite d'expertise (BCA) qui dévalue outrageusement la valeur de votre véhicule et la classe VEI (véhicule économiquement irréparable ) pour un pare choc avant et 1 optique. J'ai payé 150 euros de pièces et j'ai fait le boulot. L'expertise BCA a plus de 4500 euros. Chercher l'erreur.... Je leur colle un médiateur de la République aux fesses et surement un procès au bout même si je perds de l'argent. Passez votre chemin allez ailleurs   </t>
  </si>
  <si>
    <t>08/06/2021</t>
  </si>
  <si>
    <t>abadie-c-122742</t>
  </si>
  <si>
    <t>Je suis satisfait du service.
Cependant la signature électronique n'est pas du tout évidente (Pourtant je travaille dans l'informatique et les télécoms) peut être à cause du navigateur utilisé : Firefox sous Windows 10 (il y a peut être des vérifications à faire avec cette configuration).</t>
  </si>
  <si>
    <t>07/07/2021</t>
  </si>
  <si>
    <t>chej-s-125895</t>
  </si>
  <si>
    <t xml:space="preserve">Je suis très content de vous rejoindre en espérant être satisfait par les services , pour le coup je vous remercie du service et la facilité d’accès et au service </t>
  </si>
  <si>
    <t>pascal-106655</t>
  </si>
  <si>
    <t>PARFAIT    SERVICE    EN    LIGNE,    TARIFS     FACILITE       POUR EFFECTUER      LES       DEMARCHES       EN LIGNE          JE RECOMMANDE. J'ATTENDS DE RECEVOIR MA CARTE VERTE</t>
  </si>
  <si>
    <t>20/04/2021</t>
  </si>
  <si>
    <t>barbarossa-57803</t>
  </si>
  <si>
    <t>Satisfaite des services de la GMF.  Personnel agréable et disponible, documents clairs et simples. Mon seul regret est que les prix soient trop élevés dès qu'on prend un véhicule un peu puissant. C'est dommage...</t>
  </si>
  <si>
    <t>04/10/2017</t>
  </si>
  <si>
    <t>dassonville-v-113539</t>
  </si>
  <si>
    <t>Parfait, tarif tres interessant par rapport a la concurrence  personne agreable au telephone qui prend le temps de bien explique, je recommandes sans hesité</t>
  </si>
  <si>
    <t>xavier-l-128472</t>
  </si>
  <si>
    <t>aucun contact possible j'ai appeler 5 fois ou plus, on me raccroché au nez.
les prix sont bas mais on sais pourquoi quand on leur téléphone.
Je ne suis pas du genre à poster des avis et encore moins des négatif habituellement mais là c'est juste trop</t>
  </si>
  <si>
    <t>frm-53755</t>
  </si>
  <si>
    <t xml:space="preserve">Assuré depuis plus de 30 ans, la MACIF a toujours répondu aux quelques problèmes que j'ai rencontrés. L'aide apportée a été utile, les remboursements ont été conformes et dans les temps. </t>
  </si>
  <si>
    <t>31/03/2017</t>
  </si>
  <si>
    <t>esther-60013</t>
  </si>
  <si>
    <t>Une honte! Il faudrait un meilleur encadrement pour ce type de services car à l'heure actuelle les assureurs font la loi au détriment des assurés.</t>
  </si>
  <si>
    <t>28/12/2017</t>
  </si>
  <si>
    <t>boulogne-89803</t>
  </si>
  <si>
    <t>scandaleux. lors d'un dommage électrique du à une surtension, un appareil de régulation de ma piscine s'est détériorée, entrainant une un surdosage d'acide. cela a détérioré ma bâche et mon liner qui sont eux aussi assuré en plus (extension). malgré cela, je me suis fait rejeté. Pour le service commercial, on est bien assuré, mais on est tributaire de n'importe quel individu qui peut vous rejeter sans explications. pour moi, c'est honteux. c'était mon premier sinistre depuis 50 ans. Je pense aller devant les tribunaux. De plus, j'essaie de passer cela sur RTL avec Julien Courbet. je suis écoeuré</t>
  </si>
  <si>
    <t>20/05/2020</t>
  </si>
  <si>
    <t>celine-75442</t>
  </si>
  <si>
    <t>ASSURANCE PRISE EN COMPTE IMMEDIATEMENT. PRIX ATTRACTIF. RELATION CLIENTELE EXCELENTE. ARRET DE L ASSURANCE DE MON DEUX ROUES DU A UNE VENTE TRES RAPIDE</t>
  </si>
  <si>
    <t>anna-91409</t>
  </si>
  <si>
    <t xml:space="preserve">Mon fils de 23 ans et décédé accidentellement, je suis sa maman,  la seule bénéficiaire.  depuis 6 mois le dossier n'aboutit pas,  les pièces demandées ne suffisent pas,  à chaque courrier on demande encore et encore des pièces justificatives du décès...je n'en peux plus ! </t>
  </si>
  <si>
    <t>18/06/2020</t>
  </si>
  <si>
    <t>eric-c-131101</t>
  </si>
  <si>
    <t>Je trouve que le site et bien et les prix sont bas et il nous assure immédiatement très satisfait de cette assurance et elle m'a été recommandé par une personne broche</t>
  </si>
  <si>
    <t>03/09/2021</t>
  </si>
  <si>
    <t>sandrin-d-121380</t>
  </si>
  <si>
    <t>Je suis très satisfait. Bon accueil, très chaleureux, accueillant, sympathique, très explicite, très bon rapport qualité prix je ne regrette mon choix. Bonne journée à vous</t>
  </si>
  <si>
    <t>28/06/2021</t>
  </si>
  <si>
    <t>kevin-n-111943</t>
  </si>
  <si>
    <t>Pour le moment je suis satisfait du service, en espérant que cela ne soit pas négatif par la suite. Concernant les prix franchement revoyez à la baisse le prix du pack avec assistance 0?km et scinder cela du pack sérénité</t>
  </si>
  <si>
    <t>28/04/2021</t>
  </si>
  <si>
    <t>la-fille-qui-fuit--110006</t>
  </si>
  <si>
    <t xml:space="preserve">Une catastrophe. Ma voiture, épave depuis des mois, ne me rembourse toujours pas comme il est prévu.J'appelle tous les deux jours, jamais de réponse.
6 mois sans voiture, j'en ai perdu mon job faute de ne pas être indemnisé pour acheter ou louer une autre voiture, et le pire c'est que je paye encore tous les mois. Je demande un remboursement des cotisations qu'on m'accorde, par téléphone, rien est écrit et rien ne se passe.
Quand on appelle, genre il n'y a qu'une seule personne qui est en charge du dossier, et soyez patient : en formation, malade, congés et parfois même ils mettent un répondeur, en pleine semaine comme quoi c'est fermé... Ils ne communiquent pas entre eux, ni avec l'expert, c'est à nous de faire le messager.
Je vous déconseille fortement cette assurance qui est en plus cher par rapport à la concurrence, pour un service inexistant. Pacifica, jai coché la case pour que vous me répondiez avec mon numéro de dossier. Je vous laisse le soin de m'indemniser au plus vite, car le conciliateur de la justice, informé de l'affaire, va bientôt se charger de vous.
</t>
  </si>
  <si>
    <t>jm11-76061</t>
  </si>
  <si>
    <t>Médiocrité ! A éviter à tout prix ! C'est un véritable piège, incapable.</t>
  </si>
  <si>
    <t>Solly Azar</t>
  </si>
  <si>
    <t>19/05/2019</t>
  </si>
  <si>
    <t>natpat-99099</t>
  </si>
  <si>
    <t xml:space="preserve">j'ai eut un accident de voiture ou ma responsabilité n'était pas engagé , direct assurance a envoyer ma voiture au garage mpr a istres , ils m'ont rendu ma voiture avec deux calculateur électrique endommager et ventilo moteur en panne , j'ai les preuve des expertises et l'historique des défauts qui prouve la culpabilité du garage mais malgré ça direct assurance ne fait rien , du coup j'ai une voiture dans mon garage en panne , je déconseille cette assurance surtout à ne pas y aller . </t>
  </si>
  <si>
    <t>gwendal-w-108911</t>
  </si>
  <si>
    <t>Je suis satisfait de mon achat je vais pouvoir prendre mon scooter c’est cool, mais les prix sont cher quand meme et je ne comprend pas pour quoi je paye aussi cher</t>
  </si>
  <si>
    <t>jlduf-107790</t>
  </si>
  <si>
    <t>Il est très difficile de les avoir au téléphone ou d'avoir une réponse au mail que je leur envoie pour des renseignements ou un remboursement.
S'il ne s'améliore pas, je pense qu'à la fin de l'année je changerais de mutuelle.
N° d'adhésion : A 0011 L 12474
Jean Dufresne
515 rue du Château
38660 La Terrasse</t>
  </si>
  <si>
    <t>niconico--92624</t>
  </si>
  <si>
    <t xml:space="preserve">Je suis satisfait des renseignements obtenus par ce devis en ligne... 
J’attends de découvrir l’ensemble des garanties avec le devis demandé par email </t>
  </si>
  <si>
    <t>29/06/2020</t>
  </si>
  <si>
    <t>brau-d-115266</t>
  </si>
  <si>
    <t xml:space="preserve">Personnel à l'écoute, souriant et réactif. Ils sont très transparents sur leur offre (c'est rare)
Tarif très intéressant, nettement plus avantageux que la concurrence.
</t>
  </si>
  <si>
    <t>29/05/2021</t>
  </si>
  <si>
    <t>mohamed-b-121478</t>
  </si>
  <si>
    <t xml:space="preserve">Assez satisfait du service. 
Prix très correct et raisonnable 
Je conseille. C’est très accessible et très simple 
Je suis habituellement plutôt réfractaire au signe en ligne </t>
  </si>
  <si>
    <t>alblialeo-61159</t>
  </si>
  <si>
    <t xml:space="preserve">Ne surtout pas souscrire à cette mutuelle ! Ils vous prennent pour des idiots, font traîner les choses... Une catastrophe, en plus ils sont chers. Ils refusent de me radier (en faisant semblant de comprendre autre chose), alors qu'ils n'en ont pas le droit ! </t>
  </si>
  <si>
    <t>christelle--b-113994</t>
  </si>
  <si>
    <t xml:space="preserve">c est une horreur pour annuler son contrat , j ai vendu mon logment , je dois encore payer car tout est fait pour empecher l arrêt du contrat , aucune transparence , plus jamais direct assusrance </t>
  </si>
  <si>
    <t>mathou-91115</t>
  </si>
  <si>
    <t xml:space="preserve">Je suis satisfaite du service. Les prix me conviennent. Très simple et très pratique d’utilisation pour souscrire une assurance. Je recommande vivement </t>
  </si>
  <si>
    <t>maxime-98331</t>
  </si>
  <si>
    <t xml:space="preserve">!!!! AVIS D’UN CLIENT QUI VOIS TROUVE MÉDIOCRE ET QUI NE VOIS RECCOMENDE SURTOUT PAS !!!! 
Je met 1 étoiles sur la satisfaction car ont ne peut pas en mettre 0 ! Niveau prix rien à dire il défis tout concurrence ! Pour prélever et vous demander des sous pareil ! Par contre pour avoir une réponse au téléphone il ne son jamais joignable, pire une fois qu’on arrive à avoir quelqu’un souvent Au bout de fil là personne ne peut pas nous aider et fait seulement transmettre un message au service concerné qui ne vous rappelle jamais.. DEPUIS QUAND UN SERVICE SINISTRE EST OUVERT ENTRE 9h 12h et 14h 18h DU LUNDI AU VENDREDI !!!! Si il y a un problème au Hors horaire d’ouverture comment fait ont ?! après résiliation j’ai continué à être prélever 3 mois et j’ai attendu 2 mois et un coup de téléphone par jours avant d’être remboursé ! Et leur fichier avec la police ne sont pas a jour non plus car ça m’a valu une immobilisation du véhicule et de la carte grise à 40km de chez moi (policier quand même cool qui ne m’on pas embarquer et mis en fourrière le véhicule) mais qui pour l’instant me coûte quand même 400€ d’amande. Je recommande évidement pas du tout cette assurance ! Et partirais à la fin de mon contrat sans aucun regret 
Prix très intéressant 
Frais de dossier beaucoup trop élevé 
SERVICE CLIENT MEDIOOOOOCRE !!!!!!!!
</t>
  </si>
  <si>
    <t>Assur Bon Plan</t>
  </si>
  <si>
    <t>05/10/2020</t>
  </si>
  <si>
    <t>anthony-62363</t>
  </si>
  <si>
    <t>Assurance a fuir. Je souscrit un contrat le 30/01 sur Eallianz. Le 31/01 jour je m'aperçois que j'ai fait une erreur sur le nombre de sinistre (erreur touche clavier, manip rapide). Je les appel le meme jours pour prévenir. On me dit: "pas de soucis" Le lendemain soit le 01/02 je fourni le relevé en précisant de bien prendre en compte l'erreur qui a été faite et preciser sur mon appel du 31 et donc de recalculer le tarif. Allianz encaisse le 31/01 231€ (plusieurs mois d'assurance). le 13/02 recommandé pour me dire que les informations fournis sont erronés et donc pas de prorogation de contrat. Je demande le remboursement correspondant au reliquat car je pense avoir été de bonnes fois et on me répond que ma demande est refusé... Allianz encaisse de l'argent sur le dos de ces clients c'est indéniable</t>
  </si>
  <si>
    <t>valerie-b-108837</t>
  </si>
  <si>
    <t>Je suis plus tôt satisfaite et j'ai d'ailleurs 2 assurances chez vous, merci et en plus facile d'avoir un conseillé, les prix sont intéressant et ils sont très réactifs</t>
  </si>
  <si>
    <t>laurent-69834</t>
  </si>
  <si>
    <t>Tous les papiers ont été envoyés par mail le vendredi 28/12/18 et depuis ils demandent des pièces complémentaires hallucinantes comme des photos des quatre faces du véhicule, un CT de moins d'un mois et un relevé dinformation depuis 2007 ????</t>
  </si>
  <si>
    <t>02/01/2019</t>
  </si>
  <si>
    <t>tp-115887</t>
  </si>
  <si>
    <t>Bonjour Mutuel à fuir j'ai pris un travail avec une mutuelle obligatoire j'ai tout de suite résilier chez eux pour ne pas avoir 2 mutuelles à payer car les temps sont durs ils s'en foutent ils m'ont prélevé quand même un mois de plus après avoir fais trois mails il met l'huissier pour 50 € ils ont vraiment que ça à</t>
  </si>
  <si>
    <t>03/06/2021</t>
  </si>
  <si>
    <t>vitus-103650</t>
  </si>
  <si>
    <t>Mutualiste depuis déjà plusieurs années, j'ai toujours trouvé satisfaction auprès de cette mutuelle tant en ce qui concerne le traitement et le règlement  des dossiers "maladie" qu'elle a eu à traiter concernant mon épouse et moi-même, que par les renseignements précis et rapides obtenus par contact téléphonique.</t>
  </si>
  <si>
    <t>alexandra-d-111783</t>
  </si>
  <si>
    <t>RAS assurance à l'écoute avec de bons tarifs et des conseillers réactifs. Très satisfaite d'avoir changé pour Direct Assurance et je la recommande à mes proches</t>
  </si>
  <si>
    <t>gabriel-c-123405</t>
  </si>
  <si>
    <t>Je reviens vers Direct Assurance suite à une augmentation de tarif TROP importante de mon assureur actuel, la tarif appliqué par Direct assurance à garanties égales est plus avantageux</t>
  </si>
  <si>
    <t>frederic-l-107744</t>
  </si>
  <si>
    <t>Je ne comprend pas pourquoi, les prix augmentent alors que nous sommes soit confinés soit en télétravail, on utilise donc moins nos véhicules, donc moins de risque d'accident.</t>
  </si>
  <si>
    <t>vero34710-59372</t>
  </si>
  <si>
    <t xml:space="preserve">Cliente pendant presque 10 ans je n'ai jamais rien eu à dire, jusqu'au jour où j'ai reçu un recommandé me jetant comme une malpropre en raison de mon nombre de sinistres sur les 2 dernières années, effectivement sur les 2 dernières années j'avais la poisse on n'arrêtait pas de me rentrer dedans alors que j'étais à l'arrêt dans la file d'attente pour passer au rond-point, chaque fois les conducteurs ont admis être entièrement en torts et ont reconnu leur entière responsabilité sur les constats. Je me suis fait jeter au téléphone, la responsable de l'agence de Béziers ne m'a pas reçu pour m'expliquer elle n'était pas disponible, j'ai été reçu par une conseillère qui m'a traité de délinquante routière alors que je n'ai jamais eu d'accident, une honte </t>
  </si>
  <si>
    <t>04/12/2017</t>
  </si>
  <si>
    <t>didori-69048</t>
  </si>
  <si>
    <t>quatre ans d assurance et suite à un sinistre. Je reçois la résiliation sans aucun motif. J attends le RDV avec ce fameux militant sans retour. Au moins respecter votre engagement publicitaire</t>
  </si>
  <si>
    <t>30/11/2018</t>
  </si>
  <si>
    <t>--------------98308</t>
  </si>
  <si>
    <t xml:space="preserve">Ayant souscrit cet assurance auprès de mon crédit immobilier, mon épouse après plusieurs pathologies grave et ce retrouvant en invalidité deuxième catégorie, ont s'est battu pendant trois ans contre cet assurance pour prendre en charge le crédit immobilier et bien entendu ils ont eux gains de cause car à chaque fois ils mandaté des médecins à leurs guise. Malgré notre médecin traitant qui nous soutenez et d'autres... ont n'a pas voulu aller jusqu'au tribunal car mon épouse avait assez de problème avec ses pathologies et je voulais aggravé son moral. Donc croyez moi je déconseille cet assurance. </t>
  </si>
  <si>
    <t>03/10/2020</t>
  </si>
  <si>
    <t>c38-70477</t>
  </si>
  <si>
    <t xml:space="preserve">Mardi 22 janvier 2019
Bonjour,
Le 22 janvier (2019) j'ai eu une communication téléphonique avec Néoliane assurance qui laisse septique et dubitatif quant à la méthode de communication utilisée et les propositions faites.
C'est après avoir eu 2 personnes en communication et réception de leurs SMS que j'ai découvert qu'en fait en aucun cas il s'agissait de la mise à jour d'un dossier mais BEL ET BIEN DE LA SOUSCRIPTION D'UN NOUVEAU CONTRAT !
HEUREUSEMENT, j'ai eu une 3ème personne au téléphone avec laquelle après quelques échanges un peu "musclés" j'ai pu confirmer que je ne voulais pas de leur contrat.
Je valide le fait qu'au fur-et-à-mesure de la communication, l'échange devenait un peu limite (3 personnes différentes et le ton qui monte).
D'autre part, une de ces personne a émis le doute sur les documents signés avec mon organisme bancaire, laissant sous entendre que les banques nous faisaient signer des documents sans vraiment nous informer de leur teneur. 
En conséquence, je pense qu'il faut être diligent par rapport aux communications échangées avec cet organisme.
Je trouve cette situation regrettable.
</t>
  </si>
  <si>
    <t>22/01/2019</t>
  </si>
  <si>
    <t>armagedon-70217</t>
  </si>
  <si>
    <t>A fuir.Assurance? Ils prennent rien en charge je vois pas en quoi on peux parler d'assurance ah si ils prennent des cotisations.payer pour rien voilà le maître mot de cette compagnie.A éviter de tout urgence</t>
  </si>
  <si>
    <t>14/01/2019</t>
  </si>
  <si>
    <t>lafine-104455</t>
  </si>
  <si>
    <t>franchement pas terrible drôle d état d esprit chez eux.il vous envoient un courrier sans signature sans nom de contact il n’y a pas de quelqu’un derrière leur courrier.a éviter pour éviter des surprise sans nom...</t>
  </si>
  <si>
    <t>leclient-68699</t>
  </si>
  <si>
    <t xml:space="preserve">Propriétaire non occupant. Mon locataire à eu une fuite liée aux joints de la salle de bain. 
Une déclaration de sinitte a été déposée par le locataire à sa compagnie d assurance maif. J ai aussi avisé l agence commerciale allianz qui avait considéré que c est au locataire de gérer cet incident. 
Sauf que depuis juin 2018 une nouvelle convention existe et que normalement c est à Allianz de faire le nécessaire. Rien n a été fait plus de 30 jours sans réactivité ! 
A ce jour je ne peux louer mon bien et deplus allianz souhaite m appliquer une franchise,  un comble ! Faudrait savoir qui est le client. Allianz prend ses clients pour des vaches à  lait.
Pour ma part j ai plusieurs contrats chez eux et je vais faire appel au TGI  en vertu de l article L127.4 
Si vous êtes comme vous rencontrez cette situation. Il faut manifester votre mécontentement vis à vis d allianz.  
</t>
  </si>
  <si>
    <t>27/11/2018</t>
  </si>
  <si>
    <t>kawla-51000</t>
  </si>
  <si>
    <t>Ma barrière a été enfoncée et un pilier en ciment brisé par un chauffard qui s'est enfui. Dommage non couvert parce que le responsable n'est pas identifié !! Est-ce qu'on identifie les voleurs ou les vandales ? non. Alors pourquoi devoir identifier un chauffard ? Une assurance nulle !</t>
  </si>
  <si>
    <t>ste-101383</t>
  </si>
  <si>
    <t xml:space="preserve">Suite à un arrêt maladie en fin de contrat cdd ...je demande la portabilité ...depuis l'envoie de mes papiers par la poste  du 13 octobre qu'ils non sois disant pas reçu... et après de nombreux appels dans leurs services, la liste des documents à fournir s allonge...il manque toujours quelque chose . Et peut-être rien au bout... a FUIRE absolument </t>
  </si>
  <si>
    <t>13/12/2020</t>
  </si>
  <si>
    <t>alex222-105462</t>
  </si>
  <si>
    <t>Pire assureur avec lequel j'ai traité.
Communication peu claire, mauvais suivi des dossiers. J'ai du les relancer un nombre de fois incroyable pour savoir ou j'en étais de mon contrat.</t>
  </si>
  <si>
    <t>yann123-80561</t>
  </si>
  <si>
    <t xml:space="preserve">Je confirme pour avoir moi-même effectué les interventions pour un sinistre (survenu à ma fille) accident survenu le 16/10 - déclaration faite le 16/10 - 17/10 expert soi-disant nommé FAUX j'ai appelé comme préconisé par olivier ass pas de dossier pour ce sinistre - je renouvelle mes appels auprès de l'expert chaque jour jusqu'au 24, dans le contre temps ayant repris contact avec olivier assur le 21 je suis informé avec grands renforts d'excuses que la mission n'a pas quitté les bureaux de olivier assur et je reçois la promesse que le nécessaire sera fait de toute urgence le 23 l'expert n'a toujours rien ??? Enfin le 24 je reçois un mail de l'expert qui vient de recevoir enfin sa mission l'expert sera le lendemain matin au garage ou est immobilisé la voiture. il établit son rapport le 28 voici donc la seule personne que je pourrai féliciter dans cette affaire. je viens de vous dévoiler un aspect LAMENTABLE de la gestion administrative d'un sinistre chez olivier assurance sur l'aspect réaction le jour de la survenance de l'accident n'utilisez pas le numéro figurant sur la carte verte qui est dans toutes les autres compagnies un numéro d'assistance en tous les cas pas avant 8 h 30 l'accident est survenu à 7 h 30 pas de réponse pour que soit envoyer sur place un dépanneur cet accident étant survenu sur autoroute les CRS prennent la décision d'appeler le plus proche dépanneur agréé devant l'ampleur du bouchon provoqué en fait munissez-vous du numéro d'europ assistance ce n'est pas l'olivier qui gère et si vous ne faites pas vous-même la démarche pour obtenir le prêt ou la location d'un véhicule auprès d'europ assistance vous serez piéton pour les soi-disant 7 jours de remplacement prévu nous avons donc cotisé pour RIEN OU EST LE DEVOIR DE CONSEIL DE L'ASSUREUR pas d'info de sa part le jour de la souscription sur ce fait et malheureusement (pour nous assurés) si vous avez souscrit une option pack prémium 0 km assistance prêt véhicule et la FAMEUSE VALEUR MAJORE chez olivier assurance pour cette partie leur réponse est "c'est à vous de contacter la MAPFRE" Olivier assurance vous vend des services mais n'en n'assure pas le suivi ?????????????? ceci est anormal d'autant qu'ils vous fournissent un numéro pour contacter la MAPFRE qui s'avère être un numéro de télécopie ???????? Après 14 jours en dehors du rapport de l'expert, rien n'est fait je pense que je vais attendre encore très longtemps l'indemnisation dès que j'aurai retourné les documents de cession du véhicule déclaré irréparable affaire à suivre mais qui finira surement devant le médiateur des assurances et j'ai malheureusement et je vais vite le regretter assuré le nouveau véhicule pour continuer à être présent au travail de suite ayant eu la bonne intuition sur l'état du véhicule accidenté. Voilà affaire à suivre je vous indiquerai le délai dans lequel j'aurai reçu l'intégralité du dédommagement (compris la valeur majoré) 5 minutes pour contracter à mon avis 5 mois pour être indemnisé </t>
  </si>
  <si>
    <t>31/10/2019</t>
  </si>
  <si>
    <t>tango-42934</t>
  </si>
  <si>
    <t xml:space="preserve">Etant la victime d'un assuré Allianz, qui a pris mon N° de véhicule pour simuler un accident, ensuite cette personne a envoyé un courrier en recommandée avec AR en mon nom , donc a usurpé mon identité, je suis dans l'obligation de me retourner vers la justice car la compagnie Allianz ne me daigne pas de répondre à mes courriers depuis plus de 6 mois, afin de connaître le contenu du courrier que Allianz a reçu,  on est éceuré, il ne faut pas laisser faire ces comportements, cela doit être sanctionner, tant le client que la compagnie Allianz ,
j'espère que la justice va faire son travail
</t>
  </si>
  <si>
    <t>23/11/2016</t>
  </si>
  <si>
    <t>joelleschneider-89511</t>
  </si>
  <si>
    <t>Je suis en invalidité seconde catégorie depuis 2 ans et pour autant, je reste dans les fichiers de tardif mentionnée comme étant en arrêt de travail. je fournis tous les mois ma notification de paiement d'invalidité de la sécurité sociale. Globalement, ça se passe plutôt bien. Là, je reçois un questionnaire médical comme si j'étais en arrêt, je téléphone une première fois, la dame très peu aimable me dit qu'il faut faire une attestation sur l'honneur que je suis bien en invalidité (alors que j'envoie tous les mois mes avis de paiement !)et qui précise que mes paiements seront bloqués tant qu'ils ne l'auront pas (des fois que je ne serais pas encore assez stressée!!) je rappelle, car je souhaitais un complément d'infos 5 mn plus tard et je tombe sur un jeune homme qui me dit que je dois absolument le faire remplir par le médecin et qu'en attendant tout est bloqué. Donc, je ne recevrai rien tant que je n'aurai pas vu mon médecin qui est en congés, je suis handicapée et je vais me déplacer pour une attestation qui ne concerne même pas ma situation!! Si un responsable pouvait me donner une réponse fiable, car en 5 mn, j'ai eu 2 versions différentes !!
Merci !</t>
  </si>
  <si>
    <t>23/07/2021</t>
  </si>
  <si>
    <t>eli-58803</t>
  </si>
  <si>
    <t>j'ai été menacé par un agent parce que je veux annuler mon contrat d'assurance santé qu'on m'a obligé de signer et pourtant il prend effet dans 2 mois l'agent m'a dit que je suis dans l'obligation de payer qu'on ne m'a pas mis le couteau sur la gorge pour signer et comme je me suis fais avoir de signer electroniquement alors que je suis obliger d'accepter ce contrat et si je ne paye pas il fera appel à un huissier s'il faut jusqu'aux saisi de mes biens vous vous rendez compte pour une annulation de contrat s'est abherent  il m'a dit il fallait résilier dans les 14jours alors que je n'avais pas l'information il m'a dit s'est comme quand tu achete un frigo on ne te dis pas les condition c'est à toi de les lire en gros c'est tant pis pour toi et je me suis fais bien avoir.je lui ai dis que je porterai plainte s'il se sert sur mon compte bancaire</t>
  </si>
  <si>
    <t>13/11/2017</t>
  </si>
  <si>
    <t>cantillon-s-116490</t>
  </si>
  <si>
    <t xml:space="preserve">Pour le moment tout est OK. Malheureusement pas possible de terminer le contrat par internet uniquement par téléphone. Difficulté alors de visualiser les options... </t>
  </si>
  <si>
    <t>gweng-76475</t>
  </si>
  <si>
    <t xml:space="preserve">Très bien expliqué et garanti réseau fidélité réseau carte blanche médecin direct.fr 
Très bonne prestation </t>
  </si>
  <si>
    <t>04/06/2019</t>
  </si>
  <si>
    <t>aguesse-x-123885</t>
  </si>
  <si>
    <t>Simple, rapide et le prix très avantageux !!! Equipe réactive quand on demande des documents toujours respecte les délais indiqués !!! Nous recommandons cette assurance.</t>
  </si>
  <si>
    <t>19/07/2021</t>
  </si>
  <si>
    <t>pejsid-115667</t>
  </si>
  <si>
    <t>FUYEZ GENERALI RETRAITE... j'ai un contrat de retraite par capitalisation que j'essaie de clôturer, une première demande qui n'a pas abouti il y a 3 ans, et à nouveau après une demande début février aucun interlocuteur réel, mon dossier postal a bien été reçu, les pièces acceptées, on m'a dit de patienter, de patienter et mon dernière appel le 31/5/2021... plus de dossier... chaque interlocuteur me trimbale de poste en poste... on devait me rappeler par téléphone, me donner des nouvelles par mail.... RIEN.</t>
  </si>
  <si>
    <t>emilie23-78805</t>
  </si>
  <si>
    <t xml:space="preserve">Courrier de réclamation sans réponse depuis le mois de Mai (nous sommes fin Aout), c'est inadmissible. 
Pas d'engagement sur le délai de réponse, processus de gestion client déplorable. </t>
  </si>
  <si>
    <t>da-silva-p-113502</t>
  </si>
  <si>
    <t xml:space="preserve">Très bon service 
Mon interlocuteur s'est occupé de tout personne très gentil et a l'écoute.
Merci a lui.
je recommande cette assurance.              </t>
  </si>
  <si>
    <t>gb-101563</t>
  </si>
  <si>
    <t xml:space="preserve">la compagnie est une catastrophe et l'agent d'une incompétence totale.
 Depuis 1993, aucun sinistre pro mais des augmentations continuelles sans justification autre que " c'est la compagnie...", aucune connaissance de l'activité du client. Refuse à la suite d'une rédaction nouvelle de l'objet social d'assurer les "nouveaux risques" alors que nous précisons nos activités réelles .....aucun contact et je m’inquiète si nous avions déclaré un sinistre.
au secours, a bannir ....
</t>
  </si>
  <si>
    <t>responsabilite-civile-professionnelle</t>
  </si>
  <si>
    <t>17/12/2020</t>
  </si>
  <si>
    <t>riton-89724</t>
  </si>
  <si>
    <t>Artisan carreleur j'ai été en arrêt de travail dés le début du confinement pour ma santé fragile ; mon contrat prévoit 31 j de carence. j'ai fait remplir par mon médecin le certificat médical spécial COVID et depuis plus aucune nouvelle malgré mes multiples relances auprès de mon conseiller et sur le site internet. Je ne vis que grâce au IJ CPAM. Je ne trouve pas cela digne d'une grande société</t>
  </si>
  <si>
    <t>18/05/2020</t>
  </si>
  <si>
    <t>abu-saed-a-107292</t>
  </si>
  <si>
    <t>je suis très satisfait des prestations de l'assureur l'olivier non seulement les prix ne sont pas excessifs est l'écoute des conseillère est très agréables.</t>
  </si>
  <si>
    <t>david-b-105719</t>
  </si>
  <si>
    <t xml:space="preserve">Je ne suis pas satisfait des prix d'assurances auto et habitation, 6 ans que je suis chez vous et cela augmente d'année en année bien que je n'ai eu aucun accident. </t>
  </si>
  <si>
    <t>totof-108446</t>
  </si>
  <si>
    <t xml:space="preserve">je suis a un bonus de 50 depuis plus de 15 ans mais en 2019 une declaration BG pour par brise en 2020 pour le controle obligé , un léger accident responsable (une aile arrière froissée ) et la un BG phare par défaut il prenait l eau en contrat tous risques mais ils mont radié en vitesse RECORD 10 jours ils n assumes pas leurs prestations se services cela faisais 4 ans que j étais chez eux  je la déconseille fortement c est une assurance tres mauvaises  et leurs recomandes de resiliations prenait foi a leurs dates d envoi et non a la reception du fais elle s arretait les28-03 a 0h mais je n ai pu recupere le recommande le 27 donc ma nouvelle assurance ne prend foi que le 30-03 a 0h donc  plus d assurance pendant 2 jours et le vehicule est sur la voie public suuuuper 
</t>
  </si>
  <si>
    <t>raymond-g-135068</t>
  </si>
  <si>
    <t xml:space="preserve">Je suis globalement satisfait de la manière dont la proposition est faite.  accès rapide et clair dans les options.  Par contre la principale difficulté réside dans le model du véhicule dont on demande le model commercial ! dont personne que l'on ne connait pas (pas mentionné sur la carte grise !) il faut faire une recherche sur d'autre site pour savoir quel est le nom Commercial du model !
Il serait plus judicieux d'indique les numéro de série des Mines inscrit sur la carte grise. 
</t>
  </si>
  <si>
    <t>cloclo-115240</t>
  </si>
  <si>
    <t>Assurée depuis mars 2021, Néoliane m'a prélevée depuis janvier. Malgré 2 lettres recommandées à ce jour, aucun remboursement pour les cotisations indûment perçues de leur part.
Quant à ma seule demande de remboursement effectuée depuis début Mai, elle est toujours "en cours" et je n'obtiens aucune réponse à mes relances.
Je vous déconseille fortement cette société qui n'honore pas ses prestations et prélève indûment ses clients.
Je serais néanmoins ravie que Néoliane me prouve sa bonne foi et son honnêteté.</t>
  </si>
  <si>
    <t>albertero-127348</t>
  </si>
  <si>
    <t>Je suis cliente depuis 2019. Je paye 8€/mois pour assurer mon logement étudiant. Sauf que depuis septembre dernier j'avais fait assurer un logement crous que je n'ai finalement pas habité pour cause d'insalubrité. Je l'ai notifié à Allianz mais ils continuaient à me prélever. J'ai rédigé une attestation sur l'honneur, fait une déclaration de changement d'adresse... en vain. J'ai donc demandé la résiliation. J'ai souscrit chez ADAH et aujourd'hui on me réclame les cotisations pour un logement où je n'ai jamais logé, et refusent de résilier le renouvellement. 
Allianz n'aura plus un centime de ma part.</t>
  </si>
  <si>
    <t>soph-81078</t>
  </si>
  <si>
    <t>Il faut les appeler 10 fois pour avoir un remboursement , même la résiliation est compliquée, pour faire leur travail ce sont les derniers, pour vous envoyer des réponses négatives à toutes vos demandes, là ce sont des champions !!! A fuir si vous pouvez, vous trouverez moins cher et plus compétent ailleurs c'est certain !</t>
  </si>
  <si>
    <t>18/11/2019</t>
  </si>
  <si>
    <t>monceaux-s-134759</t>
  </si>
  <si>
    <t>très satisfait du prix pour une voiture de +400cv
rapidité de souscription bref tout semble parfait. Le conseiller était notamment clair et à l'écoute</t>
  </si>
  <si>
    <t>27/09/2021</t>
  </si>
  <si>
    <t>poirat-j-139157</t>
  </si>
  <si>
    <t>Satisfait du prix, souscription simple et efficace,. j'espère que les services seront de qualité en cas de sinistre ce que je ne souhaite évidement pas.</t>
  </si>
  <si>
    <t>jeremy-t-130978</t>
  </si>
  <si>
    <t xml:space="preserve">Je trouve le tarif un peu cher pour les garanties Et 150 € pour deux véhicules assurés chez vous ça commence à faire Chère cela ne m’a pas dissuader j’espère que le tarif va vite baissé </t>
  </si>
  <si>
    <t>pierre-c-123571</t>
  </si>
  <si>
    <t>Je suis satisfait du service ainsi que du tarif proposé par la compagnie. l'utilisation de l'application sur internet facilite l'adhésion pour mon contrat.</t>
  </si>
  <si>
    <t>helene-103465</t>
  </si>
  <si>
    <t>Cela fait plus d'un mois que nous salariés de société ... avons tous envoyés nos dossiers d'inscriptions 
Et qu'a ce jour toujours rien ! Pas de couverture sociale et au contact téléphonique et les raisons de l'agent : ben il ne sait pas ne comprend pas lui même !! 
Ca promet !!  Et en 2021 cette situation est déplorable et surtout grave et inacceptable ...
Des plaintes seront déposées</t>
  </si>
  <si>
    <t>31/01/2021</t>
  </si>
  <si>
    <t>sere--100163</t>
  </si>
  <si>
    <t xml:space="preserve">Impossible de les rejoindre ils nous laissent au téléphone pendant des heures sans jamais répondre pour finalement après 1heure d attente recrocher au nez. Déplorable </t>
  </si>
  <si>
    <t>16/11/2020</t>
  </si>
  <si>
    <t>sam-138952</t>
  </si>
  <si>
    <t>Assurance catastrophique, 5h pour gerer une crevaison avec des interlocuteurs désagréable quand ils rappelles.... Au vue des cotisations excessive ont s'attend a un service de meilleur qualité.
RIEN DE MIEUX QU'UN ASSUREUR CLASSIQUE</t>
  </si>
  <si>
    <t>oli-72476</t>
  </si>
  <si>
    <t>on vous réponds tres vite au télephone pour passer un contrat, et puis une fois client il faut patienter des heures.</t>
  </si>
  <si>
    <t>26/03/2019</t>
  </si>
  <si>
    <t>wibaut-m-123010</t>
  </si>
  <si>
    <t xml:space="preserve">Parfait je recommande vivement tant pour les prix que pour l accueil 
Excellent service 
Professionnalisme impeccable 
Merci pour tout.               </t>
  </si>
  <si>
    <t>10/07/2021</t>
  </si>
  <si>
    <t>guillaume--98618</t>
  </si>
  <si>
    <t xml:space="preserve">Mauvaise assurance, pas de conseil, on découvre par soi-même les conditions de leur contrat, qui contiennent énormément d inconvénients ou très mal couvert. Le prix est plus que extravagant et leur service client n est pas en France. </t>
  </si>
  <si>
    <t>chamss-elbaroudi-52391</t>
  </si>
  <si>
    <t>Une assurance à éviter .Les prix hyper hyper élevés, avec deux sinistres non responsables on vous envoie une résiliation, si vous êtes responsable je ne sais pas ce qu'ils vont faire. Une arrogance jamais vu.</t>
  </si>
  <si>
    <t>13/02/2017</t>
  </si>
  <si>
    <t>yanis-g-127481</t>
  </si>
  <si>
    <t>Je suis content de la transaction malgré qu'elle à pris du temps pour être validée
je suis intéressé par l'offre YOU-DRIVE et j’espère que j'aurai une réduction intéressante la fin du moi.</t>
  </si>
  <si>
    <t>sebastien-51478</t>
  </si>
  <si>
    <t>CONTRAT1080136526 Assuré chez l olivier depuis le 1/12 dernier j ai choisi le paiement annuel suite a cela j ai envoyé a de multiples reprises et ré envoyé les pieces justificatives nécessaires.Aujourd hui meme je les ai appellé leur demandant avec insistance quel etait leur probleme avec moi.Réponse:il nous manque le verso de votre carte grise.Ce qui est faux.Etant donné que je leur ai fait parvenir plusieurs fois avec tout le reste.Mais la personne me dit qu'elle veut bien me l'envoyer d ici quelques minutes.Mais rien sur la boite mail.Ma carte verte provisoire périme a la fin du mois....Je ne vais pas les laisser me mettre sur leur fichier AGIRA quitte a prendre un avocat.Depuis que je conduis c est la pire compagnie d assurance ou j'ai souscrit.</t>
  </si>
  <si>
    <t>19/01/2017</t>
  </si>
  <si>
    <t>sandra-96962</t>
  </si>
  <si>
    <t>Des tarifs compétitifs, une écoute et un accueil téléphonique très convivial avec des conseillers qui donnent des conseils pertinents (qui m'ont permis de réaliser des économies). Je recommande +++</t>
  </si>
  <si>
    <t>02/09/2020</t>
  </si>
  <si>
    <t>nassim-m-125179</t>
  </si>
  <si>
    <t xml:space="preserve">je suis satisfait du service. c'est simple et rapide. Les prix sont tres tres competitif. le site est simple d'utilisation et direct assurance ce charge de resilier pour nous notre autre contrat </t>
  </si>
  <si>
    <t>jean-michel-b-123328</t>
  </si>
  <si>
    <t>Je ne suis pas satisfait du tout, je viens de voir que l'on me facture encore un double contrat de mon ancien logement alors que j'avais fait le nécessaire en ligne lors de mon déménagement. Depuis 2018 je continue de payer deux cotisations annuelles.</t>
  </si>
  <si>
    <t>13/07/2021</t>
  </si>
  <si>
    <t>obnemausus-91207</t>
  </si>
  <si>
    <t xml:space="preserve">Prix compétitifs, le questionnaire reste un peu long et fastidieux mais cela est compréhensif. Satisfait déjà par vous sur le contrat en cours. Merci </t>
  </si>
  <si>
    <t>lolo-86652</t>
  </si>
  <si>
    <t>Bon service client, satisfaite de la qualité des services, nouvelle clients</t>
  </si>
  <si>
    <t>03/02/2020</t>
  </si>
  <si>
    <t>nore-55192</t>
  </si>
  <si>
    <t>A éviter à tous prix....Des conseillers au téléphone mal poli et déplaisant. Pas très agréable si ce n'est agressif et loin d'être compétent. Quand ils sont dans l'incapacité de répondre contractuellement ils vous proposent de résilier. Aucune attestation courrier....Les mails coutent moins cher que des courriers.....Les garanties pas très clair et plus qu ambiguë au niveau des garanties pour au final ne rien remboursé ou remboursé une broutille 15 ans après les faits....Je vous le dis une assurance cher par rapport a la concurrence. Incapable de répondre aux questions des clients. Opacité a part avoir le standard et une texte formaté d'une nenette qui n'a pas l'air de comprendre la prestation de service et qui est limite en mode wesh wesh et qui ne fait pas remonter les infos ( deux appels pour me dire que je n'ai jamais appelé) Ah oui en tant que client vous n'êtes rien et limite un menteur comme j'ai pu le sentir auprès de Sogessur ou Groupama. Donc à éviter comme la peste et la rage.</t>
  </si>
  <si>
    <t>07/06/2017</t>
  </si>
  <si>
    <t>jean-marc-111581</t>
  </si>
  <si>
    <t xml:space="preserve">Bonjour
Je suis très déçu d'allianz en ligne,
Pas de prise en charge envoyé au garage.
Obligé de faire un chèque pour récupérer la voiture.
J'ai contacté l'expert pour qu'il puisse expertiser le véhicule.
Alors à part me prendre de l'argent faite votre métier correctement !
J'ai trois contrats chez vous que je vais résilier.
Pour vous contacter minimum 50mn.
Cordialement.
</t>
  </si>
  <si>
    <t>ly-a-109447</t>
  </si>
  <si>
    <t xml:space="preserve">Je Suis satisfait du service d'assurance proposée pour mon véhicule , Je reconnais vous avoir connu par le biais d'un ami qui est client chez L'olivier assurance </t>
  </si>
  <si>
    <t>sultana-s-117957</t>
  </si>
  <si>
    <t>très réactifs bon dialogues et directives a suivre claire et précise.
très satisfaisant je recommande a mes proches.
bonne réception des documents.
sincères salutations</t>
  </si>
  <si>
    <t>zelie-v-116740</t>
  </si>
  <si>
    <t xml:space="preserve">incompétent et très cher.
compagnie d'assurance qui n'est pas claire du tout 
j'expose mon problème on est même pas capable de me fournir une réponse claire </t>
  </si>
  <si>
    <t>peirani-v-113957</t>
  </si>
  <si>
    <t>Prix imbattables. Conseiller très clair, courtois et attentif. Très bonne option pour assurer un véhicule âgé mais en bon état, ne servant qu'occasionnellement</t>
  </si>
  <si>
    <t>loic-l-128306</t>
  </si>
  <si>
    <t xml:space="preserve">Souscription simple et rapide. Les prix me paraissent plus que convenables comparé à d'autres assurance auto.
Je recommanderai direct assurance à mon entourage. </t>
  </si>
  <si>
    <t>olivier-91399</t>
  </si>
  <si>
    <t xml:space="preserve">Bonjour à toutes et à tous.
Voici mon avis.
Je vous invite tous à bien lire en détail toutes les lignes du contrat.
Nous avons assuré mon épouse et moi-même un véhicule commun.
Sur le contrat c'est mon nom qui y figure, notre conseillère nous indique qu'un seul nom est nécessaire pour la souscription mais que mon épouse étant du foyer est bien rattachée à ce contrat.
Plusieurs années après nous revendons ce véhicule et demandons à recevoir nos relevés d'informations.
Pacifica m'informe qu'il n'y a pas de relevé pour mon épouse celle-ci étant inconnu de leurs services.
J'appelle le services clients (appel enregistré) pour leurs faire part de ce souci.
Je me fais envoyer sur les roses comme jamais, l'opératrice m'indique que c'est comme cela chez Pacifica et qu'il fallait bien lire le contrat avant de le signer.
Conseil avisé, je retire immédiatement tous mes contrats chez Pacifica et par la même occasion tous mes comptes au LCL.
Une fois le contrat signé on vous traite comme un moins que rien.
Cordialement
</t>
  </si>
  <si>
    <t>maad-110064</t>
  </si>
  <si>
    <t>Bonjour,
J'ai retrouvé mon véhicule embouti en stationnement dans la rue. Le sinistre a été déclaré le 11/01/2021 et je suis assurée en tous risques.
Mes courriers/mails restent sans réponse et mes interlocuteurs téléphoniques à l'Olivier Assurance sont incapables de me fournir des éléments de réponse.
Or l'Olivier Assurance refuse de m'indemniser car elle constate un défaut de concordance entre ma déclaration et les analyses techniques de l'expert (aucun document fourni à l'assuré pour le justifier et ce après plusieurs relances). Il est pour moi inacceptable de n'avoir reçu de la part de l'Olivier assurance aucun éléments leur permettant de se dégager de leurs obligations d'indemnisation, il leur incombe toujours de prouver que les conditions de cette exclusion sont réunies.
De plus, j'ai reçu l'accord de l'expert pour obtenir la note (analyses techniques) mais l'Olivier Assurance refuse de me l'envoyer, or elle est la seule à pouvoir autoriser l'envoi de ce document.
De surcroît, à aucun moment L'Olivier Assurance ne conclut sur ma déclaration (procès-verbal), et ne démontre pas en quoi celle-ci ne peut être retenue. Aussi, à la date du 12 Avril 2021, l'Olivier assurance a été dans l'incapacité d'apporter la preuve que les faits du sinistre déclaré entrent bien dans le cadre de l'exclusion.
A cet égard, les conditions générales du contrat en page 19, indiquent que sont garantis, la collision contre un corps fixe ou en mouvement. Ces 2 hypothèses sont garanties, de sorte qu'une déclaration sur les circonstances de l'accident sont indifférentes concernant l'objet du risque ou l'opinion de l'assureur à ce sujet.
La communication avec l'Olivier Assurance est très compliquée et fastidieuse, leurs conclusions approximatives et j'attends toujours d'avoir mes réponses (sinistre déclaré le 11/01/2021).
La gestion du sinistre de la part de l'Olivier Assurance est actuellement extrêmement insatisfaisante.
Cordialement,</t>
  </si>
  <si>
    <t>sophiekiki-50275</t>
  </si>
  <si>
    <t>je vais avouer que je ne suis pas experte en santé à la base et le caclul des remboursements et autres subtilités me mettait en difficulté. En passant par Santiane en 2015 j'ai passé presque 2 heures au téléphone pour choisir et comprendre les formules proposées. Mon conseiller à prit le temps et a extraimement bien fait son travail, merci encore à lui.</t>
  </si>
  <si>
    <t>14/12/2016</t>
  </si>
  <si>
    <t>anissa84-62025</t>
  </si>
  <si>
    <t>On vous demande d avancez les 2 premiers mois a la souscription en nous assurant qu' il n y aura pas de prélèvement le 11 ème et 12 ème mois et au final je suis quand même prélever  et quand on les appelle il disent maintenant c normal sans aucune explication valable</t>
  </si>
  <si>
    <t>05/03/2018</t>
  </si>
  <si>
    <t>renard-52656</t>
  </si>
  <si>
    <t>SI VOUS CROISEZ EUROFIL, FUYEZ !
Au mois de Novembre, ma voiture a subi des  dégâts sur un parking. Soit un conducteur indélicat parti sans laisser d'adresse, soit plus sûrement d'après le garagiste expert d 'Eurofil, du vandalisme. 
J'ai porté plainte pour détérioration volontaire du bien d'autrui avec transmission à Eurofil. 
Stupéfaction,  je reçois aujourd'hui un recommandé d' Eurofil, qui résilie mon assurance et m' inscrit au fichier AGIRA pour la raison que la résiliation d'un contrat affecté d'au moins un sinistre au cours des 36 derniers mois entraîne cette inscription à AGIRA; 
Me voila donc  fiché comme personne non grata, faisant fi de mon bonus de 50% et même d'une réduction de franchise de 10%. . 
Mais soucieux quand même de choyer ses clients, Eurofil me facilite la recherche d'un nouvel assureur en me communicant l'adresse d'un partenaire (je pencherai plutôt pour le mot complice)
Enfin, voici ma conclusion:
Le plus simple est de ne jamais mettre les pieds dans ce genre d'officine. Un jour ou l'autre vous le regretterez. 
Si vous adhérerez quand même chez ce pseudo assureur, 
lisez bien votre contrat  Conditions générales page 19 article 7.1.4. Dans quel cas le contrat peut il être résilié? Réponse: Par nous:de plein droit en cas de retrait de notre agrément.
Eurofil n'a pas à justifier de sa décision. C'est le fait du Prince, il vous retire son agrément et vous inscrit au fichier des mauvais conducteurs.
C'est mon vendeur d'automobile qui m'a aiguillé vers ce pseudo assureur qu'est Eurofil, mais jamais au grand jamais, je ne souscrirai plus une assurance dans une boite inconnue, cela m'attire vraiment trop d'ennuis. Mais comme écrivait La Fontaine, il jura mais peu tard qu'on ne le reprendrai plus !</t>
  </si>
  <si>
    <t>22/02/2017</t>
  </si>
  <si>
    <t>franss-100702</t>
  </si>
  <si>
    <t>Assurance qui ne vous couvre pour rien.vous font signer des contrats en vous promettant que vous êtes super bien assuré et rien du tout fuyez cette assurance</t>
  </si>
  <si>
    <t>necati-d-122160</t>
  </si>
  <si>
    <t>Je suis satisfaite du service et les trouve très rapide .pour ce qui est des garanti c est bien .Je trouve que le prix est relativement raisonnable. Encore merci</t>
  </si>
  <si>
    <t>boualem-d-125247</t>
  </si>
  <si>
    <t>Je suis satisfait au service je veux assurer ton véhicule chez Direct Assurance je suis vraiment satisfait et pour le prix ça va c'est moins cher par rapport à votre assurance</t>
  </si>
  <si>
    <t>alain-c-114016</t>
  </si>
  <si>
    <t>je suis parfaitement satisfait du service, une qualité d'accueil étonnante, toujours à l'écoute, je recommanderais ce service autour de moi sans hésitation</t>
  </si>
  <si>
    <t>jean-francois-s-107293</t>
  </si>
  <si>
    <t xml:space="preserve">Prix inintéressant la première année mais les augmentations annuelles font rapidement perdre cet intérêt. Direct Assurance vous explique alors que la première année vous avez bénéficié d'une prime de bien venue qui ne figure nul part sur leur devis et la facture. Contrairement à ce qui est inscrit dans le devis la prime "annuelle" n'est valable que la première année, pour les années suivantes... une surprise ! </t>
  </si>
  <si>
    <t>flu-t-113443</t>
  </si>
  <si>
    <t xml:space="preserve">Service client infâme. Augmentation de prix énorme sans justification. Direct Assurance c'est à FUIR ! Je ne m'assurerais plus JAMAIS chez eux...     </t>
  </si>
  <si>
    <t>marineg-81547</t>
  </si>
  <si>
    <t xml:space="preserve">Une honte déclaration de sinistre le 3 novembre 2019 suite à la tempête. Je passe mon temps à appelé car on doit me rappeler mais il en est rien. 8 appels à telechiffrage pas un seul de leur part pour m'entendre dire après 22 jours que mon dossier est transférer à un expert polyexpert. On est le 3 décembre toujours pas de rdv bien que j'ai appelé déjà 4 fois. Je me suis déplacée 2 fois à l'agence d'anglet mais personne ne peux rien faire faut attendre.
Une personne de la macif m'a appelé hier et me dit que c'est normal car la macif est le premier assureur de France aux particulier. OK donc on allongé les délais ???? Je pense réellement changer d'assureur. </t>
  </si>
  <si>
    <t>03/12/2019</t>
  </si>
  <si>
    <t>yann-c-113772</t>
  </si>
  <si>
    <t>tarif correct ,franchise un peu moins.
Pas d'harcèlement téléphonique et l'échange est constructif. Difficulté pour se fixer un rdv téléphonique ce qui explique ma souscription sur le net .</t>
  </si>
  <si>
    <t>15/05/2021</t>
  </si>
  <si>
    <t>bgm5349-71709</t>
  </si>
  <si>
    <t xml:space="preserve">assuré GMF depuis 45 ans on vient de me signifier que j'étais indésirable, car 2 sinistres en 2018 (matériel et léger) et un bris de glace non responsable en 2016.. C'est l'agence de mon ancien domicile qui décide de résilier le contrat, bien que j'ai déménagé dans un autre département depuis 5 ans. Donc aucune connaissance du client, aucune possibilité de dialoguer. Leur slogan  assurément humain est assurément inadapté. D'après les commentaires, je pense que la GMF fait le ménage en ce moment et ne garde que les assurés qui paie et ne déclare aucun sinistre. </t>
  </si>
  <si>
    <t>robin--l-130218</t>
  </si>
  <si>
    <t xml:space="preserve">Bonjour  ,  Je suis satisfait  de  la rapidité  et  la simplicité  du  site  amv , assuré  en  moin  de  10  minutes , je recommande  cette  assurance </t>
  </si>
  <si>
    <t>chrisgreg2018-68805</t>
  </si>
  <si>
    <t xml:space="preserve">Après avoir eu un conseiller clientèle au téléphone qui m a fait payer un mois et des frais de dossier
Nous avons eu rdv dans l  agence de Vierzon
Les documents donnés par notre ancienne agence ne correspondaient  pas à leur demande.
Le responsable de l agence était très mal aimable, et n 'avait pas l air de s intéresser à de nouveau client qui souhaitait de plus ramener tous leurs contrats d assurance chez eux(5 contrats)
Nous avions eu deux bris de glace dont un vandalisme non responsable pour les deux.
Le responsable de l 'agence nous prévient qu'il y aura une franchise pouvant aller de 15 à 75 euros vu qu'on avait eu des bris de glace.
Il nous a demandé de leur renvoyer les documents manquant afin de faire le contrat.
Après avoir envoyé les documents nous avons reçu un coup de téléphone nous indiquant qu'il avait changer d 'avis et qu'il nous ferait pas de contrat et que c  était lui qui choisissait ses clients .
Nous avons payer les frais de dossier pour un mois d assurance </t>
  </si>
  <si>
    <t>21/11/2018</t>
  </si>
  <si>
    <t>youuuna-77731</t>
  </si>
  <si>
    <t>Ma première mutuelle en tant qu'étudiante, j'ai pris l'offre Oji et franchement, rien à dire, j'ai vu les commentaires et j'avais peur mais leur service client (bien qu'avec un temps d'attente de 5 minute) est super, à l'écoute et poli. Ils ont su m'envoyer un justificatif de mutuelle en quelques minutes car il m'en fallait un très rapidement. Je vous recommande cette mutuelle!</t>
  </si>
  <si>
    <t>18/07/2019</t>
  </si>
  <si>
    <t>natacha-p-116403</t>
  </si>
  <si>
    <t>Je n ai pas le temps de négocier et surtout je ne peux aller en agence travaillant du lundi au vendredi comme eux et habitant à 45 km...seul défaut......</t>
  </si>
  <si>
    <t>laurie-1109-69675</t>
  </si>
  <si>
    <t xml:space="preserve">Assuré à la maaf depuis 15 ans aucun sinistre... A ce jour cambriolage sans effraction la maaf de veut rien savoir de plus service sinistre injoinble... Je suis tombée sur une personne des plus désagréable
Dossier en réclamation et aucune nouvelle nous sommes vraiment des pigeons </t>
  </si>
  <si>
    <t>26/12/2018</t>
  </si>
  <si>
    <t>mic-115582</t>
  </si>
  <si>
    <t>Assurance à deux francs je viens de subir un préjudice non responsable et malgré tout cette assurance veut me faire payer une franchise alors qu'elle c'est engagé à tout régler..Le dossier n'est pas suivi,ils ne répondent plus au téléphone ni au mail.Je dois malheureusement aller en procédure avec eux..à éviter donc!</t>
  </si>
  <si>
    <t>papy-feder-135198</t>
  </si>
  <si>
    <t>Bonjour à tous, étant momentanément sur le point de changer de complémentaire santé, je me trouve totalement satisfait, quant aux échanges téléphoniques avec cette compagnie, je les remercie pour éclaircir tous mes doutes sur les règles générales de fonctionnement, Mariama, étant dans le lot de mes contacts téléphoniques et, je souhaite une bonne continuation à tous les intervenants.....</t>
  </si>
  <si>
    <t>nadirart-53472</t>
  </si>
  <si>
    <t>Meilleures l'olivier assurance 
Conseiller sympa et à l'écoute des clients 
Prise on charge apres sinistre plus que rapide et je recommande l'olivine assurance à mes amies et mes connaissances 
Merci mon l'évier assurance</t>
  </si>
  <si>
    <t>22/03/2017</t>
  </si>
  <si>
    <t>loubna-z-125788</t>
  </si>
  <si>
    <t>J’étais   déjà  client  chez direct assurance et je retourne encore une autre fois parce que le prix très avantageux  en rapport avec mon assurance actuelle.</t>
  </si>
  <si>
    <t>31/07/2021</t>
  </si>
  <si>
    <t>desjeanti-1803</t>
  </si>
  <si>
    <t xml:space="preserve">je suis pas satisfait .trop de difficulté a se faire comprendre  !  trop de couriel de perdu !  jai payer  le 19 mars 2021 .325 € et nous somme  le 25 mars  et jai pas recu une carte verte provisoire   donc je peut pas aller travailler ! </t>
  </si>
  <si>
    <t>nico76-61563</t>
  </si>
  <si>
    <t xml:space="preserve">Très bonne approche jusqu a validation du devis et de l encaissement . Après tout se compliqué. Ils ne valident pas mon relevé d information. Depuis 1 semaine silence radio malgrès mes envois répétés et mes demandes par mail. 
Un raccroché au nez sur leur plateforme a 0.80euro la minute et une lenteur inadmissible pour faire durer la communication juste pour prendre mon nom et prénom pour connaître mon numéro client non envoyé par leur soin. Pour pouvoir récupérer mon attestation provisoire  
Un site internet amateur avec aucune fonctionnalitées </t>
  </si>
  <si>
    <t>20/02/2018</t>
  </si>
  <si>
    <t>----108104</t>
  </si>
  <si>
    <t xml:space="preserve">dans l'ensemble je suis satisfait de la couverture et des prix pratiqués par cet organisme de mutuelle prévoyance.
service client à l'écoute et rapidement joignable </t>
  </si>
  <si>
    <t>patho44-44598</t>
  </si>
  <si>
    <t>Assurance vie à fuir !</t>
  </si>
  <si>
    <t>17/02/2018</t>
  </si>
  <si>
    <t>denis-58595</t>
  </si>
  <si>
    <t>Victime d'un dégât des eaux en Juin 2017 , mon sinistre a été géré de manière catastrophique par leur expert . Nous sommes encore aujourd'hui , soit 5 mois après notre sinistre , dans une situation calamiteuse , le dernier événement en date , ils ont mandaté une entreprise pour poser du parquet qui n'y connaissait rien . Résultat 1O jours de travaux pour rien . Surtout ne prenez aucun contrat chez eux  ( habitation ou auto ) , je déconseille vivement cette assurance</t>
  </si>
  <si>
    <t>04/11/2017</t>
  </si>
  <si>
    <t>anais-p-135373</t>
  </si>
  <si>
    <t xml:space="preserve">Simple rapide et efficace je vous remercie. Les prix et prise en charge me conviennent parfaitement, je recommanderais à coup sûr à mes proches et pourquoi pas ajouter mon conjoint en bénéficiaire par la suite . </t>
  </si>
  <si>
    <t>yoann-72352</t>
  </si>
  <si>
    <t>Client matmut depuis 9 ans avec 3 contrats auto et 1 contrat habitation, coefficient bonus de 0.37 aucun accident responsable ni bris de glace. La matmut refuse de me faire profiter de ses nouveaux contrats auto au prix inférieur de 300 euros par an pour un de mes véhicules par rapport a mon contrat actuel avec les mêmes garanties. Sans aucune explication le siège refuse, l'agence ne peut malheureusement rien faire et ne peut que regretter cette situation.
Je vais donc aller voir la concurrence dont les prix sont souvent inférieurs et enlever tous mes contrats. Je suis extrêmement déçu de la matmut.</t>
  </si>
  <si>
    <t>carjusta-75534</t>
  </si>
  <si>
    <t xml:space="preserve">Ma mère avait souscrit une assurance vie. A son décès c'est La Croix et la bannière pour récupérer l'argent. Ma sœur Bénéficiaire à 50% avec moi à perçu la somme le 12 avril et moi juste un sms ils ont oublié de valider le paiement me concernant. Presque un mois plus tard et malgré de multiples appels mails et lettres en AR toujours rien. De plus la somme restituée est inférieure d'environ 11% du capital versé par notre mère et il n'y a donc aucun intérêts . Le service réclamation a suggéré l'explication suivante : il devait s'agir d'un contrat à perte  </t>
  </si>
  <si>
    <t>daviiid49-80281</t>
  </si>
  <si>
    <t>defend tres mal ses assurés meme si vous n'etes pas en tort mais surtout tout se fait par oral et les pseudo juristes vous disent un jour A le lendemain B. 
Pour avoir eu un sinistre et pour lequel je ne voulais pas reparer ma voiture j'ai eu le droit a un ordre de reparation et une prise en charge que je n'ai jamais signés!</t>
  </si>
  <si>
    <t>21/10/2019</t>
  </si>
  <si>
    <t>billaudeau-n-132479</t>
  </si>
  <si>
    <t>très satisfait du prix avec les avantages 
en formule tout risques , le prix est vraiment plus attractif que mon ancienne assurance automobile ! je conseil vivement direct assurance aux autres automobilistes !</t>
  </si>
  <si>
    <t>12/09/2021</t>
  </si>
  <si>
    <t>patrice-77230-102542</t>
  </si>
  <si>
    <t>Amv est une tres bonne assurance un poil plus chere que d autre mais cest un vrai assureur .ils sont la quand il faut .je roule en zzr 1400,je roule en moyenne 15000km/an; je paie environ 900€ tous risques .j ai eu un accident responsable et j ai garde mon bonus 50.ca fait 25ans que je suis chez eux , je les trouves pros!</t>
  </si>
  <si>
    <t>12/01/2021</t>
  </si>
  <si>
    <t>amardi-80139</t>
  </si>
  <si>
    <t>Très bien reçu par votre conseillère IKRAM très souriante.</t>
  </si>
  <si>
    <t>17/10/2019</t>
  </si>
  <si>
    <t>clx-78244</t>
  </si>
  <si>
    <t>Je suis passé chez Direct Assurance mais progressivement le tarif a augmenté d'environ 7% chaque année environ. Cet assureur propose un premier tarif alléchant puis le tarif augmente. Au bout de 3 ans je paye beaucoup plus cher que mon ancien assureur ! A priori ce comportement est très poussé chez Direct Assurance. Nous beaucoup dans ce cas chez Direct Assurance.</t>
  </si>
  <si>
    <t>07/08/2019</t>
  </si>
  <si>
    <t>gwenaelle-n-135390</t>
  </si>
  <si>
    <t xml:space="preserve">Prix attractifs et souscription aisée 
Nouvelle cliente a voir sur la durée mais cela semble être une bonne compagnie d assurance.
J ai également été convaincue par la notoriété de direct assurance </t>
  </si>
  <si>
    <t>jay-f-107117</t>
  </si>
  <si>
    <t xml:space="preserve">je suis satisfait de vos services mais je trouve que c'est tout de même compliqué pour accéder aux dossiers
Dans l'attente de ma carte .
Respecte être satisfais en cas de sinistre aussi 
</t>
  </si>
  <si>
    <t>19/03/2021</t>
  </si>
  <si>
    <t>sagot-o-121190</t>
  </si>
  <si>
    <t>je suis satisfait du service. Simplicité et bonne écoute
je suis satisfait du service. Simplicité et bonne écoute
je suis satisfait du service. Simplicité et bonne écoute</t>
  </si>
  <si>
    <t>pomme42-65676</t>
  </si>
  <si>
    <t>je suis résilié dans 3 mois suite 3 bris de glace et un accident non responsable en 3 ans et après avoir détenu des services chez eux plus de 20 ans. J'ai mes 12 points de permis, 50% de bonus depuis tres longtemps et on me vire comme un malpropre pour des incidents non responsables sur 3 ans. Scandaleux</t>
  </si>
  <si>
    <t>21/07/2018</t>
  </si>
  <si>
    <t>01/07/2018</t>
  </si>
  <si>
    <t>jordand-65959</t>
  </si>
  <si>
    <t>Assurance très attractive niveau tarif, des garanties convenables. Ayant eu recours au service clientèle plusieurs fois (surtout pour des questions et autres petites joyeusetés), j'ai trouvé à chaque fois mon interlocuteur très disponible, clair et agréable (vraiment)! Un vrai plus pour moi. En bref, une bonne petite assurance.</t>
  </si>
  <si>
    <t>03/08/2018</t>
  </si>
  <si>
    <t>hmatias-58554</t>
  </si>
  <si>
    <t>Assurance moto qui connaît bien les spécificités des motards.</t>
  </si>
  <si>
    <t>02/11/2017</t>
  </si>
  <si>
    <t>sandra72350-85526</t>
  </si>
  <si>
    <t>Une société à fuir 
Je veux résilié toute ma famille étant mécontente de vos service impossible de rafiliation à la Sécu au final que du démarchage commerciale je n'est jamais été rembourser de plus on mexplique que je peux me retirer avec ma mutuelle obligatoire mes pas ma famille alors que eux son aussi  à ma mutuelle obligatoire</t>
  </si>
  <si>
    <t>06/01/2020</t>
  </si>
  <si>
    <t>dd-69671</t>
  </si>
  <si>
    <t xml:space="preserve">suite a un pare brise depuis le 17 juillet 2018 avons fait une déclaration d'accident avec un autre automobiliste car il m avais projeter un cailloux sur mon pare brise  Depuis aucune réparation de  directe assurance depuis 
j ai prix les devant en espérant être remboursé mai a ce jour il ne veulent pas me rembourser l intégralité de la somme payer </t>
  </si>
  <si>
    <t>corbault-111476</t>
  </si>
  <si>
    <t>j'attends depuis 18 mois une réponse sur un accident de voiture et de plus 2 mois sur mon vehicule volé et 3 constats amiables faits le même jours au même lieu qui pour cette compagnie correspondraient à 3 accidents differents d'ou augmentation des primes ou résiliation CIE A EVITER J CORBAULT</t>
  </si>
  <si>
    <t>charles-d-132785</t>
  </si>
  <si>
    <t>Satisfait du service, rapide et pas cher. Très bonne qualité et prix
Rapide à compléter, réponses aux questions immédiates et claires.
Très très satisfait</t>
  </si>
  <si>
    <t>14/09/2021</t>
  </si>
  <si>
    <t>sophie-75217</t>
  </si>
  <si>
    <t xml:space="preserve">Alors comment vous dire que c'est l'assurance la nul que j'ai vu dans ma vie, service client nul, suivie nul, presque un an que je leurs court derrière pour être indemnisé, je vous dis pas le nombre d'appel que j'ai émis, toujours ils cherchent la petite bête pour pas vous indemniser, et vous pouvez toujours courir pour qu'ils vous donnent des nouvelles.
Franchement si je devais noter cet assurance je mettrai aucune étoile. Très très déçu !!! </t>
  </si>
  <si>
    <t>18/04/2019</t>
  </si>
  <si>
    <t>lotus44-102645</t>
  </si>
  <si>
    <t>Bientôt 4 ans chez AMV aucune source de problème constaté. Rapport qualité prix satisfaisant même si je n'ai jusqu ici jamais eu besoin de faire appel à eux! Je recommande</t>
  </si>
  <si>
    <t>14/01/2021</t>
  </si>
  <si>
    <t>themyr-y-108037</t>
  </si>
  <si>
    <t xml:space="preserve">Je suis satisfait du service, merci beaucoup à la conseillère de Lille qui m'a très bien conseillée. Je n'ai pu lui attribué la note après la fin de l'appel ! Un 10/10 </t>
  </si>
  <si>
    <t>djules-59210</t>
  </si>
  <si>
    <t xml:space="preserve">POURQUOI TANT D ACHARNEMENT CONTRE MOI !
Il y a déjà 2 ans, Cardif avait cesse de rembourser les 425 euros par mois , car aux yeux d un expert médical, je n etais pas assez malade ! Je n ai que 7 pathologies
_ :hypersomnie ( on s endort tout le temps, partout)
_ CANCER du mélanome de catégorie 4 sur 5. Récidive 90%
_ plus d immunité ( malade tout les 15 jours de septembre à mai, antibiotique et cortisone 
_ perte d audition de l oreille gauche 
_ perte de champ visuel important. Lié au traitement pour le cancer. 
_ dépression profonde ( séjour en psychiatrie car je ne supporte plus les problèmes de santé qui s aggravent 
_ des douleurs horribles à toutes les articulations et au dos, malgré lamaline, ketoprofene LP 100, 
_ lymphedeme ( comme les personnes âgées de 80 ans !
Bras tout gonfle, très sensible à tout !
_ un gros trou dans le bras ( car on ne peut pas me faire de chirurgie esthétique, suite à ma greffe de peau. 
A cause de mon lymphedeme. 
Donc on dirait qu un chien m à mordu sur 15 cm sur 13 cm !
Et en plus, j ai pris 2 tailles de vêtements, car quand on a mal, on se gave de médicaments et on ne fait pas de sport, car on est trop fatigué par les douleurs !
MAIS J ESSAYE DE RESTER SOURIANTE !
Mais si CARDIF OSE ME DIRE TOUT LES DEUX ANS, QUE JE NE SUIS QU EN INVALIDITE QUE DE 2 E CATÉGORIE ( SACHANT QUE L EXPERT MÉDICAL DE LA SECU NE VOUS DONNE CELA QUE SUR DEMANDE DE PROFESSEURS MÉDICAUX DE RENOMMÉE NATIONALE ET A L EXAMEN DE MON DOSSIER MÉDICAL RANGE DANS DES LUTINS PAR ANNEE ET PAR PATHOLOGIE DEPUIS 2012. 
UNE ENORME VALISE DE VACANCES DE DOSSIERS MEDICAUX. 
EN MAI, ON ME REDEMANDE DE REPASSER DEVANT UN EXPERT MÉDICAL. ALORS QUE JE SORS JUSTE D UN 2 E SEJOUR DE L ANNEE, DE PSYCHIATRIE, CAR JE NE SUPPORTE PLUS D ETRE MALADE ET L ENVIE D EN FINIR DE SOUFFRIR !
J AI EU DROIT À 5 HEURES D EXPERTISE PAR UN MÉDECIN EN 2 FOIS ! 
AVEC TOUT MES DOSSIERS MEDICAUX !
JE SUIS BIEN ELEVEE, CAR EN SORTANT DE PSYCHIATRIE, ON A PLUTOT ENVIE DE SE CHANGER LES IDEES, CAR REVOIR TOUT LES PROBLÈMES DE SANTÉ PENDANT 2 HEURES ET DEMIE LE 1 JOUR. 
ET 15 JOURS APRES, RE 2 HEURES ET DEMIE !!
ET CET ETE,  LA COQUELUCHE ! CELA M A ÉPUISÉ AUSSI !
ET LE PONPON ENCORE HIER, OÙ JE LIS QU ILS CLOTURENT MON DOSSIER D INDEMNISATION CAR JE NE FOURNIS PAS D ARRET MALADIE ( NORMAL J ENVOYE LES RELEVES DE PAIEMENT D INVALIDITÉ !!!,
ET QUE JE N AI PAS ASSEZ D INVALIDITÉ, JUSTE LES 2/3 D UNE PERSONNE NORMALE !
JE NE PEUX PLUS TRAVAILLER, DIXIT L EXPERT DE LA SECU, CAR PLUS D IMMUNITÉ, PROBLÈME DE VUE TROP IMPORTANT, ET PROBLÈME AVEC MES OUIS, JE NE SUPPORTE PAS TROP DE BRUIT, CAR L OREILLE DROITE ENTEND TROP MAINTENANT !
ET JE M ENDORS PARTOUT !!
ALORS FAUT IL QUE JE SOIS COMPLETEMENT INFIRME, ALLONGEE SUR UN LIT ET NE PLUS BOUGER !
RASSUREZ VOUS, VU LA RAPIDITÉ DE MON CORPS QUI SE DEGRADE TRES VITE, JE VAIS Y ARRIVER !!
MAIS J AIMERAI SAVOIR SI VOUS HARCELER TOUT LES MALADES QUE VOUS INDEMNISEZ !
SONT ILS TOUS AVEC DES DOSSIERS IMPORTANTS COMME MOI ??
QUAND J ARRIVE VOIR LES SPÉCIALISTES MEDICAUX, MA VALISE LEUR FAIT PEUR PAR SON VOLUME ET APRES PAR MES DIFFÉRENTES PATHOLOGIES !!!
ALORS QUOI ???
JE NE PLEURE PAS DEVANT EUX ?
DÉSOLÉ JE PLEURE QUAND JE SUIS SEULE !!!
LES GENS N ONT PAS A SUBIR MES PEURS ET MES SOUFFRANCES CONTINUES !!!
</t>
  </si>
  <si>
    <t>sam-67254</t>
  </si>
  <si>
    <t xml:space="preserve">Bonjour
Je me suis cambriolé une nuit chez moi
Les voleurs m'ont menacé avec un couteau et m'ont pris presque tous mes objets de valeurs
Ma compagne était là On était nu
L experte a rendu ses conclusions mais AXA ne veut toujours pas nous indemniser
Ils semblent mettre en cause ma bonne foi et celle d'une experte indépendante
Après le traumatisme de l'agression après la peur de ma vie j ai eu le droit au mépris des assureurs AXA qui me baladent depuis des semaines pour éviter de payer ce qu ils nous doivent
Je vous déconseille fortement de prendre une assurance chez AXA en cas de sinistre ca se passera très très mal
</t>
  </si>
  <si>
    <t>chloe-112600</t>
  </si>
  <si>
    <t xml:space="preserve"> Le courtier certifie qu il trouve le meilleur tarif parmi la liste des compagnies avec lesquels il est en rapport. Hors au renouvellement de l echeancier
Il vous annonce un tarif 75% plus cher que le tarif que vous trouverez en faisant un devis vous même en ligne sur leur site avec exactement les mêmes informations. De plus pas de réponse au mail envoyé avec les documents et preuve a l appui.
Bravo le service client.
Trouvez l erreur.c est simple plus c est cher plus c est rémunérateur pour ce courtier.
</t>
  </si>
  <si>
    <t>natouxav34-46042</t>
  </si>
  <si>
    <t xml:space="preserve">bonjour je suis déçut de cette mutuelle fier la je suis en invaliditer depuis mais 2021 a ce jour il mon reglez mon complement de salaire de juin 2021 en aout 2021 a ce jour j attend juillet et aout et nous somme fin septembre de plus j ai ut la prime en juillet il me donnerons rien car j ai percut la prime de l etat ces inadmissible j ai une perte de salaire de 430 euro tout les mois ont les appelé la seul chose qui vous dise je fait remontez ces inadmissible il leur faut plus  d un mois et demis pour étudiez 2 bulletin de salaire a fuire vraiment </t>
  </si>
  <si>
    <t>Malakoff Humanis</t>
  </si>
  <si>
    <t>wervol59-51669</t>
  </si>
  <si>
    <t xml:space="preserve">tres surpris d'apprendre qu'Eurofil résilie mon contrat automobile voici la lettre que je viens de recevoir : Suite à un récent examen de votre dossier l'inadéquation du risque au regard de la politique d'acceptation de la compagnie ne permet pas sa reconduction pour le période a venir 
en sacahant que je n'ai pas eu de sinistre sauf bris de glace , en payant par mensualité l'asurance est toujours payée a temps je suis a 0,50 depuis des années et mon contrat et résilié quand même en agissant comme cela eurofil va perdre pas mal de clients dont moi en premier, j'ai 4 contrats chez eux je viens d'envoyer ma lettre de résiliation sur les autres contrats </t>
  </si>
  <si>
    <t>26/01/2017</t>
  </si>
  <si>
    <t>sebastien-m-110158</t>
  </si>
  <si>
    <t xml:space="preserve">les prix sont très intéressant tout ce fait assez vite par internet cependant pour envoyé photo véhicule cela ne fonctionne pas je recommande votre assurance après a voir en cas d accident </t>
  </si>
  <si>
    <t>fab-108158</t>
  </si>
  <si>
    <t xml:space="preserve">Présentation du contexte :
GMF assurance "adverse" d une automobiliste qui m a renversé (100% en tord).
Je dois défendre moi même.
Je ne vais même pas parler de la valeur du remboursement du vélo pour 100 euros, une honte.
Juste souligné qu'il refuse la communication par mail mais communique .. par mail !!!
et oblige toute réponse par courrier et demande a chaque fois un nouveau document.
Histoire de miner un peu plus la victime.
Je vous laisse juge de l'équité de telle pratique.
</t>
  </si>
  <si>
    <t>nazim-e-113070</t>
  </si>
  <si>
    <t>Satisfait des services rapides et à n’importe quel heure je recommande vraiment .
Satisfait des services rapides et à n'importe quel heure je recommande vraiment.</t>
  </si>
  <si>
    <t>yoann-d-115380</t>
  </si>
  <si>
    <t>Satisfait du service, prix très abordable, conseiller a l'écoute, explications très claires. Je recommande cette assurance les yeux fermer. Merci beaucoup pour votre rapidité</t>
  </si>
  <si>
    <t>bebert-75256</t>
  </si>
  <si>
    <t>il faut batailler pour obtenir des remises mais cela marche</t>
  </si>
  <si>
    <t>19/04/2019</t>
  </si>
  <si>
    <t>kevin-n-131176</t>
  </si>
  <si>
    <t>Pratique et rapide pour souscrire, déjà utilisé pour beaucoup de proches, maintenant à mon tour de m'y mettre, je sais que je ne vais pas le regretter</t>
  </si>
  <si>
    <t>bruno-e-116700</t>
  </si>
  <si>
    <t xml:space="preserve">Très satisfait du service devis en ligne et des tarifs proposé, je recommande vivement Direct Assurance. Simple, rapide et efficace, idéale pour les particuliers </t>
  </si>
  <si>
    <t>stephane-b-115925</t>
  </si>
  <si>
    <t>service satisfaisant à l'écoute. Par contre une meilleure disponibilité au téléphone serait appréciée. Les prix paraissent compétitifs. Pour le reste il faudra voir à l'usage</t>
  </si>
  <si>
    <t>benoit-p-110439</t>
  </si>
  <si>
    <t xml:space="preserve">Je suis satisfait du prix et de la proposition qui m’a été faite. Conseillé très gentil et très pro. Si tout se passe bien je conseillerais cette assurance </t>
  </si>
  <si>
    <t>14/04/2021</t>
  </si>
  <si>
    <t>lora2720-50888</t>
  </si>
  <si>
    <t>Je suis assuré chez eux depuis plusieurs années. J'ai déclaré un sinistre non responsable en décembre 2016 qui a été vite réglée et la voiture vite réparée.
J'ai acheté récemment une 208 neuve, et en comparant les différents devis que j'ai fait (en tous risques), je trouve que le rapport qualité prix des garanties proposées fait partie des plus intéressant.
Les conseillers de mon agence (Thionville) sont courtois et savent répondre à mes questions</t>
  </si>
  <si>
    <t>fat-109374</t>
  </si>
  <si>
    <t xml:space="preserve">Mutuel que nous avons par obligation de l'employeur. Nous sommes sous un forfait cadre ce qui à un coût financier et obligatoire vu nos fonctions !!
Nous avons du les contacter pour des remboursements OK un oubli avec la situation pourquoi pas !! Mais la pour des frais d'optiques après plusieurs appels de l'opticien des mails sans réponses j'ai du avancer les frais soit plus de 100e qui sont en attente depuis le 24 FÉVRIER et lon vous balade à chaque appel c'est une honte d'être pris pour des guignols !! Personne n'ai capable de régler les problèmes de donner de vrai réponse ou délais changer de métier si vous n'êtes pas en mesure d'assurer un service derrière !!! </t>
  </si>
  <si>
    <t>06/04/2021</t>
  </si>
  <si>
    <t>alice-c-137728</t>
  </si>
  <si>
    <t xml:space="preserve">Super je suis satisfaite de la rapidité et du prix. J'espère recevoir rapidement ma carte verte sinon tout est ok 
Je recommande vivement cette assureur </t>
  </si>
  <si>
    <t>benjamin-128027</t>
  </si>
  <si>
    <t xml:space="preserve">Dommage il n'y a pas moins d'une étoile! malheureusement pour moi, je me vois forcé d'être avec cette mutuelle vu qu'elle  m'est imposée par mon entreprise. Le service client regroupe tous les incapables, fainéants et abrutis de France et métropolitaine. Quand on les appelle pour une information , bah ils ne sont d'aucune utilité parcequ'ils y connaissent rien! je me demande ils sont payés à faire quoi ? </t>
  </si>
  <si>
    <t>gwendo-72395</t>
  </si>
  <si>
    <t xml:space="preserve">C'était tres bien et bon tarif  jusqu'au jour où il vous envoie une lettre de résiliation sans raison comme pour ma part ! ( sans avoir eu un seul sinistre, ni aucun défaut de paiement ) quand on cherche à comprendre pas de raisons c'est leur droit de résilier à échance super ! </t>
  </si>
  <si>
    <t>22/03/2019</t>
  </si>
  <si>
    <t>got2be-131531</t>
  </si>
  <si>
    <t xml:space="preserve">Après un sinistre non responsable avec tiers identifié et constat, ajouté à cela une assurance tous risques, aucune indemnisation versée et ce alors que l’accident est survenu mi avril 2021.
Depuis nous sommes baladés et non considérés par cette société.
N’y allait pas, nous sommes nombreux dans mon cas </t>
  </si>
  <si>
    <t>06/09/2021</t>
  </si>
  <si>
    <t>alexst-55733</t>
  </si>
  <si>
    <t xml:space="preserve">assureur intéressant , du moin quand on n'as pas a faire a eux , leurs donner 100 euros par mois sans rien ne leurs demander oui il savent faire ! mais pour le moindre soucis important ou secondaire plus personne ...
des équipe de bras casser au téléphone non nonchalant soporifique et incompréhensible et qui vous engueule limite 
j'ai téléphoner pour une demande de suspension de contrat car j'ai vendu ma voiture ( j'ai tout dis clairement a la personne ) je recois un mail de confirmation " confirmation de suspension de votre contrat " jusque ici tout vas bien 
mais plus tard lors d'un devis au téléphone pour mon futur véhicule on me dis que mon contrat a été résilié je ne comprend donc pas , on me dis que la personne a mal du faire son travail et que par conséquent je dois payer des frais supplémentaires ... ( frais de dossier etc ) ?
je termine cet appel en leurs disant écouter ne toucher a rien je vais voir de mon coté et si besoin je vous rappel 
15 minute plus tard 2 mail m'arrive 
- résiliation de votre contrat 
1 seconde apres 
- remise en vigueur de votre contrat et c'est dans ce fameux mail qu'ils me disent que je leurs dois 220 euros ( pas d'explication ) 
bref du grand n'importe quoi </t>
  </si>
  <si>
    <t>30/06/2017</t>
  </si>
  <si>
    <t>deidda-r-116089</t>
  </si>
  <si>
    <t>Souscription efficace, rapide, bon rapport qualité prix , L'olivier prend en charge de résilier l'ancien contrat. C'est top , je recommande vivement cet assureur ??????</t>
  </si>
  <si>
    <t>05/06/2021</t>
  </si>
  <si>
    <t>dalla-s-127164</t>
  </si>
  <si>
    <t xml:space="preserve">Je suis satisfaite du service. Personnels très réactifs. Site et application facile d'accès. Toutes les informations sont claires et précises. Prix assez attractif comparer à la concurrence. </t>
  </si>
  <si>
    <t>yougourthen-f-111652</t>
  </si>
  <si>
    <t>Je suis satisfait de votre offre, la rapidité de souscription, et le prix aussi. Je n'hésiterai pas à conseiller mon entourage en cas de besoin, bien cordialement.</t>
  </si>
  <si>
    <t>ozgur--90815</t>
  </si>
  <si>
    <t>Satisfait du service rapide le prix est compétitif avec d'autre assurances du net et je suis déjà client donc pas de problème pour ce rassurer est encore merci</t>
  </si>
  <si>
    <t>13/08/2021</t>
  </si>
  <si>
    <t>nicovio-103354</t>
  </si>
  <si>
    <t xml:space="preserve">Génération a un site internet de mer*e, vraiment à revoir ou assureur incompétent, je n'ai pas assez d'expérience avec eux pour le savoir !!! Je suis adhérent avec mon taf par obligation.
Obligé de se justifier pour un PACS, mais impossible de transmettre mes documents !
C'est la première fois que l'on me demande ce document, c'est vraiment pour faire ch*er car via mon boulot tous les justificatifs sont déjà en leur possession ! Donc au final ma femme n'a toujours pas sa carte après plus d'1 mois d'adhésion...
Cela ne présage rien de bon !!! </t>
  </si>
  <si>
    <t>28/01/2021</t>
  </si>
  <si>
    <t>islam-b-127311</t>
  </si>
  <si>
    <t>Tout vas bien et j'ai besoin dassurer  ma moto afin d'éviter de nombreux problèmes et être en règle pour tout contrôle des forces de l'ordre. Le paiement a été effectué. Dans l'attente de recevoir l'assurance afin de la mettre sur ma moto
Cordialement</t>
  </si>
  <si>
    <t>luo-103356</t>
  </si>
  <si>
    <t xml:space="preserve">Accueil téléphonique CATASTROPHIQUE à la MAIF, ce 28 janvier 21. Je demandais un devis assurance habitation (au nom de ma fille qui a un travail très prenant et a de multiples démarches à faire ds un temps très court du fait d'un achat de maison ds le contexte de couvre-feu ). Avant toute chose la personne à l'accueil s'est moquée de moi et surtout de ma fille qui "n'appelait pas toute seule à son âge" et autres inepties de ce genre comme "elle n'a qu'à appeler le samedi".  (comme si personne n'était au travail ou en déplacement professionnel le samedi ! et comme s'il était honteux de dépanner quelqu'un pour un renseignement administratif.) La solidarité et l'entr'aide familiale pour la MAIF (à travers cette agent accueil) cela n'existe pas ??? Quelle déception... et quelle colère !
J'ai mis une seule étoile car je n'avais pas eu d'attente au standard, ce qui est appréciable. Pour le reste: zéro pointé... et bien sûr, je me suis adressée ailleurs. </t>
  </si>
  <si>
    <t>adele-m-121436</t>
  </si>
  <si>
    <t>Je suis satisfait du service. Je souhaite résilier mon contrat car je demenage et ma maison est trop grande vous ne voulez pas l'assurer. Cordialement</t>
  </si>
  <si>
    <t>yt-136655</t>
  </si>
  <si>
    <t xml:space="preserve">sinistre au mois de juin 2021 a ce jour 8 octobre 2021  les réparations sont toujours pas terminées. apres plusieurs relances toujours pas de solutions .
lamentable.
sans commentaire
</t>
  </si>
  <si>
    <t>trouble-98814</t>
  </si>
  <si>
    <t>Sociétaire depuis 1975, j'ai été radié en 2018 avec comme raison "changement de politique commerciale", après avoir subi plusieurs dégâts des eaux.
Se faire "jeter" après 43 ans de fidélité a été franchement indigeste...
Bref, j'ai résilié mes contrats restants pour trouver aussi bien.
Alors, leurs campagnes de pub, ils pourraient les revoir.</t>
  </si>
  <si>
    <t>15/10/2020</t>
  </si>
  <si>
    <t>marc-coup-81764</t>
  </si>
  <si>
    <t>Très bonne assurance, j'ai eu un parebrise cassé, j'étais couvert par l'assurance. Rien à débourser me suis rendu chez le spécialiste pose parebrise agréer par Axa, j'aurais pu aller sans problème chez Carglass par exemple, mais j'ai préféré celui que l'on m'a conseillé. Pour cela souscrire garantie sans franchise bris de glace ça va se soit...</t>
  </si>
  <si>
    <t>10/12/2019</t>
  </si>
  <si>
    <t>ericv-123151</t>
  </si>
  <si>
    <t>Très déçu par la MAAF après avoir été client durant plusieurs années. Comme tant d’autres clients, mon contrat va être résilié pour un nombre trop important de sinistres (3), même si l’un d’entre eux n’est pas de ma responsabilité.</t>
  </si>
  <si>
    <t>0425-89754</t>
  </si>
  <si>
    <t>Pire que pire. J'ai eu un accident non responsable en février et l'assurance a mis 3 mois pour joindre l'autre assurance pour au final clôturer le dossier. J'ai été prélevé 600€ au lieu de 380€ dans le doute où je suis responsable. EN PLUS, ils me facturent 15€ pour les démarches. A FUIR !</t>
  </si>
  <si>
    <t>brakescrew-103003</t>
  </si>
  <si>
    <t>Une mutuelle et un service client incompétents impossible de prendre en compte un changement de coordonnées bancaires, remboursements tardifs, conseillers qui ne peuvent jamais répondre à une simple question ils effectuent toujours des remontées sous forme de réclamation, connexion a son espace client bloqué aucune solution, je n'ai jamais eu affaire à tant d'incompétence.</t>
  </si>
  <si>
    <t>21/01/2021</t>
  </si>
  <si>
    <t>zanfi-r-112200</t>
  </si>
  <si>
    <t xml:space="preserve">Je suis satisfait. Merci pour votre collaboration habituel. Je recommande votre assurance par contre j espère de rajouter le maroc sur les payés autorisés </t>
  </si>
  <si>
    <t>30/04/2021</t>
  </si>
  <si>
    <t>tourres-f-130253</t>
  </si>
  <si>
    <t xml:space="preserve">Je suis très satisfait du prix de reviens et de accueil qui m’a était réserver je recommanderais l assurance les olivier merci beaucoup de attention qui m’a etait apporter </t>
  </si>
  <si>
    <t>sophie-61810</t>
  </si>
  <si>
    <t>leur numéro d'urgence assistance est hors service; J'ai été en panne et je n'ai pas pu les joindre; pensant être couverte par l'assurance, j'ai appelé moi même la dépanneuse. Mais je n'étais pas couverte; Si ils avaient répondu, ils m'aurait informé et j'aurais réparé le véhicule sur place; INADMISSIBILE.   un assureur doit anticipé, ce n'est pas une micro vague de froid qui peut justifier un numéro d'urgence submergé; On ne parle pas d'un cyclone. Juste de froid</t>
  </si>
  <si>
    <t>27/02/2018</t>
  </si>
  <si>
    <t>diallo-f-134524</t>
  </si>
  <si>
    <t>Le prix me convient, la facilité et la transparence concernant les options du contrat. Le fait de pouvoir souscrire en ligne de A à Z même en étant occupée ailleurs. Je recommande</t>
  </si>
  <si>
    <t>25/09/2021</t>
  </si>
  <si>
    <t>tony-v-125341</t>
  </si>
  <si>
    <t xml:space="preserve">Je suis très satisfait,  niveau prix,  facilité de souscription.  Déjà une assurance chez direct assurance et très rapide pour avoir le contrat et vignette. </t>
  </si>
  <si>
    <t>francois-w-127313</t>
  </si>
  <si>
    <t xml:space="preserve">Je suis satisfait pour l’instant, je vais avoir ma
Nouvelle voiture demain, espérons que vos services soient utiles pour ma première voiture, mon avis changera en fonction de ça </t>
  </si>
  <si>
    <t>maxo33-58194</t>
  </si>
  <si>
    <t>Attiré par les prix la première année, j'ai souscrit un contrat auprès de cette assurance, pour une Peugeot 309 Symbio Diesel 5P pour un montant de 374€. Moins d'1 mois après, un sinistre non responsable est arrivé. Prise en charge correcte sans plus (versement 1000€ 5 mois après sinistre et 1 mois après cession pour destruction - je leur ai aussitôt envoyé par courrier le certificat rempli par la SA SERA à Pantin, je n'ai jamais eu d'accusé de  réception. 2 mois après la mise en épave, j'ai assuré chez eux une Seat Léon. Je n'ai jamais reçu le contrat ni la carte verte et je pensais que cela s'était fait automatiquement, donc je ne m'en suis pas inquiété. Surprise, 1 mois avant l'échéance annuelle, je reçois l'appel de cotisation pour la 309 mise en épave avec à la clef une augmentation annuelle de 117€. Je leur signale l'erreur par email sans aucune réponse. Je revends la Seat 5 jours avant l'échéance et je leur transmet le certificat de cession en leur signalant que je n'avais plus d'auto à assurer. Comme entretemps, ils avaient tenté de prélever l'échéance et qu'elle leur était revenue impayé, leur réponse a été de me dire qu'il ne pouvait pas arrêter l'assurance sur une voiture alors qu'elle était impayée sans répondre à la question de la substitution de la 309 à la place de la Seat qui donc n'a jamais été réellement assurée. OK. Mais la voiture qu'ils assuraient était en destruction depuis plus de 7 mois. Facile et rentable pas de risque de sinistre. Depuis, je suis à l'huissier auprès duquel je viens de déposer mon dossier</t>
  </si>
  <si>
    <t>nanou22-61300</t>
  </si>
  <si>
    <t xml:space="preserve">Mutuelle à fuir absolument.. Cherche toute les escuses pour ne pas rembourser.. Demande des facture acquittées alors que la sécurité sociale à remboursée une partie.. Ne répond jamais aux mails....mutuelle d'entreprise pour ma part.... Donc j'ai pas eu le choix </t>
  </si>
  <si>
    <t>brunop-117068</t>
  </si>
  <si>
    <t xml:space="preserve">A fuir absolument !!! Aucunes assistances, aucuns suivis sinistre, ni dédommagement pour le corporel .
Leur médecin conseil est uniquement présent pour minimiser l'indemnisation.
Mieux vos ne pas être assuré que de contracté avec AMV </t>
  </si>
  <si>
    <t>eddy-f-109899</t>
  </si>
  <si>
    <t>je suis s&amp;satisfait du service... je recommande... les prix sont correct ... très bon rapport qualité prix ... j'en parlerais a mon entourage ... merci...</t>
  </si>
  <si>
    <t>valerie-d-106428</t>
  </si>
  <si>
    <t>je suis satisfait du service, avec peu de besoin jusqu'à présent. 
Le site est facile à utiliser pour éditer une attestation, ou effectuer le paiement de ma cotisation. Par contre, je profite de signaler que j'ai reçu 2 fois la carte verte.</t>
  </si>
  <si>
    <t>inesd-102560</t>
  </si>
  <si>
    <t>Très très mauvaise mutuelle.. Très mauvais remboursements, on met beaucoup de temps avant de pouvoir joindre un conseiller, les demandes mettent énormément de temps avant d'être traitées.
De plus, cela fait deux mois que j'ai résilié mon contrat (en ayant 3 conseillers au bout du fil) mais on continue a me faire payé en me disant que lors de ma résiliation je n'ai pas précisé que je voulais "enlever des options" (et bien sur personne ne me l'a précisé).
SCANDALEUX.. JE N'AI PAS DE TRAVAIL, PAS COMME SI JE POUVAIS ME PERMETTRE EN PLUS DE VOUS DONNER DES SOUS</t>
  </si>
  <si>
    <t>13/01/2021</t>
  </si>
  <si>
    <t>nathy21-87102</t>
  </si>
  <si>
    <t xml:space="preserve">Très bon service client, qualité des prestations, rapport qualité/prix, écoute, disponibilité, temps d'attente très court, délai de mise en service court, réactivité, </t>
  </si>
  <si>
    <t>13/02/2020</t>
  </si>
  <si>
    <t>fanny-99057</t>
  </si>
  <si>
    <t>Cette compagnie d assurance est une catastrophe. Ils sont injoignables. Quand vous parvenez enfin à avoir quelqu'un il vous dit exactement le contraire de son collègue. Ils sont d une lenteur dans le traitement des sinistres. Ils envoient leurs experts sans même leur donner le dossier ... Les garages partenaires sont peu nombreux dans ma région et c est 6 mois d attente.
J attends le remboursement d une franchise qui soit-disant ne me serait pas réclamée et je fuis. 
Assurance imposée dans le cadre d un emprunt immobilier évidemment...</t>
  </si>
  <si>
    <t>vincent-l-131378</t>
  </si>
  <si>
    <t xml:space="preserve">Je suis satisfait du service 
La qualité du prix 
Très content du contat 
Très rapide et sans aucun soucis  
 Facilité de paiement   qualité 
Très rapide 
</t>
  </si>
  <si>
    <t>05/09/2021</t>
  </si>
  <si>
    <t>sauveur-60757</t>
  </si>
  <si>
    <t>Cher Monsieur,
Je reviens vers vous dans la continuité d'une situation qui m'échappe.
Comme moi, je pense que vous n'aimez pas être insulté, voire maltraité, et pourtant !
Je ne vais pas ici me livrer à la description de ce que je constate et pense de l'assurance où nous sommes certain d'être assurés certainement d'être prélevé de nos cotisations, la, les assurances sont championnes !
Septembre 2018, pouvoir enfin aller faire un petit voyage en moto, cette dernière prenant la poussière depuis quelques années suite à des problèmes de santé, mais toujours assurée, même si confinée dans mon garage.
J'appelle donc la Macif pour changer de protection (garantie), certes, la veille du départ.
Il m'est demandé de devoir passer à l'agence pour faire constater l'état de ma moto.
Je précise qu'il est impossible d'attendre l'ouverture du bureau, mon départ tôt le matin est prévu pour attraper un ferry à l'heure.
Devant mon incompréhension (en effet, il aurait s'agit d'un nouveau véhicule, neuf ou d'occasion, jamais on ne m'aurait demandé de présentation du véhicule), je propose de présenter ma moto au bureau de Saint Raphaël qui se trouve non loin de mon itinéraire, étant prêt à m'y arrêter (notez tout de même).
Cela m'est refusé sous le prétexte que ce n'est pas un bureau de substitution.
Devant cette mauvaise foi, je renonce à changer de garantie et je pars prendre l'air, après tout, c'est là que réside la priorité.</t>
  </si>
  <si>
    <t>25/03/2020</t>
  </si>
  <si>
    <t>01/03/2020</t>
  </si>
  <si>
    <t>bernice-101278</t>
  </si>
  <si>
    <t xml:space="preserve">assurance a eviter surtout si vous esperez un remboursement en cas de sinitre 
je suis chez eux depuis plus de 20 ans suite a une surtention electrique du reseau edf certain de mes appareils ont grilles je suis indeminise une misere et de plus on me decompte la franchise de 150 euros inadmissible </t>
  </si>
  <si>
    <t>11/12/2020</t>
  </si>
  <si>
    <t>cm-94874</t>
  </si>
  <si>
    <t xml:space="preserve">Dans la même situation que Bozz et Zooma77... Souscription d une assurance par tel. Le 27 juin. Ce jour là j ai  réglé 3 mensualités par CB. Depuis j ai reçu bcp de mails indiquant que mon dossier devait être complet pour obtenir  une attestation définitive. L assurance à toutes les pièces requises mais menace de résilier à la fin du mois et de garder tout l argent perçu. Les services sont injoignables par tel., je les appelle sans succès depuis 10 jours...aujourd'hui je suis partie en vacances sans savoir si lundi prochain je serai encore assurée ! Une grosse galère après une année épuisante don't je me serais bien passée... </t>
  </si>
  <si>
    <t>22/07/2020</t>
  </si>
  <si>
    <t>lenny-d-134874</t>
  </si>
  <si>
    <t>je suis satisfaite mais c 'est comme même cher pour les jeunes conducteurs mais on a toujours été satisfait en cas de problème-la personne que j ai eu au téléphone était très pro</t>
  </si>
  <si>
    <t>lalie56-105501</t>
  </si>
  <si>
    <t>bonjour,
contrairement à ce que l'on voit dans les commentaires négatifs, je suis très satisfaite de la rapidité dans le traitement de mon dossier de remboursement assurance vie. Mon courrier avec AR a été reçu dans leurs services le 15/02/2021, le virement sur mon compte a été fait le 02/03. Evidemment il faut que le dossier soit complet, donc bien suivre leurs demandes ce n'est pas si compliqué... Je n'ai pas reçu de courrier de leur part entre temps, le décompte ne devrait pas tarder. 
Pour l'instant j'ai des travaux en vue, mais par la suite si j'ai des disponibilités, je pense refaire un placement chez eux.</t>
  </si>
  <si>
    <t>hastler-79440</t>
  </si>
  <si>
    <t>Je suis vraiment déçu et je trouve pas des explications pour le refus de prise en charge de mon crédit Cetelem, je suis en arrêt suite à un accident de travail j'ai envoyé tout les documents demandés ainsi que l'historique de mes indemnités journalières, 2 jours après refus de prise en charge ! Pourquoi on paie une assurance ????</t>
  </si>
  <si>
    <t>24/09/2019</t>
  </si>
  <si>
    <t>eric-g-116073</t>
  </si>
  <si>
    <t>Je réglais pour mon fils, étudiant et mineur à l'époque,, l'assurance habitation. de son studio Il est maintenant majeur et autonome, et il n'est pas facile de changer ni le possesseur du contrat, ni les coordonnées bancaires J'aurai souhaité plus de facilités pour transférer le contrat à son nom en ligne.</t>
  </si>
  <si>
    <t>xtine-105766</t>
  </si>
  <si>
    <t xml:space="preserve">Sans remboursement depuis 2 mois. La secu rembourse en 48 heures. Injoignables ni par email,ni par tel, ni par courrier. Courtier aux abonnés absents. </t>
  </si>
  <si>
    <t>daniel-72313</t>
  </si>
  <si>
    <t xml:space="preserve">A Fuir absolument deux sinistres et deux refus et pas d'interlocuteur, désolé c'est le seul mot qui en ressort lors des maigres conversations </t>
  </si>
  <si>
    <t>20/03/2019</t>
  </si>
  <si>
    <t>jos-62788</t>
  </si>
  <si>
    <t>Plus que déçu !
Lors de la souscription les réponses étaient rapides et conviviales, on nous vend un conseiller particulier qui nous est rattaché. 
Hors depuis que j'ai souscrit à Assur O'Poil et annoncé mon mécontentement par rapport à des soins qui  soit disant étaient assurés remboursés (mail par ma conseillère). Surprise, j'ai vu mes feuilles de soins renvoyés en stipulant un  délai de carence de 45 jours, alors que la conseillère m'avait par mail indiqué que pour les petits bobos, il n'y avait pas de problèmes....
Depuis plusieurs mails aucune nouvelle, et bien sur, le délai de résiliation était dépassé.Donc je me retrouve avec une assurance pour 1 année à + de 30 euros et qui ne rembourse pas, ne vous répond pas! super l'argument du conseiller personnel !!!!!</t>
  </si>
  <si>
    <t>29/03/2018</t>
  </si>
  <si>
    <t>coccinelle-104429</t>
  </si>
  <si>
    <t>Conseillers toujours agréables au téléphone et qui répondent aux demandes.
De bonnes explications, une bonne orientation.
Réactifs pour l'envoi de documents par mail ou par courrier.
Prix assez élevés tout de même.</t>
  </si>
  <si>
    <t>ninouse-60565</t>
  </si>
  <si>
    <t xml:space="preserve">j'essaie de résilier mes contrats ijh chez eux depuis 2 ans maintenant contrats qui ne s'annulent pas avec la résiliation de la mutuelle et bien sûre personnes ne nous le dit à la signature après les coups de fils courriers recommandés mails je n'arrive toujours pas à résilier soit trop tôt soit trop tard 2jours que vous ayez des difficultés financières peu leur importe en plus ils vous augmentent ils ne daignent même plus me répondre aux mails pour connaître la date anniversaire pour être dans les clous  </t>
  </si>
  <si>
    <t>18/01/2018</t>
  </si>
  <si>
    <t>oceane-e-125109</t>
  </si>
  <si>
    <t xml:space="preserve">Satisfait du service
De la qualité prix 
De la rapidité
Les prix me conviennent
Rapide simple et efficace
Contente de la rapidité du service internet </t>
  </si>
  <si>
    <t>sebastienguyen-57204</t>
  </si>
  <si>
    <t>Dommage qu'on ne puisse pas mettre moins que 1 étoile !!!
Il m'a fallu plus d'un an pour avoir la chance de pouvoir les quitter, il n'ont pas respecté le code des assureurs; je n'ai jamais réussi à me faire rembourser une couronne dentaire, je n'ai donc jamais utilisé leur service sur autre chose, ayant la chance d'avoir une bonne santé. 
Impossible de leur faire changer mon rib de prélèvement pendant également 1 an, sur un compte que je devais fermer, je me suis donc pris des frais bancaires.
J'étais pourtant sur leur formule Premium ; Client chez eux Avant même qu'ils changent de nom, cet assureur est simplement une catastrophe.</t>
  </si>
  <si>
    <t>08/09/2017</t>
  </si>
  <si>
    <t>sebastien-r-127456</t>
  </si>
  <si>
    <t xml:space="preserve">J'ai souscrit une assurance ici car les prix me  conviennent. En effet, je gagne environ 26€ par mois en étant assuré en tous risques tandis que dans mon autre assurance j'étais au tiers. </t>
  </si>
  <si>
    <t>walid-50074</t>
  </si>
  <si>
    <t xml:space="preserve">Je suis un client lamda jai u un sinitre le 30 mai 2016 . 
Apres le constat que jai envoye on ma fixe un rdv avec un expert, rdv annulée parce que c'est pas le secteur de lexpert ou etait mon scooter, 
Un autre rdv avec un expert est pris au grage, lexpertise et fait est pas de nouvelle de lexpert pdt deux mois (frais de gardinage a ma charge 12e par jours) 
Jai du relancer l'expert moi meme pour que s'avance, le rapport d'expertise rendu je suis pas responsable du sinistre amv me dit quil faut attendre le reglement de la compagnie adverse pour vous dédommager, 0n est le 9 dec 2016 il me disent de patienter et y a rien dautre a faire, 
Franchement payer plus cher ailleur mais évité amv. 
Une bonne assurance est de repondre present lors dun sinitre et pas etre prelever tout les mois. 
Resulat pas de scooter depuis mai oblige de prendre un passe transport et le meilleur de tout sa c'est que je paye encore vivement que le dossier(M6A13701)soit clotuer pour resilier chao a plus jamais amv </t>
  </si>
  <si>
    <t>09/12/2016</t>
  </si>
  <si>
    <t>francoise-b-105070</t>
  </si>
  <si>
    <t xml:space="preserve">je suis satisfaite merci pour la simpliciter de votre site pour le prix cela est parfait je le conseillerais a mes amis pour le paiment mensuelle cela bien pour gerer mes finances </t>
  </si>
  <si>
    <t>kezako-62823</t>
  </si>
  <si>
    <t>2 mois que je cours pour faire un rachat partiel et jusqu’à présent rien.
Il m’envoie une liste de documents par email , je complète et ils me disent non ça manque encore, pour me faire courir et ma situation n’as pas changer</t>
  </si>
  <si>
    <t>18/04/2018</t>
  </si>
  <si>
    <t>benjamin-99164</t>
  </si>
  <si>
    <t>Service téléphonique de mauvaise qualité. On peut être renvoyer de service en service pendant des heures.
Service juridique inexistant et pas aimable.
Très bien quand on a pas besoin d'eux. Pour le reste à éviter ou s'attendre à des déceptions.</t>
  </si>
  <si>
    <t>24/10/2020</t>
  </si>
  <si>
    <t>ennamir-h-121375</t>
  </si>
  <si>
    <t xml:space="preserve">Satisfait du prix bien abordable est des services téléphoniques bien rapide est efficace je recommande l’olivier pour tout type de véhicule devis rapide </t>
  </si>
  <si>
    <t>fifibr-65969</t>
  </si>
  <si>
    <t>très bons renseignements lors des communications et des demandes du clients.nous dirigent très bien vers des assurances nous correspondant .Bonnes garanties , très bon service client .très bon service client.100/100 satisfaite .</t>
  </si>
  <si>
    <t>jmb-98569</t>
  </si>
  <si>
    <t xml:space="preserve">je suis client depuis plus de 6 ans chez amv pour ma moto sans aucun sinistre j ai 51 ans et 0.50 de bonus depuis plus de 7 ans . 
je viens de changer de moto et après un devis exorbitant j ai décider de changer d assureur
ils me mette des battons dans les roue  veule me faire payer encore plus de 6 mois alors que j ai changer d assureur.
des vrais !!! ils ferai mieux de s occuper correctement de leur client et de pratiquer des prix raisonnable au lieu de passer leur fric dans la publicité.
cette assurance et a fuir resilier vos contrat .
moi je suis a présent chez assureo et ils sont très bien avec de bon prix et de très bonne garantie.      </t>
  </si>
  <si>
    <t>09/10/2020</t>
  </si>
  <si>
    <t>pilou-81266</t>
  </si>
  <si>
    <t>au sujet pas augmentation pour 2020 FAUX, j'ai une augmentation 1,89e sur auto + 17,75e sur habitation total mes  ass :28,20e en + pour 2020 avec 50% bonus .</t>
  </si>
  <si>
    <t>23/11/2019</t>
  </si>
  <si>
    <t>bruno-r-128697</t>
  </si>
  <si>
    <t>2 contrats véhicules et 2 contrats habitations chez vous, je n’ai pas eu de souci chez vous depuis 2013, satisfait dans l’ensemble!
Seul bémol, dommage que l’on soit obligé de prendre le pack complet pour pouvoir avoir l’assistance 0km, sans que ça soit une option sans pack.</t>
  </si>
  <si>
    <t>rouziere-y-115796</t>
  </si>
  <si>
    <t>L'ensemble des services et prestations sont corrects.
Les tarifs sont attractifs.
Le service dépannage est efficace
Les demandes sont rapidement traitées</t>
  </si>
  <si>
    <t>amouroux-c-132027</t>
  </si>
  <si>
    <t xml:space="preserve">Je suis contente du tarif et des personnes que j'ai put avoir au téléphone je recommanderais dans mon entourage car garantit et tarifs très intéressant </t>
  </si>
  <si>
    <t>francoise-a-106112</t>
  </si>
  <si>
    <t xml:space="preserve">je ne suis pas satisfait de la réponse que vous avez donné à mon mail , concernant ma demande de réduction d'échéance auto , , en date du 9 mars et de ce fait je vous signale que je prévois de changer d' assurance et je ne paierai certainement les prochaines échéances chez vous ! </t>
  </si>
  <si>
    <t>10/03/2021</t>
  </si>
  <si>
    <t>tototo-110763</t>
  </si>
  <si>
    <t>Non satisfait , service client nul.Proposition commercial non tenue.
Plus d'un mois pour avoir une réponse qui de plus ne correspond pas a ma demande.
Bien cordialement</t>
  </si>
  <si>
    <t>jeanne-94427</t>
  </si>
  <si>
    <t xml:space="preserve">Trop chère, j’ai eu 0 sinistrés et je paye seulement 100€ de moins que l’année précédente.    C’est du n’importe quoi.                                  </t>
  </si>
  <si>
    <t>mathieu-93886</t>
  </si>
  <si>
    <t>Satisfait des prix proposés par direct assurances 
La garantie du conducteur et du véhicule semblent être appropriés à mon cas.</t>
  </si>
  <si>
    <t>12/07/2020</t>
  </si>
  <si>
    <t>pierre-64153</t>
  </si>
  <si>
    <t>j'attends un remboursement d'optique depuis le 13 avril 2018 aujourd'hui 25 mai 2018 rien, même après plusieurs coup de fil, dernière nouvelle il ne trouve pas mon dossier</t>
  </si>
  <si>
    <t>23/05/2018</t>
  </si>
  <si>
    <t>goncalves-a-134965</t>
  </si>
  <si>
    <t>je suis entièrement satisfait du tarif pratiqué et de l'accueil des conseillers ainsi que des informations qui m'ont été donnés le site internet est très facile d'utilisation et très rapide</t>
  </si>
  <si>
    <t>youssouf976-93598</t>
  </si>
  <si>
    <t xml:space="preserve">Je suis satisfait du service et le prix me convient et concernant l’assurance pour pouvoir commencer l’assurance et être assuré et le service me convient convenablement </t>
  </si>
  <si>
    <t>09/07/2020</t>
  </si>
  <si>
    <t>alex-123861</t>
  </si>
  <si>
    <t>Lorsque l'on me demande combien je paie de mutuelle et que je dis 286€ par mois, on ne me croit pas, mais c'est la réalité.
3432€ par an, je pense que c'est élevé.
Merci
De plus, depuis le 29/06/2021 vous avez reçu les documents demandés concernant la fin de mon prêt immobilier donc de mon assurance.
A ce jour le dossier n'est pas traité et le prélèvement a été effectué ( cherchez l'erreur)
Merci de vous en occuper favorablement.
Merci</t>
  </si>
  <si>
    <t>lunettesfloux-60249</t>
  </si>
  <si>
    <t xml:space="preserve">Je ne recommande pas cette mutuelle. Cher et service clients suasi injoignable. Ca eaccroche automatiquement toutes les4 minutes du grand n'importe quoi quand le temps d attente est estimé a plus de 5min </t>
  </si>
  <si>
    <t>07/01/2018</t>
  </si>
  <si>
    <t>lannuzel-m-114935</t>
  </si>
  <si>
    <t xml:space="preserve">Je suis satisfaite du service et des conseils. Un accompagnement complet et une bonne prise en charge.
rapide et efficace, le service client est très à l'écoute de vos besoins. </t>
  </si>
  <si>
    <t>chtel-103664</t>
  </si>
  <si>
    <t>Aucune précaution pour résilier les contrats même si le sociétaire n'est en aucun cas responsable des sinistres. Après plus de 30 ans chez le même assureur, voilà comment on est remercié...</t>
  </si>
  <si>
    <t>paul-m-112477</t>
  </si>
  <si>
    <t>Parfait a part le weekend le site rame sinon tout est ok?????????? tout roule a part votre site la galère je donnerai le reste de mon avis si rien ne m arrive ??</t>
  </si>
  <si>
    <t>maelle-m-133926</t>
  </si>
  <si>
    <t>Le prix me convient, j'attends de voir la réactivité du service client, la facilité de les joindre et leur efficacité en cas de panne ou de sinistre avec mon véhicule</t>
  </si>
  <si>
    <t>paco-60267</t>
  </si>
  <si>
    <t>incapable de gerer un sinistre menteurs a souhait bourdes sur bourdes je deconseille vivement!!!!!!!!!</t>
  </si>
  <si>
    <t>08/01/2018</t>
  </si>
  <si>
    <t>larissa-134156</t>
  </si>
  <si>
    <t>Bonjour, je suis satisfaite de ma conversation téléphonique de ce matin  avec Daouda votre interlocuteur Néoliane qui a été aimable et à l'écoute !... Il m'a bien renseignée au sujet du remboursement d'une Box  turbans (bonnets chimio)... La prochaine fois : j'aimerais avoir affaire à lui pour sa compétence !!!</t>
  </si>
  <si>
    <t>boudad-m-111618</t>
  </si>
  <si>
    <t>simple et pratique , service agréable avec un prix impattable . Je recommande vivement pour les personnes qui viennent d'acheter leur premiers véhicules !</t>
  </si>
  <si>
    <t>william-b-106371</t>
  </si>
  <si>
    <t xml:space="preserve">même sans sinistre la cotisation augmente... 
c'est la 2em fois en 2 ans.
j'vais commencer à chercher ailleurs.
pour le reste, rien à redire.         </t>
  </si>
  <si>
    <t>farid-g-127544</t>
  </si>
  <si>
    <t xml:space="preserve">Je suis satisfait du service direct assurance 
Bon accueil téléphonique 
Rapide et efficace 
J’ai été parrainé par une amie en espérant bénéficier de la remise </t>
  </si>
  <si>
    <t>cvallier-107762</t>
  </si>
  <si>
    <t>Je suis assuré chez e allianz pour mon véhicule principal. Devant assurer une voiture de collection auprès d'un assureur spécialisé, j'essaie d'obtenir un Relevé d'Information. Je n'ai aucune réponse après 4 demandes. Par ailleurs, il n'y a aucun moyen de les joindre par téléphone. Je frémis à l'idée que je suis assuré depuis 4 ans chez un assureur qu'il n'y a aucun moyen de joindre et qui ne répond pas.
Le prix est peut-être bas mais eu égard au service rendu il est exorbitant !</t>
  </si>
  <si>
    <t>yayavv-100746</t>
  </si>
  <si>
    <t>En incapacité de travail pdt 4 mois donc droit à 1 mois de loyer par cnp immobilier depuis 3 mois toujours rien !!!!!!a fuir , j arrête mes assurances prévoyance.</t>
  </si>
  <si>
    <t>29/11/2020</t>
  </si>
  <si>
    <t>curvale-t-111487</t>
  </si>
  <si>
    <t>Prix attractifs pour un contrat jeune conducteur mais pas totalement identiques au devis réalisé en ligne . Nous attendons tout de même une bonne prise en charge en cas de sinistre.</t>
  </si>
  <si>
    <t>sarafina--98915</t>
  </si>
  <si>
    <t xml:space="preserve">Décevant !! Les conseillers ne sont pas renseignés  sur les services qu'ils proposent. Ils vous donnent de mauvaises informations pour faire traîner le dossier pour au final refuser ! L'assurance chômage en l'occurrence n'existe pas il s'agit UNIQUEMENT d'une assurance licenciement. Même si on.vous dit le contraire croyez moi je vous assure on m'a baladé pendant 4 mois.
</t>
  </si>
  <si>
    <t>19/10/2020</t>
  </si>
  <si>
    <t>william-d-125756</t>
  </si>
  <si>
    <t xml:space="preserve">C'est plutôt rapide, bien expliqué. Je recommande direct assurance. Il y a des garanties à prix abordables. Pas de relance intempestives si on ne valide pas le devis </t>
  </si>
  <si>
    <t>maryline-60765</t>
  </si>
  <si>
    <t xml:space="preserve">Hôtesse d'accueil agréable 
À répondu à toute question 
Je suis dessus depuis 2015 les garanti  sont bien </t>
  </si>
  <si>
    <t>24/01/2018</t>
  </si>
  <si>
    <t>bonneton-c-109167</t>
  </si>
  <si>
    <t xml:space="preserve">Très bon service je le recommande inscription rapide simple pas besoin de perdre du temp moins cher que Beaucoup d autre assureurs je les conseil grandement </t>
  </si>
  <si>
    <t>corinne-k-125962</t>
  </si>
  <si>
    <t>Votre collaborateur ce matin a raccroché , estimant que je n'écoute pas ce qu'ils me disait. Ma demande était une attestation civile vie privée et une attestation individuelle accidents corporels pour ma fille Edwige. Impossible de parler, un collaborateur excessivement volubile qui ne cessait de répéter en boucle que je l'empêchait de faire son travail; estimant que dans le doute où je ne continue pas mes contrats en 2022, il ne pouvait me faire ces attestations ...</t>
  </si>
  <si>
    <t>camille-b-121553</t>
  </si>
  <si>
    <t>Très satisfaite du service et des prix, nous pensons revenir lorsque notre projet habitation aura abouti pour un nouveau contrat avec vous, voire grouper l'assurance auto</t>
  </si>
  <si>
    <t>troptardnul-61580</t>
  </si>
  <si>
    <t xml:space="preserve">Bonjour moi aussi je suis assuré chez MAAF de puis 2016 j' deux véhicules  plus assurance scolaire 50% +6 
J'ai ramène des copain il sont assurée chez MAAF leur véhicule et habitation grâce à moi
Le problème 
Ça fait 20 jour mon épouse elle veut se garer sur un parking l'autre prioritaire et la ouvrir sa portier et mon épouse rentrée de dans
Et la casse la portière et autre chose , et sur le mien tout l'avant  droite pare choc antibrouillard plus côté droite et le pare choc arrière complet en a fait le constat j'ai bien rempli avec le dessin et j'écrire même le dégât sur les deux véhicules mon épouse non responsable
J'ai ramène mon constat à l'assurance ils sont contacter le expert pour passer au garage concessionnaire
Un jour après j'ai contacté le Mr auto expert pour voir mon véhicule sera réparé quand
Lui m'a répondu Mr pour votre véhicule en prendre pas tous en charge j'ai lui dit pk 
Il m'a répondu que votre véhicule vous avez touché avec quelques choses pas dans l'accident
J'ai lui dit si j'ai touché moi même  je le répare véhicule assuré tout risque 
Je me suis partie le voir ds son bureau j' montré le contrat il m'a répondu c'est trop tard j'ai déjà envoyé le rapport à VOTRE ASSURANCE MAAF
Pour moi je prendrai en charge la jante le pare choc arrière la rétroviseur le reste non
J' contacter mon assurance MAAF m' répondu il faut faire contre expertise à votre charge MERCI MAAF BEAUCOUP 
Je me suis renseigné pour un contre expertise 700€ je vais la payer de ma poche par contre en a pris tout les photos de l'autre vehicule
Je vous conseille le jour de l'expertise il faut être présent 
Car auto expertise de Cholet ya beaucoup des clients qui m'a parlé de cette expert il faut faire  HHHHHHHHHH pouvre cabinet
MAAF avec cette cabine de l'expertise HHHHHHHH
Le problème ya le constat tout écrire même le dessin comme quoi c'était un accident en plus ya même les deux SIGNATURES comme quoi en est d'accord
Je félicite l'expert pour sont passage hhhhhhh
Pas de soucis Mr expert
 </t>
  </si>
  <si>
    <t>blancpetitlapin-62502</t>
  </si>
  <si>
    <t xml:space="preserve">Je déconseille fortement.  Ils vous disent de leurs envoyé plusieurs document pour résilier ensuite le contrat alors que vous leur déjà tout envoyé, toujours pas assez de justificatives. Après y a aucun remboursements pour se justifier ils vous envoient des Email pré-écrit. </t>
  </si>
  <si>
    <t>20/03/2018</t>
  </si>
  <si>
    <t>ouahiba-80213</t>
  </si>
  <si>
    <t xml:space="preserve">Alicia a été très aimable avec moi réponses était très Claire disponible réactive et disponible super sympathique et aimable je recommande vivement </t>
  </si>
  <si>
    <t>18/10/2019</t>
  </si>
  <si>
    <t>tristan--h-125911</t>
  </si>
  <si>
    <t xml:space="preserve">Je viens juste de m'inscrire je n'ai pas assez de recul pour donner mon avis, je reviendrais donner mon avis plus tard dans ce cas alors car je ne sais pas quoi dire. Les prix ont l'air correct </t>
  </si>
  <si>
    <t>tphil-113527</t>
  </si>
  <si>
    <t>J'ai reçu un mail m'informant que mon contrat a été résilié suite à la non réception des documents que je vous ai envoyé.J'ai envoyé les documents 4 fois (2 fois par mails et 2 fois sur mon espace client).
J'ai aussi fait 2 demandes de rendez-vous téléphonique sur mon espace client qui sont restés sans réponse.</t>
  </si>
  <si>
    <t>momo-114765</t>
  </si>
  <si>
    <t>Depuis novembre 2020 optique non encore remboursé
Devis pour soins dentaires non retournés depuis février 2021
Cette mutuelle se fiche du monde outre les appels non pris non engagements de leur part mais par contre cotisations prélevées
Ce matin j’ai déposé une main courante auprès du commissariat demain chambre de commerce pour déposer une plainte
Mutuelle à proscrire</t>
  </si>
  <si>
    <t>ferroudji-o-114775</t>
  </si>
  <si>
    <t>Simple efficace et rapide le service client est très efficace. Je suis très satisfait des réponses données claires et concises en accord avec mes questions...</t>
  </si>
  <si>
    <t>fanny-fanny-138417</t>
  </si>
  <si>
    <t xml:space="preserve">Pas satisfaite j'ai demandé un prélèvement tout les 10 et j'ai constaté que je serai prélevé le 9 novembre et 6 décembre j'ai contacter le service mais a se jour aucune réponse , je pense faire valoir mon délai de rétractation </t>
  </si>
  <si>
    <t>27/10/2021</t>
  </si>
  <si>
    <t>gaelle-d-105929</t>
  </si>
  <si>
    <t>Site facile d'acces, le prix de l'assurance est correct,
en cas de sinistre l'assurance est rapidement joignable, via la plateforme ou telephonique, prise en charge rapide</t>
  </si>
  <si>
    <t>directbof-70599</t>
  </si>
  <si>
    <t>J'ai demandé une assurance au tiers au lieu d'une assurance tous risques, les cotisations baissent (donc normalement), sauf la Cotisation annuelle non soumise au Bonus-Malus (Assistance, Garantie Personnelle) qui elle a doublé.
Après mon appel on me dit que c'est normal...
Je change donc d'assurance.
Normal aussi.</t>
  </si>
  <si>
    <t>25/01/2019</t>
  </si>
  <si>
    <t>schildhauer-a-112244</t>
  </si>
  <si>
    <t xml:space="preserve">Excellent service. Interlocuteur clair, efficace et très sympathique. Très satisfait du tarif et de l'accueil téléphonique extrêmement professionnel.
</t>
  </si>
  <si>
    <t>cazier-c-122008</t>
  </si>
  <si>
    <t>je trouve le prix de la voiture assez cher  pour une vieille voiture il faut rajouter des options partouts je trouve cela dommage et je pense changer d assurance bientot</t>
  </si>
  <si>
    <t>yves-chabry1-131820</t>
  </si>
  <si>
    <t>Assurance a fuir, j'ai eu un accident non responsable au mois de juillet un expert passe mi août pour une expertise conservatoire réparation supérieur au prix de ma voiture qui roule toujours un feu arrière et le pare-choc arrière a changer 3100€ .une semaine après un casseur me téléphone pour me dire je viens chercher votre voiture l'expert me l'a cédé
Active assurance me répond nous ne pouvons rien faire l'assurance adverse ne veut pas nous reprendre  donc vous ne serez pas rembourser, mes nous pouvons faire enlever votre voiture,pour vous le mieux serait de vous assurer tout risque de 360€ vous passez juste a 640€</t>
  </si>
  <si>
    <t>jonathan-b-132736</t>
  </si>
  <si>
    <t xml:space="preserve">Je suit satisfait du prix est des services sur internet très facile à utiliser 
Satisfait des options qui a pour les assurances des véhicules beaucoup de choix </t>
  </si>
  <si>
    <t>poichot-m-121326</t>
  </si>
  <si>
    <t xml:space="preserve">Le prix est un peu élevé mensuellement mais je reste quand même satisfait de vos services.
Le service est simple et efficace.
La signature en ligne est vraiment appréciable. </t>
  </si>
  <si>
    <t>parrenin-didier--100620</t>
  </si>
  <si>
    <t>assurance incompétente  ne réponde pas au tel   ne sont pas foutu d'envoyer un relevé d'info   
sans erreur  ne réponde pas au mail fuyez cette assurance j'ai fais 2 mois chez eux plus jamais de ma vie le tel sonne pendent 2 heures et ça raccroche toute les 15 minutes  ils s'en foute de nous et pour les litiges un service juridique personnel est indispensable  sinon vous êtes seul</t>
  </si>
  <si>
    <t>26/11/2020</t>
  </si>
  <si>
    <t>kruke-103722</t>
  </si>
  <si>
    <t>Cette compagnie d'assurance à des tarifs beaucoup trop cher concernant le véhicule : auto.
J'ai également mes contrats de moto qui est lié à l'automobile, ainsi que le contrat d'assurance accident de la vie duquel je n'ai pas connaissance de comment faire pour déclarer un sinistre ?</t>
  </si>
  <si>
    <t>05/02/2021</t>
  </si>
  <si>
    <t>courtisan69-88766</t>
  </si>
  <si>
    <t>service client inexistant
ils demandent une tonne de papiers alors qu'ils les ont en télétransmission !
deux mois et toujours pas rembourssé pour le dentaire alors que pour une consultation c'est fait automatiquement ! pourquoi cette différence alors que le procédé par télétransmission est identique ?</t>
  </si>
  <si>
    <t>08/04/2020</t>
  </si>
  <si>
    <t>dysko-4608</t>
  </si>
  <si>
    <t>Ils ne sont là que pour encaisser les primes d'assurance et refusent par tous les moyens d'ouvrir un sinistre qui les obligera à vous rembourser. Communiquez uniquement par courrier AR avec eux car par téléphone leur seul objectif est de vous décourager et refuser la prise en charge. Fuyez cette assurance qui fait des bas prix mais au moindre sinistre vous regretterez votre choix. En tout cas le mien est fait, j'attends la date d'échéance pour retourner vers une assurance traditionnelle.</t>
  </si>
  <si>
    <t>11/12/2018</t>
  </si>
  <si>
    <t>nicolas-50904</t>
  </si>
  <si>
    <t xml:space="preserve">Très difficile de ce faire réparer un bris de glace ils ont envoyé des entreprises chez moi puis ils sont ensuite refusé leurs devis trop chair et ont même cherché à avoir une tva à 5% incroyable! </t>
  </si>
  <si>
    <t>03/01/2017</t>
  </si>
  <si>
    <t>badoli-93625</t>
  </si>
  <si>
    <t>Lamentable,
Des semaines à se faire rembourser, des garanties minables, une cotisation exorbitante (70€ par mois).
Je vais solliciter nos gérants pour changer au plus vite ce contrat groupe abominable. Evitez vraiment cette compagnie qui ne daigne répondre ni par mail, ni par téléphone.</t>
  </si>
  <si>
    <t>gauthier-lemay1-56613</t>
  </si>
  <si>
    <t xml:space="preserve">Ne jamais assurer quoi que ce soit chez eux. Une fois que votre contrat est signé, ils ne vous donnent plus jamais de nouvelles. j'ai essayé de leur envoyer une dizaine de mail, sans jamais de réponse. J'ai réussi à enfin les avoir au téléphone, ils me disent qu'ils me rappelleront pour un problème de non paiement et un mois après je reçois une lettre d'une société de recouvrement. Vous ne recevrez jamais votre étiquette d'assurance mais vous allez payer quand même. Si vous vous faites arrêter par la police vous serez hors la loi. Faites attention </t>
  </si>
  <si>
    <t>11/08/2017</t>
  </si>
  <si>
    <t>varela-pereira-n-125571</t>
  </si>
  <si>
    <t xml:space="preserve">Bonjour        
Je suis satisfait du prix et de la qualité de renseignement . Et je aussi le cumule avec assurance maison .Je recommanderez à d’autre personne merci à vous </t>
  </si>
  <si>
    <t>30/07/2021</t>
  </si>
  <si>
    <t>antho-72195</t>
  </si>
  <si>
    <t>Sonner au porte , et mentir au gens pour rentrer chez eux ( nous devons vérifier votre compteur électrique) ma mère s'est fait avoir. Honte a vous et a vos vendeurs sans scrupules</t>
  </si>
  <si>
    <t>josy-76982</t>
  </si>
  <si>
    <t xml:space="preserve">la Macif avec l aide de leur avocat  m a défendu contre mon agresseur  Et au décès accidentel de mon mari la Macif m a indemnise tres rapidement </t>
  </si>
  <si>
    <t>didier-t-130335</t>
  </si>
  <si>
    <t xml:space="preserve">Je suis satisfait du service mais je préfère en agence être reçu par les ancien(ne) l’accueil étant plus respectueux 
Le prix vue le nombre de contrat une ristourne serais pas de trop
 </t>
  </si>
  <si>
    <t>giedre-p-127976</t>
  </si>
  <si>
    <t>Bien, service client très rapide est personnes très agréable.
Service sinistre et dépannage très bien !
mais les tarifs augmentent considérablement tous les ans malgré le bonus qui augmente</t>
  </si>
  <si>
    <t>wawa-64545</t>
  </si>
  <si>
    <t>Nous déconseillons TRES FORTEMENT Allianz. Orientation satisfaction et rétention client inexistante !! Refus de me rembourser 10 mensualités pour un logement que je n'occupe plus depuis 10 mois.</t>
  </si>
  <si>
    <t>06/06/2018</t>
  </si>
  <si>
    <t>christophe-r-131524</t>
  </si>
  <si>
    <t>Très bien mais interface graphique un peu lourde. Il n'est pas possible de télécharger directement les attestations enfants et habitation, c'est dommage. Bonne journée !</t>
  </si>
  <si>
    <t>erika--p-129997</t>
  </si>
  <si>
    <t xml:space="preserve">Je suis satisfait du service mais le prix reste un peu chère quand même sinon ont verra bien pour le reste plus tard avec le temps faut voir c'est ma première assurance </t>
  </si>
  <si>
    <t>rochart-o-138828</t>
  </si>
  <si>
    <t>Tout se fait en ligne, les étapes sont simples et la communication est claire et accompagnante, si bien pour signer que pour transmettre les documents, pas de frais cachés, je suis ravie !</t>
  </si>
  <si>
    <t>03/11/2021</t>
  </si>
  <si>
    <t>yves-rosselli--105382</t>
  </si>
  <si>
    <t>AMV 
Pas de sinistre donc tous va bien 
Sauf que un jour il se peut qu’il y est un sinistre et là les choses se complique 8 mois d’immobilisation de mon véhicule suite à une chute à l’arrêt déraillements de la chaîne et rupture de celle-ci et casse du carter moteur selon l’expert AMV pas possible selon le mien cela est possible rapport à l’appui l’expert d’AMV à juste écrit que ce n’est pas possible il y a un détecteur de chute et un MSC ( pour rappel le détecteur de chute coupe le moteur au bout de 5 secondes et le MSC est à peux près comparable à un ESP sur une voiture) en d’autres termes rien à voir avec les propos de l’expert d’AMV suite à ça une tierce expertise a été demandé l’expert en question a décliner l’expertise invoquant que les deux parties pouvaient avoir raisons AMV à donc décider que c’est eux qui avaient raison et par conséquent je devais m’assoir sur une quelconque prise en charge je précise que je suis assuré tout risque !
Cordialement 
AMV
R0A14651/DURAN</t>
  </si>
  <si>
    <t>tom-69390</t>
  </si>
  <si>
    <t>Je suis chez eux depuis des années pour multirisque, habitation, responsabilité civile. Je souscris à une assurance voiture, on m'annonce un bonus à 0,50. Quelques jours plus tard, je fourni un relevé d'information de la MAAF pour le véhicule, on me répond que les informations ne sont pas conforme à ce que j'ai déclaré et que le bonus passe à 0,54. J'appelle pour tirer la situation au clair, on me met en attente une 15 aine de minutes avant de me déclarer que le relevé d'information que j'ai envoyé ne vient pas de la MAAF et est un faux (???) alors qu'il ma bien sur été fourni directement par la MAAF. Je demande dans ce cas d'où vient le calcul de 0,54, on refuse de me répondre en me disant qu'on va pas, je cite, "se perdre en tergiversation"' , devant mon insistance sur leur calcul mystère et leur refus d'accepter le relevé d'information officiel de la MAAF, on me raccroche tout bonnement au nez.</t>
  </si>
  <si>
    <t>13/12/2018</t>
  </si>
  <si>
    <t>bernie-86006</t>
  </si>
  <si>
    <t xml:space="preserve">Il faut se méfier des promesses faites par les responsables de secteur. Les conseillers commerciaux proposent des contrats attrayants( en oubliant de signaler certains frais). Ensuite, les responsables remettent en cause les accords passés avec les coseillers commerciaux.
A éviter au maximum!!!!! </t>
  </si>
  <si>
    <t>07/02/2020</t>
  </si>
  <si>
    <t>rhizautio-107729</t>
  </si>
  <si>
    <t>Ne pas traiter des dossiers incendie et arrêter de payer la location d'une famille de sinistres telle est la devise de la MAIF. Envoyer 3 mineurs a la rue n'est pas leur problème selon une responsable d'agence
 De la provocation a la mise à la rue des assurés rien ne les arrête pour ne pas payer...</t>
  </si>
  <si>
    <t>gilberto-m-113017</t>
  </si>
  <si>
    <t>Je viens tout juste de faire une déclaration de sinistre, c'est une première chez-vous, j'attends le retours d'expérience pour donner un avis percutant.</t>
  </si>
  <si>
    <t>karine-i-105635</t>
  </si>
  <si>
    <t xml:space="preserve">Prix convenables, service irréprochable : rien à redire!
Des années que nous sommes clients et jamais aucun souci, même en cas de sinistre....
Nous recommandons sans hésiter.
</t>
  </si>
  <si>
    <t>dogueavie--105406</t>
  </si>
  <si>
    <t xml:space="preserve">J'ai appelé la mutuelle mgp pour avoir un échéancier et on m a répondu rapidement et j'ai obtenu satisfaction suite à ma demande.
Je recommande la mgp. </t>
  </si>
  <si>
    <t>fiorina-l-125427</t>
  </si>
  <si>
    <t>incroyable alors qu'on nous assomme dans les autres compagnies , surtout pour des jeunes qui débutent et qui peuvent avoir eu des sinistres ... RAPIDE ET EFFICACE</t>
  </si>
  <si>
    <t>neacsu-m-137159</t>
  </si>
  <si>
    <t>simple et pratique, content du tarif et des échanges téléphoniques avec le service clientèle.
informations claires. rapidité dans le rappel téléphonique</t>
  </si>
  <si>
    <t>tomlegone-54581</t>
  </si>
  <si>
    <t>Pour une déclaration de sinistre, en 30 heures : 50 appels pour lesquels tous les conseillers étaient déjà pris et donc fin de l'appel. J'ai enfin pu être mis en attente pendant 2 heures =_x009b_ j'ai craqué, j'avais faim, j'ai raccroché. J'ai essayé de déclarer le sinistre en ligne mais on me demandait le conducteur de mon véhicule alors qu'il n'y en avait pas (véhicule en stationnement). C'était un champ obligatoire donc je ne pouvait pas aller plus loin sans en saisir un. Finalement j'ai réussi a déclarer mon sinistre en passant par le service client, mais dès que j'ai eu un conseiller du service déclaration un grésillement insupportable est apparu (je ne l'avais pas avant au cours de l'appel ni pendant la musique d'attente donc pas dû à mon téléphone ou mon opérateur). J'ai passé 20 minutes à déclarer le sinistre avec ce grésillement et j'ai eu trop peur de raccrocher pour ne plus arriver à joindre ce service... 
Bref perte de temps et très désagréable.</t>
  </si>
  <si>
    <t>10/05/2017</t>
  </si>
  <si>
    <t>marie-ange-v-129649</t>
  </si>
  <si>
    <t xml:space="preserve">Toujours très sympathiques autant au téléphone qu'en agence. Les prix sont adaptés à chaque famille. et le site est simple contrat adapté et tres clairement expliqué 
</t>
  </si>
  <si>
    <t>gadhirgamanadhan-p-122400</t>
  </si>
  <si>
    <t>super je recomande rapide merci beaucoup our recevoir votre carte verte définitive, rendez-vous dans la rubrique "Mes Documents" de votre Espace Perso : vous pourrez consulter la liste des documents à nous fournir et nous les transmettre en quelques clics.
Dès réception de ces documents, votre carte verte définitive vous sera adressée par mail sous 5 jours ouvrés et par voie postale sous 10 jour</t>
  </si>
  <si>
    <t>cohen-86996</t>
  </si>
  <si>
    <t xml:space="preserve">moi j'ai pris une mutuelle chez providency a lyon j'ai eu Mr victor cohen un excellent conseiller il espliqué le devis de a à z et a chaque fois je le contacte par mail ou par phone il est la pour moi ou pour ma soeur et ses enfant je ne changerais jamais  </t>
  </si>
  <si>
    <t>11/02/2020</t>
  </si>
  <si>
    <t>helene-80387</t>
  </si>
  <si>
    <t>Je confirme les avis précédents .
J' ai effectué un rachat partiel le 14 octobre dernier pour payer la taxe foncière .
A ce jour , le virement n' a pas été effectué et il a été répondu à mon correspondant AFER qu' aucune date ne pouvait être donnée !
Bientôt la faillite ?</t>
  </si>
  <si>
    <t>24/10/2019</t>
  </si>
  <si>
    <t>rapide77-54526</t>
  </si>
  <si>
    <t>relation clientele nulle conseiller sur agence nul aucun retour de demandes on laisse le client dans la M      malgré 30 ans de sociétaire on ne réponds pas aux clients et a ce jour cela fait 40 jours que je n'ai pas de réponses
alors je viens de retire quelques contrats aucuns problèmes pour trouver un autre assureur</t>
  </si>
  <si>
    <t>07/05/2017</t>
  </si>
  <si>
    <t>vincento-49597</t>
  </si>
  <si>
    <t>Une fois que vous avez signé, injoignables par téléphone "rappelez plus tard", ils ne lisent pas les courriers que vous leur envoyez (n'espérez donc aucune réponse si vous avez le moindre problème). En revanche, vous envoie des mises en demeures en recommandé dès que leur système de prélèvement tombe en panne...</t>
  </si>
  <si>
    <t>26/11/2016</t>
  </si>
  <si>
    <t>stephanie027-61463</t>
  </si>
  <si>
    <t>Une catastrophe...
On m a harcelé des jours et des jours pour que je souscrive...ce que j ai fait.....
Conseillère désagréable à souhait qui vous prends de haut.
Menteuse, dit ne pas avoir reçu mes documents, elle a admis les avoir reçus quand je lui ai envoyé deux captures d'écran, prouvant que j ai envoyé deux fois les documents non reçus ...
Ensuite on m a fait miroiter des garanties extraordinaires...
Mes lunettes avec un soir disant zéro reste à charge chez optique 2000...
Ok en prenant des montures à 40€ en plastique et des verres sans antireflets , la dame a été sympa et m a aminci les verres ...
Orthodontiste.... madame vous n aurez rien à payer.....avec l initiale + ...les 340€ de prise en charge d orthodontie... Vous serez limite remboursée plus que ce que vous avez payer hihihi (ça c'est son rire).
Et ce matin bonne nouvelle... Resta à charge de 140€ ....
Je suis passee par oxylians...
Fuyez fuyez fuyez les courtiers...
Je n en veux pas à neoliane mais plus aux courtiers qui m ont vendu du rêve et bien mis dans la mouise</t>
  </si>
  <si>
    <t>15/02/2018</t>
  </si>
  <si>
    <t>said-b-110592</t>
  </si>
  <si>
    <t xml:space="preserve">Moyennement satisfait, car j'ai le devis pour mes 2 véhicules et j'ai trouvé le prix plus élevé que ce que je paye actuellement.
Pour l'habitation je suis plutôt satisfait </t>
  </si>
  <si>
    <t>mallo2016-58048</t>
  </si>
  <si>
    <t>C'est un assureur très bien dès lors que l'on en a pas besoin.
Tant que l'on paie, et aucun sinistre, parfait ! Mais il ne faut surtout pas avoir besoin de leurs services !</t>
  </si>
  <si>
    <t>13/10/2017</t>
  </si>
  <si>
    <t>francoise-h-113522</t>
  </si>
  <si>
    <t>Satisfaite du service à ce jour. Tarifs corrects. Espérons que le service reste bon. Si c'est le cas, je n'hésiterais pas à recommander Direct assurance.</t>
  </si>
  <si>
    <t>nais-b-90964</t>
  </si>
  <si>
    <t>Le prix me convient. Ma mère est chez vous et très satisfaite. Je veux le devis parce que je veux pouvoir comparer le montant des franchises avec mon assureur actuel.</t>
  </si>
  <si>
    <t>15/06/2020</t>
  </si>
  <si>
    <t>omar-k-127885</t>
  </si>
  <si>
    <t xml:space="preserve">Super bon tarif . 1er contact avec mon interlocuteur nickel très agréable et très réactif à mes demandes j'espère qu'après le signature qu'il continueront à être réactif </t>
  </si>
  <si>
    <t>vaz-torres-j-126983</t>
  </si>
  <si>
    <t>TRES SATISFAITE; super accueil, très clair, très prof, vraiment MERCI, l'audit du besoin est très bien fait, les propositions d'assurances en adéquation avec le besoin.</t>
  </si>
  <si>
    <t>07/08/2021</t>
  </si>
  <si>
    <t>kris-108437</t>
  </si>
  <si>
    <t>Je suis satisfaite de la reponse apportée par emeline qui a etudie rapidement mon dossier quand jai appelé. Temps d attente de 5 mn. Ca se tient. Merci.</t>
  </si>
  <si>
    <t>bozo-128916</t>
  </si>
  <si>
    <t>Suite à un sinistre cet été, j'ai dû passer mon temps au téléphone avec le garagiste (qui lui faisait son travail ) pour faire venir l'expert, mon assurance ayant laissé le dossier en suspend sans dénier me tenir informée de l'avancée des travaux etc.. Il est intolérable de ne pas tenir ses clients informés et de ne rembourser aucun frais engagés pour récupérer une voiture à 500km de son domicile, alors que l'assurance est seule responsable du véhicule après sa prise en charge par ses partenaires. Une erreur informatique serait à l'origine de tous mes maux,  ce bug n'est pas de mon ressort, à contrario l'assurance a une obligation de résultat et mes cotisations mensuelles font preuve d'une adhésion en partenariat avec elle..En ce cas pourquoi un tel manque de professionnalisme ! Il est évident que cette assurance est a éviter</t>
  </si>
  <si>
    <t>21/08/2021</t>
  </si>
  <si>
    <t>schneuwly-a-114862</t>
  </si>
  <si>
    <t>Pour le moment, service client de bonne qualité et process intuitif pour la souscription. J'espère qu'il en sera de même au niveau gestion des sinistres.</t>
  </si>
  <si>
    <t>telle-a-134593</t>
  </si>
  <si>
    <t>Simple et efficace, l'accueil du site internet est très simple, pareil pour réaliser le devis.
On m'a appelé rapidement la personne super sympa et explique très bien je recommande.</t>
  </si>
  <si>
    <t>26/09/2021</t>
  </si>
  <si>
    <t>phil-61477</t>
  </si>
  <si>
    <t>Prestation satisfaisante, à ce jour pas difficultés constatées  dans les informations et le traitement des données,évolutions du contrat satisfaisantes et avantageuses,. Propositions pour nouveaux contrats et parrainages intéressant.</t>
  </si>
  <si>
    <t>micka45-111520</t>
  </si>
  <si>
    <t xml:space="preserve">personne NISRINE qui comprend les client chaque question son précis parfois l'attend et un peu long mais sinon les information était précis j'ai eu des information que je voulais </t>
  </si>
  <si>
    <t>caly6259-96079</t>
  </si>
  <si>
    <t>Tout simplement nul.  Mutuelle très cher et ne remboursement rien. Impossibilité de les joindre par téléphone. Plus de 5 mois pour résilier un contrat. A pres résiliation, je reçois encore des courriers. Aucun professionnalisme</t>
  </si>
  <si>
    <t>08/08/2020</t>
  </si>
  <si>
    <t>patrick-k-124186</t>
  </si>
  <si>
    <t>Une bonne réputation chez les motards... à encourager.
AMV mon premiers assureur,  il y plus de quarante ans, donc je reste fidèle à la marque. Restez au TOP</t>
  </si>
  <si>
    <t>laetitia82000-56985</t>
  </si>
  <si>
    <t>DEPLORABLE</t>
  </si>
  <si>
    <t>kolvir-100243</t>
  </si>
  <si>
    <t>Incompétent ou partial ?
Fin aout 2020 j'ai contacté Santiane pour choisir une mutuelle avec uniquement une couverture hospitalisation. Ils m'ont orienté vers Neoliane qui offre effectivement les formules Santeco / Hospi 1 et Santeco/ Hospi 2 (c'est toujours le cas).
Hélas trop confiant sur la pré-sélection effectuée au téléphone j'ai mal relu le document envoyé par mail présélectionné pour une autre formule qui couvre aussi les médicaments ce qui ne m'intéresse pas.
Depuis c'est le dialogue de sourds avec Satiane qui nie l'existence des formules Hospi 1 et Hospi 2 alors que j'ai le document pdf envoyé par neoliane devant les yeux ! Il suffit d'aller sur le site de neoliane pour voir encore en ce moment cette offre !
J'en suis arrivé à demander à mon interlocuteur de Santiane si les informations qu'on m'avait envoyées étaient mensongères. Reponse de Santiane : "peut être" ! Incroyable. Appel à 10h55 le 18/11/2020 j'espère qu'il est enregistré ! je conserve soigneusement le numéro d'appel au cas où cela finisse devant les tribunaux.
Soit Santiane oriente systématiquement les clients vers les formules les plus chères soient ils "oublient" les autres formules soient ils ne les ont jamais connues.
Dans tous les cas de figure : FUYEZ ce "comparateur" incompétent ou partial</t>
  </si>
  <si>
    <t>pascal-l-135258</t>
  </si>
  <si>
    <t xml:space="preserve">je suis satisfait du service et merci pour les super prix que vous faite pour les motos continuer comme ça a nous assurer et a nous faire plaisir merci </t>
  </si>
  <si>
    <t>nadia-c-130769</t>
  </si>
  <si>
    <t xml:space="preserve">j'apprecie la relation client que nous avons eu avec notre conseiller tres pro et tres aimable .
Le prix est mieux que ce que nous avions chez notre assureur precedent sans avoir a baisser en niveau de garantie </t>
  </si>
  <si>
    <t>fofana-s-117293</t>
  </si>
  <si>
    <t>Très bien je suis satisfaite du service mais le prix est élevé. En espérant qu’il baisse avec le temps. Cordialement. Fofana Safiatou.................</t>
  </si>
  <si>
    <t>nuralcar-137415</t>
  </si>
  <si>
    <t>J'ai toujours été très satisfait des services de la MGP et des contacts avec le service client.
J'ai passé un appel aujourd'hui à 10h26 pour un problème de montant de cotisation et l'opératrice que j'ai eue a été vraiment tres professionnelle et surtout extrêmement agréable au téléphone.
Vous pouvez la féliciter pour qui elle est.</t>
  </si>
  <si>
    <t>14/10/2021</t>
  </si>
  <si>
    <t>remi-d-132940</t>
  </si>
  <si>
    <t xml:space="preserve">Les prix me conviennent
A voir par la suite si le suivi client, en cas d'incident malheureux, est a la hauteur 
Je n'ai rien d'autre à ajouter il manquait des caractères </t>
  </si>
  <si>
    <t>8julli8-58293</t>
  </si>
  <si>
    <t xml:space="preserve">Cliente depuis 7ans mon contrat habitation est résilié pour 2 sinistres 
Un dégât des eaux en 2013 la responsabilité a été la copropriété mais comme un plafond de remise en état n a pas été atteint c est la maaf qui a payé ce sont les arrangements entre assureurs 
Le second sinistres en 2016 un dégât électrique la MAAF a remboursé 850 euros 
Je quitte la MAAF sans regret 
</t>
  </si>
  <si>
    <t>23/10/2017</t>
  </si>
  <si>
    <t>pacayaisa-34136</t>
  </si>
  <si>
    <t>Des délais de réponse aux mails inacceptables. Des pièces jointes qui se perdent ou qui n'arrivent pas. Des interlocuteurs qui vous raccrochent au nez. Des relances qui vous sont reprochées. !!!</t>
  </si>
  <si>
    <t>gwenael-l-129350</t>
  </si>
  <si>
    <t xml:space="preserve">je suis satisfait de cette assurance ! je la recommanderez mes ça serez pas mal d avoir des parrainage pour avoir des petite remise !!! j'espère avoir ma carte verte assez rapidement </t>
  </si>
  <si>
    <t>aagg-104622</t>
  </si>
  <si>
    <t>Les assurances pour les animaux sont trop chères , Pas assez de garanties, Harcèlement téléphonique, Résiliation laborieuse et aucune communication entre services</t>
  </si>
  <si>
    <t>emilie-mifsud-101095</t>
  </si>
  <si>
    <t xml:space="preserve">Excellente mutuelle
Très sérieuse.
Un peu plus onéreuse que d’autres mais la qualité de service est irréprochable.
Je conseille vivement cette complémentaire santé si vous souhaitez être serein en toutes circonstances.
</t>
  </si>
  <si>
    <t>08/12/2020</t>
  </si>
  <si>
    <t>antony-95010</t>
  </si>
  <si>
    <t>satisfait du service en ligne. Mais lorsqu'on est déjà assuré chez direct assurance, les prix ont tendance à augmenter sur le simulateur de devis dans l'espace client.</t>
  </si>
  <si>
    <t>23/07/2020</t>
  </si>
  <si>
    <t>anto32810-68076</t>
  </si>
  <si>
    <t xml:space="preserve">je suis assuré chez eux depuis 5 ans pour mon chien , et j'ai toujours des soucis au niveau des remboursements ! j'ai été obligé de les relancer par recommandé avec AR , et ils me demande le certificat avec la pathologie , alors que je leurs ai donné ! </t>
  </si>
  <si>
    <t>25/10/2018</t>
  </si>
  <si>
    <t>micheleb-98660</t>
  </si>
  <si>
    <t>Des incompétents, on m'a vendu un contrat prévoyance pour faire baisser ma cotisation assurance voiture.Ils vous vendent un produit sans savoir de quoi il parle. On vous donne des tarifs approximatifs et quand vous les appeler pour des renseignements complémentaires ils vous disent" je vais me renseigner" et on vous rappelle jamais. Conclusion la cotisation mensuelle pour mon assurance prévoyance est le double de ce qu'on m'a annoncé. Trop tard pour résilier les 15 jours sont passés... j'appelle le siège pour leur signaler, on me répond "voyez avec votre agence" puf. bref fuyez!!!</t>
  </si>
  <si>
    <t>12/10/2020</t>
  </si>
  <si>
    <t>gaetanne71-88368</t>
  </si>
  <si>
    <t>Service clientèle déplorable ! Jamais de réponse par Email, pas plus sur leur Site que sur ma page perso !</t>
  </si>
  <si>
    <t>17/03/2020</t>
  </si>
  <si>
    <t>f-103479</t>
  </si>
  <si>
    <t>mutuelle de bon a rien 2  mois après les soin  toujours pas remboursé  ces des bon a rien  il nous prenne bien pour des com juste bon a prendre l argent trop chère mais quand il faut le redonner ces trop dure
on va aller porter plainte   marre des nul si il faut faire sa pour qu'il se bouche sa me dérange pas</t>
  </si>
  <si>
    <t>loicrs1-70580</t>
  </si>
  <si>
    <t xml:space="preserve">Je ne croyais pas en lisant les commentaires que Cardif était aussi mauvais, mais force est de constater que cette assurance est une catastrophe. Cela fait près d'1 mois que je suis toujours en attente de mon dossier malgré de nombreuses relances téléphoniques.
J'ai ouvert un dossier réclamation, mais je trouve scandaleux de devoir en arriver là.
N'avez-vous pas honte de profiter de la situation. </t>
  </si>
  <si>
    <t>phiphi74-86181</t>
  </si>
  <si>
    <t>Impossibilité comme de nombreux adhérents d'effectuer une opération de gestion sur le site depuis octobre 2019...et pendant ce temps une communication dithyrambique de Mr Bekerman dans les salons de l'hôtel Meurice à Paris !
De qui se moque t on ?
il serait temps que le GIE Afer et Mr Bekerman et son équipe défendent les intérêts des épargnants plutôt que d'encenser la gestion d'Aviva .
Lors de la prochaine assemblée générale allez voter et manifester votre mécontentement (surtout ne pas donner de pouvoir en blanc )
En attendant rapprochez vous de l'ACPR et contacter les blogueurs influents  Gilles Pouzin (deontofi.com) JF Filliatre (marchesgagnants;com) etc....
Ne pas hésiter à alerter vos conseillers afin qu'ils montent au créneaux 
Réagissez vite</t>
  </si>
  <si>
    <t>25/01/2020</t>
  </si>
  <si>
    <t>aurelie-r-129982</t>
  </si>
  <si>
    <t>Rapide et efficace, personnel à l'écoute si jamais un questionnement s'impose.. 
Prix intéressant 
Site fluide et compréhensible 
Je suis très satisfaite</t>
  </si>
  <si>
    <t>sylvain-53299</t>
  </si>
  <si>
    <t>Suite à un accident non responsable, je me retrouve avec une indemnisation chaotique. Conseillé très bien formé sur l'empathie, qui disait me comprendre et qu'il m'accompagnerait au mieux pour le remplacement de mon véhicule. Bilan une offre d’assurance et de prêt à des années lumière du marché.</t>
  </si>
  <si>
    <t>15/03/2017</t>
  </si>
  <si>
    <t>v-dupont-79682</t>
  </si>
  <si>
    <t>Mutuelle très compliquée qui a du mal à mettre à jour les dossiers (Le personnel est-il trop surchargé ????). Les différents services ne se parlent pas... du coup on passe des jours et des jours (énorme perte de temps) par échange de mails. Les conseillères/conseillers au téléphone se basent seulement sur ce qu'elles/ils voient à l'écran et il n'y a aucun effort.  Je ne recommande pas cette mutuelle: elle est vraiment médiocre.</t>
  </si>
  <si>
    <t>02/10/2019</t>
  </si>
  <si>
    <t>leandro-78375</t>
  </si>
  <si>
    <t>J'ai souscrit un contrat chez eux par téléphone et lorsque je leur ai envoyé les documents nécessaires, le tarif a largement augmenté. J'ai alors demandé 2 jours plus tard, une annulation du contrat et le remboursement de l'acompte (170e). Ils m'ont bien résilié le contrat mais ne m'ont remboursé que 40e, sous prétexte que je suis devenu "sociétaire" et qu'il leur fallait +10 jours pour résilier le contrat. En gros, j'ai payé 2 semaines d'assurance, pour un contrat que j'avais annulé 2 jours après l'avoir signé.
Je ne recommande absolument pas.</t>
  </si>
  <si>
    <t>12/08/2019</t>
  </si>
  <si>
    <t>christian-g-134252</t>
  </si>
  <si>
    <t xml:space="preserve">bonjour, 
je ne comprends pas à quoi sert d'avoir un espace client sans pourvoir télécharger l attestation souhaité.
cordialement
</t>
  </si>
  <si>
    <t>jean-claude-m-110350</t>
  </si>
  <si>
    <t xml:space="preserve">
j'ai ete tres satisfait de votre assurance lorsque j'etais assure pour mon defender et c'est pourquoi je reviens chez vous pour assurer mon nouveau vehicule</t>
  </si>
  <si>
    <t>heather-96663</t>
  </si>
  <si>
    <t>Un an que je veux résilier l’assurance habitation, lettre AR envoyée à de nombreuses reprises, toujours prélevée mensuellement. Les conseillers bancaires ne sont pas non plus foutus de m’accompagner dans les démarches. Je suis à bout je n’en peux plus</t>
  </si>
  <si>
    <t>25/08/2020</t>
  </si>
  <si>
    <t>anastak-75108</t>
  </si>
  <si>
    <t>Active assurance a résilié mon contrat d'assurance dans 2 jours sans respecter
Suite à l'article L. 112-2 du  document d'information normalisé sur le produit d'assurance mentionné au quatrième alinéa qui comporte l'information suivante :
-   Les obligations pendant la durée du contrat (1 mois provisoire pour envoyer les documents nécessaires).</t>
  </si>
  <si>
    <t>16/04/2019</t>
  </si>
  <si>
    <t>jac-55255</t>
  </si>
  <si>
    <t>une augmentation de 40euros parce que j'ai eu le malheur de rectifier les erreurs qu'ils ont faites sur les données de mon contrat. donc contrat résilié et depuis pas moyen d'avoir mon relevé d'information. la loi dit 15 jours maxi j'en suis à plus de trois semaines</t>
  </si>
  <si>
    <t>09/06/2017</t>
  </si>
  <si>
    <t>salome--92868</t>
  </si>
  <si>
    <t>Satisfait de la présentation de l’estimation de l’assurance , l’application est bien constituée, je réfléchis pour voir d’autres propositions, merci ...........</t>
  </si>
  <si>
    <t>mylenev-88972</t>
  </si>
  <si>
    <t xml:space="preserve">Infirmière libérale ayant souscrit un contrat de prévoyance chez Swisslife. 
Je regrette totalement d'être partie de mon ancien assureur !!
Contrat au départ très alléchant malheureusement la Swisslife se décharge de tout ! En arrêt depuis le 18/03 (femme enceinte fin du deuxième trimestre, grossesse patho et covid) prévoyance toujours non perçue alors que mon contrat stipule 8 jours de carence. 
Pas de cohésion dans leurs discours. Conseiller formé sur le tas donnant de mauvaises informations. ( car selon lui un virement était en cours en date du 26/03, pour entendre dire qu'il ne me prenne plus à charge car je ne suis pas dans mon troisième trimestre)
Je pourrai entre plus concise mais forte heureusement pour eux je n'ai le droit qu'à 200 caractères. 
</t>
  </si>
  <si>
    <t>18/04/2020</t>
  </si>
  <si>
    <t>laika-kreos-3003-96640</t>
  </si>
  <si>
    <t>Si j'avais pu mettre 0 étoiles, je l'aurai fait.
8 MOIS que nous attendons la réparation de notre véhicule, Axa ne répond plus :
au téléphone, nous tombons sur une centrale qui nous répète que le conseiller en charge de notre dossier ne peut être joint, par courrier avec AR aucune réponse, par mail idem.
Axa se moque de ces clients, il ne nous reste plus qu'à les attaquer en justice.</t>
  </si>
  <si>
    <t>kassab-i-128137</t>
  </si>
  <si>
    <t xml:space="preserve">Je suis satisfait du contrat proposer merci avec une application vos service serais encore meilleurs vous devais nous le proposer car c’est un service encore plus pratique </t>
  </si>
  <si>
    <t>16/08/2021</t>
  </si>
  <si>
    <t>hamidi-s-114028</t>
  </si>
  <si>
    <t>peux faire mieux au niveau des tarifs, car on trouve encore moins chère sur le net est qui plua ai avec de meilleurs garantie.
J'espère que vous ferait des efforts la dessus.</t>
  </si>
  <si>
    <t>cl-101575</t>
  </si>
  <si>
    <t xml:space="preserve">Sociétaire depuis plus de 30 ans, je n'ai eu qu'a me satisfaire des prestations de ma mutuelle.
L’accueil est de qualité. 
Toujours disponibles et aimables, les contacts sont, en plus, de bon conseil.
Sans souci particulier de santé, je pense que cela ne sera pas démenti le jour où cela arrivera.
</t>
  </si>
  <si>
    <t>lionel-b-114925</t>
  </si>
  <si>
    <t>Réalisation du devis très simple et prix abordable après je ne peux pas me prononcer plus que ça tant qu'on est  pas confronté à un sinistre ,ce que je souhaite pas bien évidemment.</t>
  </si>
  <si>
    <t>cara-109663</t>
  </si>
  <si>
    <t xml:space="preserve">Je suis très étonné de voir certain avis négatif pour SantéVet. J’ai un chat malade et sincèrement je n’ai jamais eu de prouve remboursement. De plus les conseillers sont sympa et très pro, limite psy, et je les remercie vraiment… pour les remboursements cela peut prendre un peut plus de temps car parfois ils o t du retard mais j’ai tjrs été remboursé ! Je leurs fais confiance à ?? </t>
  </si>
  <si>
    <t>jean-charles-b-127715</t>
  </si>
  <si>
    <t xml:space="preserve">Très satisfait de mes échanges par téléphone, le personnel est accueillant, courtois, à l'écoute, et très gentil. Ne changer rien et encore merci pour tous.
Cordialement JCB </t>
  </si>
  <si>
    <t>lionel-l-107620</t>
  </si>
  <si>
    <t>Je suis satisfait de la rapidité et la simplicité du traitement de ma souscription.
Egalement très content de l'amabilité de mon interlocutrice en ligne.</t>
  </si>
  <si>
    <t>bidoune71-77902</t>
  </si>
  <si>
    <t>suite a multitude de maladie ,une expertise médical réaliser,un contrat mal remplie et oublie de précision de notre part ,generali ,après 8 mois d'attente ,résilie le contrat le 2/07 lettre recommander reçu le 11/07</t>
  </si>
  <si>
    <t>24/07/2019</t>
  </si>
  <si>
    <t>jessy-62746</t>
  </si>
  <si>
    <t xml:space="preserve">je suis satisfaite de mon échange téléphonique avec ma mutuelle pour la diminution de ma cotisation </t>
  </si>
  <si>
    <t>lhuillier-a-108947</t>
  </si>
  <si>
    <t>Assurance bien moins chère que beaucoup d'autres se disant être les moins chères et avantages franchises moins élevées. M' a permis d'assurer deux véhicules malgré mon malus.</t>
  </si>
  <si>
    <t>tetefort-t-133862</t>
  </si>
  <si>
    <t>pourquoi régler des frais alors que c est une signature électronique - le tarif est un peu cher par rapport a une petite cylindrée - j espère régler moins cher très prochainement</t>
  </si>
  <si>
    <t>21/09/2021</t>
  </si>
  <si>
    <t>toto57-49371</t>
  </si>
  <si>
    <t>Client depuis 1999', je viens de me voir signifie la resiliation unilatérale de mon contrat auto Peugeot 3008  Diesel 115 ch . (50 % de bonus depuis quelques années , 4 sinistrés sans aucune responsabilité sur les 5 dernières années motive cette resiliation.MOn autre contrat automobile 50% mais lui aucun sinistre n est pas concerné, bref payer vos cotisations mais n ayez pas de sinistre
Aucun recours possible c est le siège , après c est la galère pour trouver un nouvel assureur , mais une fois fait-tout mes contrats seront résilies 1 auto+2 contrats habitation mais à ma demande cette fois</t>
  </si>
  <si>
    <t>19/11/2016</t>
  </si>
  <si>
    <t>cherif-91298</t>
  </si>
  <si>
    <t>depuis quelque temps que je sillonnais les assurances pour trouver la bonne, Active assurances est pile ce que je cherchais, très réactif et souscription très simple à faire.</t>
  </si>
  <si>
    <t>yoan-d-132409</t>
  </si>
  <si>
    <t>Je suis satisfait des services... 
Je suis satisfait des prix... 
Une assurance pour jeune permis au top, clairement trop chère dans les autres assurances pour les mêmes services.</t>
  </si>
  <si>
    <t>nasser-a-127475</t>
  </si>
  <si>
    <t xml:space="preserve">Je suis satisfait du service et satisfait de la qualité du service sur les tarifs au niveau des assurances j’attends voir si la prochaine fois au niveau des tarifs y aura du changement </t>
  </si>
  <si>
    <t>abdel-93195</t>
  </si>
  <si>
    <t>Bonjour,
J’aimerais en savoir plus sur Direct assurance.
Je suis satisfait du processus du devis. 
Envoyez moi votre devis et je vais réfléchir.
Bien à vous.</t>
  </si>
  <si>
    <t>06/07/2020</t>
  </si>
  <si>
    <t>ludivine-grandin-103425</t>
  </si>
  <si>
    <t>Assurance qui répond à mes attentes. Qui reste toujours trop chère comme assurance santé. 
Personnel à l'écoute, compétent et qui trouve réponse aux questions posées.</t>
  </si>
  <si>
    <t>29/01/2021</t>
  </si>
  <si>
    <t>pottelain-b-137367</t>
  </si>
  <si>
    <t xml:space="preserve">Je suis satisfait du service, ainsi que son tarif très compétitif, rien à dire sur l'accueil téléphonique, j'ai été recommandé, et je recommanderai avec confiance </t>
  </si>
  <si>
    <t>13/10/2021</t>
  </si>
  <si>
    <t>tamacun44-81111</t>
  </si>
  <si>
    <t>Cela fait des semaines que j'envoie des documents sur l'espace privé, par email, par Facebook... Personne ne reçoit rien, les différents canaux de contact se renvoient la balle. Harmonie Mutuelle prétend et donne l'image d'offrir des services numériques pratiques mais cela ne suit pas derrière. Ni dans la communication, ni dans la réception des attestations et documents demandés pour faire avancer la démarche de télétransmission. Je travaille et suis affilié à la Sécu de Brest, Finistère depuis février 2019. On vient de me dire que je suis encore affilié à la Sécu de Loire Atlantique, après une bonne dizaine de mails, envoie de courrier, d'attestation, de sollicitations depuis des semaines. Toujours dans l'attente que quelqu'un clique sur le simple bouton "relancer la télétransmission" mais cela semble hélas bien difficile.</t>
  </si>
  <si>
    <t>pierre-b-112711</t>
  </si>
  <si>
    <t xml:space="preserve">Je suis satisfait des garanties proposées par DIRECT ASSURANCES, par contre dans l'utilisation du site , je trouve contre-productif le fait de voir afficher de très vieux contrats, même pour des ANCIENNES voitures, ou des assurés DÉCÉDÉS. </t>
  </si>
  <si>
    <t>05/05/2021</t>
  </si>
  <si>
    <t>-nico-106183</t>
  </si>
  <si>
    <t>Incompétent et  nous font payer leur erreur nous mettant ainsi dans le besoin en me prometant le remboursement me demandant d'avancer les frais et de ensuite envoyer ma facture une fois la facture reçu il change d'avis en refusant de me rembourser pour défaut de contrôle technique , avant que je paye se n'était pas un problème et une fois que j'ai payé et la facture leur étant envoyé celà devient un problème bizarre j'aurais pu payer en plusieurs fois où essayer de trouver une solution selon ma situation financière si il ne m'avais pas menti au début , maintenant me voilà contrain de survivre grâce au secours populaire et au resto du coeur mon salaire ne me permettant pas de pouvoir être imputé de 630 euros d'un cou , leur réponse vous auriez du le faire réparer de toute façon , oui mais pas comme sa  il doivent avoir un bon salaire chez Olivier assurance pour pouvoir dépensé 630 euros d'un claquement de doigts.</t>
  </si>
  <si>
    <t>matei-115259</t>
  </si>
  <si>
    <t>L’assistance 7j/7 est injoignable le samedi. 
AssurOnline auprès de qui j’ai souscrit l’assistance se dédouane en disant que c’est une autre société qui gère l’assistance (Mondial Assistance qui est injoignable!)</t>
  </si>
  <si>
    <t>produit-carac-127213</t>
  </si>
  <si>
    <t>Bonjour
Beaucoup de promesse et peu d'acte ou juste en apparence.
Dans les faits la quasi totalité des démarches ne peuvent se faire que par courrier avec les délais postaux et ceux de traitement, y compris la base : faire un virement
Le message sur espace client "Effectuer des versements en ligne" comme sur le magazine qui se targue d'être un groupe Digital non accompagné d'une étoile pour préciser le seul contrat Profileo ( a priori selon dire conseillère Carac contacter le 09/08/2021) pour lequel s'est réalisable fait croire que cette fonctionnalité promise par les instances de la mutuelles et les conseillers depuis plus de cinq ans a enfin été mise en place. 
Mais force est de constater que malgré les remontées la seule réponse que nous obtenons en retour est et demeure encore ce jour "Nous sommes une mutuelle donc nous n'avons pas l'engagement de préciser aux clients ce qu e couvre ou pas nos prestations"
L'assureur est très bien informé des écarts et manque d'information délibéré de sa part.</t>
  </si>
  <si>
    <t>vautrin-f-121500</t>
  </si>
  <si>
    <t xml:space="preserve">Toutes les personnes que j'ai eu au téléphone depuis le devis jusqu’à la finalisation du contrat sont vraiment agréables, à L'écoute et leurs explications facile à comprendre. </t>
  </si>
  <si>
    <t>chris-54668</t>
  </si>
  <si>
    <t xml:space="preserve">suite a un changement de numérotation de rue de l'habitation, il vous change le contrat de 22 ans pour un nouveau qui augmente de 25% cela sans prévenir . Abusif,on t'il vraiment le droit de faire cela
ils viennent donc  de perdre 2 contrats
</t>
  </si>
  <si>
    <t>17/05/2017</t>
  </si>
  <si>
    <t>serot-e-116279</t>
  </si>
  <si>
    <t xml:space="preserve">très satisfait de la rapidité et du tarif pour une bonne couverture,je recommande vivement cette assurance et espère ne pas être déçu puisque c'est mon premier contrat. </t>
  </si>
  <si>
    <t>fred55600-11156</t>
  </si>
  <si>
    <t>La MACIF est aimable et courtoise quand on vient souscrire. L'envers du décor est un assureur qui fait tout pour ne pas honorer ses obligations. A chaque sinistre : trois déplacements à l'agence de Verdun (1 heure de route) où un conseiller se joue le moralisateur plutôt que d'aider ses clients ... Réclamations non prises sérieusement en compte, le dernier conseiller m'a clairement dit "si vous n'êtes pas satisfaits de nos services allez voir ailleurs" !!</t>
  </si>
  <si>
    <t>16/01/2019</t>
  </si>
  <si>
    <t>lilly-78304</t>
  </si>
  <si>
    <t>Tout est en options et c'est ors de notre sinistre que nous avons découvert qu'évidemment Nous n'étions pas tout couvert ex incendie après foudre et nous n'avons pas la garantie dommage électrique. Je pense que la conseillère ce jour là été bien plus intéressée à nous vendre tous ses produit ainsi que son assurance accident de la vie plutôt que de nous parler des options qui s'offrait à nous</t>
  </si>
  <si>
    <t>09/08/2019</t>
  </si>
  <si>
    <t>oxana-n-135273</t>
  </si>
  <si>
    <t>Les prix me convient...
Je suis satisfait....
Je le recommanderais ....
Très facil à comprendre en ligne toute les démarches....
Satisfait.. très bien</t>
  </si>
  <si>
    <t>leonard-m-107715</t>
  </si>
  <si>
    <t>Vraiment satisfait globalement des prestations, prix un peu excessif pour un vehicule de plus de 15 ans, mais dans l'urgence et avec un budget trés limité pour l'achat je n'avais pas trop de choix. À peine assuré 3 mois 2 dépannages pris en charge, dont le dernier définitivement, vehicule HS :-( . Pourquoi renvoyer tous les documents alors que nous avons déjà un contrat ?</t>
  </si>
  <si>
    <t>an-n-116265</t>
  </si>
  <si>
    <t>Je suis satisfait pour le prix agreable de vous!
Ravie de commencer mon trajet avec la 1er voiture.
Les options sont adaptatives de mes besoins, c'est facile a choisir.</t>
  </si>
  <si>
    <t>phil-114299</t>
  </si>
  <si>
    <t xml:space="preserve">un dossier rapidement bouclé sur le site internet et pourtant je ne suis pas un "pro de l'informatique" ....quand au tarif il est plus qu'attractif je recommande vivement  </t>
  </si>
  <si>
    <t>19/05/2021</t>
  </si>
  <si>
    <t>brico17-71121</t>
  </si>
  <si>
    <t>accrochage avec un conducteur allemand, vous n'etes pas en tort, il ne veut pas faire de constat (l'allemagne ne fait pas partie de l'europe pour les assurances), ne veut pas vous suivre à la gendarmerie, mais pour la macif vous etes en tort à cent pour cent....arrangement....</t>
  </si>
  <si>
    <t>09/02/2019</t>
  </si>
  <si>
    <t>gerard-p-116121</t>
  </si>
  <si>
    <t xml:space="preserve">je suis satisfait mais difficile de vous joindre le dimanche. on m'a volé ma voiture et je ne peux pas vous joindre. merci de faire le nécéssaire. bien à vous </t>
  </si>
  <si>
    <t>06/06/2021</t>
  </si>
  <si>
    <t>papa-50228</t>
  </si>
  <si>
    <t>bonjour le medecin m a arrete 10 jours pour fatigue jusqu au 11 decembre 2016 , j ai repris le travail le 12 decembre et le 12 decembre j ai reçu un courrier d allianz me disant que je vais devoir rencontrer un medecin travaillant pour leur groupe .j ai donc appele ce medecin et sa secretaire m a dit vous etes convoque le 20 decembre et donc 9 jours apres ma reprise .la je comprend pas que l on controle apres une reprise je comprend pendant un arret mais le contraire non. je paye 98 € par moi je n ai jamais ete en arret  et ils ont un probleme pour 10 x 40€ je n ai plus confiance a cette assurance .</t>
  </si>
  <si>
    <t>gilles-d-135088</t>
  </si>
  <si>
    <t xml:space="preserve">Très satisfait de la mise en place de mon contrat auto. Je ne manquerai pas de conseiller Direct Assurance à  mon  entourage.
L'accueil téléphonique ainsi que les explications qui m'ont été données ont été faites avec un grand professionnalisme. </t>
  </si>
  <si>
    <t>anthony-b-132114</t>
  </si>
  <si>
    <t>Bonjour, très bon accueil au téléphone, de très bonnes recommandations, le site internet est rapide, simple et très efficace, je conseille cette assurance</t>
  </si>
  <si>
    <t>mikaella-m-130214</t>
  </si>
  <si>
    <t xml:space="preserve">Très satisfaite par la réactivité et les offres proposées par AMV, pour une bonne assurance complète j’ai très Hâte de recevoir ma carte verte. Je recommande </t>
  </si>
  <si>
    <t>thierno-d-110490</t>
  </si>
  <si>
    <t xml:space="preserve">Bonjour 
Je suis satisfait des pris car je suis déjà client avec direct assurance avec toutes mes voitures, actuellement j'en ai deux.
Par contre je suis très déçus du  harcèlement  dont j'a été objets par vos courriers qui n'ont aucune importance à mes yeux, car si on décide d'acheter une voiture et de suscrire une assurance ce qu'on est aussi capable de suivre la documentation carte grise , il faudrait attendre au moins une semaine de la date limite pour relancer la personne au lieu de lui envoyer un courrier à chaque fois je n'apprécie pas du tout   </t>
  </si>
  <si>
    <t>15/04/2021</t>
  </si>
  <si>
    <t>france-99587</t>
  </si>
  <si>
    <t xml:space="preserve">Ne répond pas à nos demandes mais applique les augmentations de cotisations régulièrement. Très difficile à joindre au téléphone et ne tient pas compte de nos remarque. Je déconseille vivement cette mutuelle 
</t>
  </si>
  <si>
    <t>loic-m-125870</t>
  </si>
  <si>
    <t>Processus simple et rapide mais manque d'informations avant l'entrée dans le tunnel.
Des informations plus détaillées, y compris les détail juridiques/techniques devraient être présentés optionellement (lien) avant le début du formulaire.</t>
  </si>
  <si>
    <t>yanis-d-110483</t>
  </si>
  <si>
    <t>Je suis extremmement satisfait du conseiller que j'ai eu au téléphone ! Il m'a permis de m'assurer très rapidement et sans prise de tête, je recommande !</t>
  </si>
  <si>
    <t>sammy-75040</t>
  </si>
  <si>
    <t>Très mauvais en service après vente , ne se renseigne pas bien sur les loi et informations personnelles. Je me suis retrouver avec 2 assurances pendant 2 mois . Il m'ont résilié et m'ont toujours pas remboursé</t>
  </si>
  <si>
    <t>13/04/2019</t>
  </si>
  <si>
    <t>michel-d-112673</t>
  </si>
  <si>
    <t xml:space="preserve">J espère ne pas avoir de nouvelles complications...Dommage de n'avoir pas pu régler les détails du dossier par échanges téléphoniques. Restons positifs tout devrait normalement fonctionner </t>
  </si>
  <si>
    <t>18/07/2021</t>
  </si>
  <si>
    <t>k-110580</t>
  </si>
  <si>
    <t xml:space="preserve">Bonjour,
Et bien un gros dégât des eaux , une assistance qui me dit qu’ils ne peuvent intervenir car c’est le 15 août 2020 et qu’il faudra attendre...2 jours plus tard pour me rappeler et intervenir or pour une pompe de relevage ... sinon appeler les pompier m’ont ils dit ... les pompiers ?? Pardon ???  Un expert injoignable pendant 1 mois , afin de lui demander comment faire pour sauver les meubles / les murs avant sa venue ! Résultat il vient et nous dit qu’il ne fallait pas laisser cela comme cela et qu’il allait donc devoir repasser dans 1 mois !!! 
Le pompon : nous avons laisser exprès l’eau ouvert car nos voisins venaient tous les jours arroser nos plantes et vérifier notre maisôn. Nous avons eu une fuite le 15 août à 12h; notre alarme nous a avertie , nous avions réagit immédiatement , nos voisins sont venue couper l´eau dans l’après midi. Une fuite qui peut arriver dans la journée même si vous travaillez . Et bien 25 cm d’eau de haut dans tout le salon et la réponse de la Macif : vous êtes absents physiquement pendant plus de 7 jours , vous devez couper l’eau , nous n’indemniserons pas . Ni l’urgence Non traitée Agranvant la détérioration de toute la pièce , ni le mobilier , RIEN !!! 
On a tout fait , tout anticiper , une ALARME , des voisins , un appel à leur service d’assistance NEANTE . Nous payons pour RIEN en fait  ET je suis sociétaire depuis 25ans !!! </t>
  </si>
  <si>
    <t>bv-77462</t>
  </si>
  <si>
    <t xml:space="preserve">Souscription d'un contrat santé en 2019 pour une mise en place janvier 2020.
Aucun suivi des demandes sur le site.
Aucun moyen de les joindre par téléphone.
Ils sont toujours occupés et vous font patienter pendant des heures.
Je suis las de ce manque de respect dont fait preuve cette mutuelle envers ces clients.
A proscrire.
</t>
  </si>
  <si>
    <t>ahlame-86374</t>
  </si>
  <si>
    <t xml:space="preserve">Mécontentement du service je paie une assurance voiture avec l'option assistante a zéro km et je n' ai reçu aucune aide a l issue j' ai voulu que ma voiture soit rapatrié jusqu'à la casse la plus proche et ça aussi pas possible en fait je ai paye une assurance pour me débrouiller seule me tarde que la voiture parte. Ala casse et je résilie direct avec. Eux </t>
  </si>
  <si>
    <t>27/01/2020</t>
  </si>
  <si>
    <t>michoubidou--99359</t>
  </si>
  <si>
    <t xml:space="preserve">ils sont injoignables au téléphone le site ne marche jamais depuis deux ans je n arrive pas a me connecter et par mail ils s engagent a traiter le mail dans les dix jours et a apporter une réponse dans les deux mois 
c est du foutage de gu-ule !!!
 </t>
  </si>
  <si>
    <t>lili-87498</t>
  </si>
  <si>
    <t>Une assurance fantôme</t>
  </si>
  <si>
    <t>22/02/2020</t>
  </si>
  <si>
    <t>senouci-r-112203</t>
  </si>
  <si>
    <t xml:space="preserve">Je suis satisfait 
Merci beaucoup 
Prix raisonnable par rapport d'autre assurance que jai consulté en ligne 
Deja client avec olivier assurance 
Bonne journée </t>
  </si>
  <si>
    <t>maneric-55530</t>
  </si>
  <si>
    <t xml:space="preserve">Bonjour, j’ai été client chez AXA  (UAP à l’époque) de 1976 jusqu’ au début de cette année.
J’ai failli les quitter une première fois en 1982 devant leur tarif plus élevé que la concurrence.
Pour me garder, ils se sont  alignés sur celle-ci.
Depuis cette date, je devais régulièrement renégocier pour compenser leur augmentation de prix plus forte que la moyenne. 
En mars 2012 je suis renversé par une voiture. Accident grave, 9 mois d’hospitalisation plus 1 an d’arrêt de travail.
Au début, mon dossier est très bien suivi par une personne compétente d’AXA Paris.
En 2014 (délais normal dans ce cas) je dois toucher le solde d’une indemnisation satisfaisante.
C’est là que tout dérape :
Le procès-verbal de transaction ne  me parvient pas
La personne qui suivait mon dossier disparait
Quand enfin au bout de plusieurs mois je reçois le procès-verbal de transaction, il ne correspond  pas du tout à ce qui m’avait été proposé par courrier électronique.
Je prends finalement  un avocat qui m’obtient l’indemnisation proposée initialement 
Et voici l’apothéose :
Je réclame l’indemnité prévue en cas de recours à un avocat à mon agent qui transmet à Paris.
AUCUNE REPONSE !!!
Je quitte AXA 2 mois après.
Sans commentaires.
</t>
  </si>
  <si>
    <t>27/08/2017</t>
  </si>
  <si>
    <t>james-l-139569</t>
  </si>
  <si>
    <t>Je suis satisfait du service.
Assurance très abordable au niveau du tarif
je recommande april moto assurance
site très clair même pour les débutants en informatique</t>
  </si>
  <si>
    <t>trebor-101855</t>
  </si>
  <si>
    <t>je suis tout à fait satisfait du contrat que je viens de conclure avec Direct assurance et des conditions dans lesquelles cette souscription s'est faite</t>
  </si>
  <si>
    <t>25/12/2020</t>
  </si>
  <si>
    <t>marie-p-112485</t>
  </si>
  <si>
    <t xml:space="preserve">Augmentations des échéances chaque année, je vais voir pour négocier chez la concurrence. Décue , vous n'arrivez  à garder et  fidèliser vos clients. </t>
  </si>
  <si>
    <t>goncalves-n-137928</t>
  </si>
  <si>
    <t>vraiment pas mal, prix très bon mais critère de calcul des prix assez flou je trouve, d'une journée à l'autre le prix de mon devis changeait pas mal..</t>
  </si>
  <si>
    <t>21/10/2021</t>
  </si>
  <si>
    <t>denis-a-107409</t>
  </si>
  <si>
    <t>pas de problème.
Le service est très bien et les correspondant au téléphone sont très claires.
Par contre, on nous dit pas tout.
Le montant des prélèvements par exemple.</t>
  </si>
  <si>
    <t>22/03/2021</t>
  </si>
  <si>
    <t>arlsan-s-110571</t>
  </si>
  <si>
    <t xml:space="preserve">Informations claires ,rapidité pour établir les demandes
Contrat et tarif satisfaisant.Démarches rapides.
Personnel compétant et agréable au téléphone.
</t>
  </si>
  <si>
    <t>nadine-50576</t>
  </si>
  <si>
    <t xml:space="preserve">bonjour a toute et a tous, assurance auto a fuir assurée a la matmut depuis 10 ans sans aucun sinistre il y a 8 mois je me fait volée ma voiture chez moi, il cherche des prétexte pour ne pas paye, il y a 15 jour ils ont accepte de me remboursé je leur et céde le vehicule j'attend toujour mon cheque, quand je les appele il me dise que mon dossier et en cours . cette assurance et un cauchemar </t>
  </si>
  <si>
    <t>22/12/2016</t>
  </si>
  <si>
    <t>rfassmut-67795</t>
  </si>
  <si>
    <t xml:space="preserve">Bonjour,
Suite a un démarchage a domicile ou on vous pose plein des question sans trop vous dire pourquoi je me retrouve a payer pour une mutuelle que je n'ai pas besoins durant un an , ou c'est l'huissier !!
</t>
  </si>
  <si>
    <t>17/10/2018</t>
  </si>
  <si>
    <t>gui-34383</t>
  </si>
  <si>
    <t>Vol de voiture ce matin et on me laisse seul sur un pb. l allume cigare faisait office de télécommande pour ouvrir la porte de garage. Allume cigare dans l auto volée.
Donc ils reviennent chez moi quand ils veulent ..</t>
  </si>
  <si>
    <t>gregory-s-134667</t>
  </si>
  <si>
    <t xml:space="preserve">Je suis satisfait de ceux que l’assurance propose niveau prix et sécurité en tant que jeune conducteur je trouve que les prix sont bien pour les avantages qu’il y a  </t>
  </si>
  <si>
    <t>fabrice-b-110404</t>
  </si>
  <si>
    <t xml:space="preserve">Très bien, je suis satisfais des réponses apportés. 
Personnels à l'écoute, très aimable, explication très claire.
Faite le pas, je le conseil.        </t>
  </si>
  <si>
    <t>rai4-61444</t>
  </si>
  <si>
    <t>Suite à un dégât des eaux qui date de plus de 5 mois et qui a endommagé le parquet de la salle de bain, je n'ai toujours pas reçu l'indemnisation pour pouvoir changer le parquet et la douche cassée. Ils demandent de faire changer la douche avant de mettre le parquet alors que ce n'est pas possible puis changent d'avis. Quand je les appelle, on n'a pas honte de me dire que mon dossier n'avance pas parce que on m'a oublié ou je dois leur dire de regarder les rapports d'expert qu'ils ont commandés mais qu'ils ne lisent pas si je ne les appelle pas. Ils trouvent que les prix sont trop élevés et font venir des experts pour vérifier les prix annoncés alors que je suis client chez eux depuis 20 ans et que la somme (4000 €) est loin de ce que j'ai payé chaque année sans avoir jamais de dégâts et que pinailler pour cela me semble étrange car en plus ce sont leurs professionnels agréés qui font les devis.</t>
  </si>
  <si>
    <t>14/02/2018</t>
  </si>
  <si>
    <t>bridget-56691</t>
  </si>
  <si>
    <t>Une partie de dossier de succession en Belgique est relié à la France par le biais d'une assurance-vie souscrite auprès de Cardif (BNP Paribas). En Belgique, le notaire en charge de la succession n'a semble-t-il aucune autorité pour faire avancer le dossier (d'après de nombreux courriers avec le service succession de Cardif). De même, moi-même, en tant que mandataire je n'ai jamais obtenu le moindre renseignement, Cardif se retranchant derrière les obligations de confidentialité des assureurs ... J'ai également contacté, ainsi que notre notaire belge, le notaire français basé à Marseille mais les échanges se sont réduits à un ou deux mails évasifs.
Depuis 2015 (bien que le décès date d'avril 2014), nous pataugeons dans ce dossier. Aucune information ne nous a été transmise de la part de Cardif pour les raisons évoquées plus haut et bien que le dossier existe, rien ne semble se débloquer, ni avancer en ... 2 ans déjà.
Par ailleurs, on nous a découragé avec des affirmations que seul un juge pourrait intervenir ds ce dossier pour communiquer les bénéficiaires, que le contrat n'était pas soumis à l'article 757B du CGI le libérant de l'actif successoral en Belgique, etc 
On nous ballade depuis 2015 en affirmant que les bénéficiaires seront prévenus en temps voulu, mais en 2 ans personne n'a été contacté.
Les éléments que je tenais du vivant de la personne décédée (qui était mon compagnon de vie) m'ont fait me décider à fournir copie de mon identité et envoyer tous les documents me concernant, mais à ce jour je n'ai eu aucun retour quel qu'il soit. A part un coup de fil d'un collaborateur qui m'a, dans une ambiance de secret et suspicion (me suppliant à la discrétion et l’anonymat), digne d'un film d'espionnage du temps de la guerre froide communiqué des numéros de téléphone du service clientèle, où je n'obtiens soit pas de réponse ou toujours les mêmes renseignements.
J'ai cherché des renseignements sur internet un peu en désespoir de cause et ce que j'y ai glané m'a effarée. On y trouve nombre de forums où s'expriment les mécontents, tous donnant une très mauvaise image de Cardif.
Difficile toutefois pour moi, en tant que Belge de m'y retrouver dans les autorités à contacter.
Je ne comprends pas un tel dysfonctionnement sachant qu'une loi de 2007 impose à l'assureur de régler sous un mois, sous peine de pénalités.
Je ne sais plus à quel saint me vouer, ni vers qui me tourner,  auriez-vous une idée de la procédure que je devrait suivre pour que le nécessaire soit enfin fait ?
Un tout grand merci de votre réponse. J'espère de tout coeur un éclairage pertinent.</t>
  </si>
  <si>
    <t>16/08/2017</t>
  </si>
  <si>
    <t>patrick-d-105456</t>
  </si>
  <si>
    <t>Je suis satisfait du service, des prix de la facilité de souscription pour la convivialité du site pour l'IHM mise en place et pour les analyses et  conseils mis en place et donnés</t>
  </si>
  <si>
    <t>valou67-78142</t>
  </si>
  <si>
    <t>Je recommande vivement Erika pour son professionalisme, son accueil.</t>
  </si>
  <si>
    <t>02/08/2019</t>
  </si>
  <si>
    <t>so-51520</t>
  </si>
  <si>
    <t xml:space="preserve">Impossible de joindre cette société fantôme...
J'ai renégocié mon prêt immobilier et demande à Metlife de reprendre ma base de calcul. Aucune réponse depuis 1 mois.
Pour les faire réagir, je compte faire opposition aux prélèvements et je vous le suggère, ainsi vous pouvez être certain d'être recontacté...
Je vais rapidement prendre mes dispositions pour changer d'assureur.
</t>
  </si>
  <si>
    <t>MetLife</t>
  </si>
  <si>
    <t>21/01/2017</t>
  </si>
  <si>
    <t>abysse-102547</t>
  </si>
  <si>
    <t xml:space="preserve">Voici une très bonne assurance moto que je recommande
Pratique rapide avec des tarif souvent moins chère que d'autre .
Très bonne rapidité pour les avoir au téléphone. </t>
  </si>
  <si>
    <t>green--121972</t>
  </si>
  <si>
    <t xml:space="preserve">Assuré depuis 17 ans à la MAIF  , ils m'ont refusé ma réassurance juste après un incident de vole de pièce de ma voiture . Ils ne m'ont avancé aucune raison . </t>
  </si>
  <si>
    <t>mbouity's-f-126825</t>
  </si>
  <si>
    <t xml:space="preserve">Je suis satisfait du service
les prix me conviennent
c'est simple et pratique
il y' a toujours quelqu'un au bout du fil pour répondre au question de manière claire et précise </t>
  </si>
  <si>
    <t>lhadi-13-72169</t>
  </si>
  <si>
    <t>La fuite est la meilleur solution.
Pour toutes les personnes qui souhaite souscrire à cette assurance je vous invite à passer votre chemin
Même si le prix est attractif les conditions de gestion des clients pitoyable
Quels sont les raisons ?
Le numéros surtaxé en cas de gestion 0.80 la minutes.
J'ai eu un accident non responsable pour vous la faire courte le car a fait une marche arrière dans un rond point il est entré en collision avec ma voiture à 3 reprises. 
j'appel le numéros d'assistance qui m'indique qu'il a pris e compte ma déclaration orale et que je devais envoyer le constat. 
J'envois rapidement pour preuve voici le tracking.
Distribué
BOULOGNE BILLANCOURT PPDC 
92
Détails de l'acheminement. 
Le courrier a été remis contre signature du destinataire ou de son représentant dument mandaté. 
A ce jour aucun contact de la part de leurs services. Mon véhicule Hs aucune solution. 
Pour vous éviter toutes surprises passer votre chemin cela fait 3 ans que je suis chez eu sans aucun retard de paiement.
Si j'avais la possibilité de mettre une note négative je le ferait</t>
  </si>
  <si>
    <t>albert-38-66496</t>
  </si>
  <si>
    <t>Suite à un incendie moteur sur autoroute.
plus de 2h d'attente sous la pluie avant d'avoir un dépannage.
- Sinistre non pris en charge alors que couvert par assurance tout risque.
- Véhicule immobilisé 3 mois par l'assurance.
- Pas de véhicule de prêt alors que l'option est payé depuis 3 ans.
- Pas de remorquage du véhicule non roulant alors que l'assistance 0km est payé depuis 3 ans.
- Véhicule grandement abimé par le garage agrée sans aucun dédommagement.
- Modification du sinistre incendie en choc frontal alors que le véhicule n'as aucune trace de choc
- aucune indemnisation alors que véhicule en tout risque et 25% de malus alors que le sinistre n'as pas été pris en charge.
En gros vous payé, payer encore plus, toujours plus et en échange aucune garanties</t>
  </si>
  <si>
    <t>30/08/2018</t>
  </si>
  <si>
    <t>auffer-54434</t>
  </si>
  <si>
    <t>Accident de travail le 5 fevrier 2015, affilié ag2r le 1er avril 2014 suite convention collective. Durant mon arret de travail, attaque cardiaque en mai 2016, mis en ALD immediatement. Le cardiologue n'etabli pas d'arret, l'etant deja dans le cadre de l'AT. AT consolidé le 31/12/2016 avec IPP de 10%, mis en invalidité 2 le 01/01/2017 pour le coeur. AG2R refuse prise en chargecar pas d'arret de travail pour le coeur. Attestation du cardiologue transmise, ainsi que dossier medical d'invalidité établi par la sécu. Plus aucune nouvelle depuis, injoignables par téléphone, pas de réponse aux courriers. D'un salaire de 3000 euros il ne me reste que 993 euros, les charges restant les mêmes. Leur énergie passe-t-elle dans le cyclisme.
Faute de nouvelles je saisirai la justice, en demandant la publicité des débats. A bannir !</t>
  </si>
  <si>
    <t>aventurier44-50578</t>
  </si>
  <si>
    <t xml:space="preserve">Le 04/09/2020, j'ai décidé le regroupement de 4 de mes contrats d'assurances (2 autos et 2 habitations) pour un montant total de primes annuelles de 1348 €.
Cette souscription prévoyait le remboursement de 3 mois de primes sur le contrat le plus cher : 630 € soit une somme de 158 € et ce dans le cadre d'une offre promotionnelle reprise sur le site : www.axa.fr/offre234. Ce site ne mentionne pas le délai pour être remboursé.
Cependant la conseillère ma précisé que ce règlement interviendrait sous 3 mois, soit en décembre 2020 !
Mon compte bancaire n'ayant toujours pas été crédité à cette date, dans un courriel de réponse à mon étonnement, cette conseillère m'indique maintenant qu'il faut attendre fin février 2021 !!!
Serait-ce qu'AXA connait des problèmes de trésorerie ? alors que les périodes de confinement empêchent les automobiles de circuler normalement ?
L'opération promotionnelle 2,3,4 serait-elle une publicité mensongère ?
Dans tous les cas, je suis fort mécontent de l'attitude de la compagnie AXA dont le comportement n'est pas digne d'une telle société.
Dans ma vie professionnelle j'ai toujours su qu'il était important de satisfaire son client et surtout de respecter ses engagements.
Il ne me reste plus qu'à m'orienter vers un autre assureur dès que possible.
</t>
  </si>
  <si>
    <t>12/12/2020</t>
  </si>
  <si>
    <t>severine-d-106883</t>
  </si>
  <si>
    <t>Prix attractif pour un même niveau de garanties, pas encore testé les services mais confiant. La gestion en quelques clics depuis smartphone est un plus</t>
  </si>
  <si>
    <t>17/03/2021</t>
  </si>
  <si>
    <t>adri-86785</t>
  </si>
  <si>
    <t>Bonus 50 +3ans. Suite à accident de la circulation avec tiers responsable et dommage corporel, je n'ai que des déboires avec eux. Expert incompétent et fallacieux, service client qui vous dit ce que vous voulez entendre mais ça reste statique. Les indemnités (véhicule, équipement pilote) n'en parlons pas...  Il y a aussi les 20 euro de modification de contrat ou de résiliation, il faut dire où c'est stipulé. https://www.april-moto.com/comment-resilier-votre-contrat-dassurance-moto-scooter-quad/</t>
  </si>
  <si>
    <t>05/02/2020</t>
  </si>
  <si>
    <t>misteranonyme-34460</t>
  </si>
  <si>
    <t>Après avoir été victime d'une usurpation d'immatriculation, la maif me demande de rembourser les frais de réparation en appliquant un malus alors que mon ancien véhicule n'a pas été accidenté car je ne suis pas l'auteur des faits, je vais devoir revendre mon véhicule actuel pour changer d'assurance pour payer le juste prix, encore merci la maif pour avoir donné raison à la partie adverse sans avoir attendu la fin de l'enquête de police, pour les préjudices que j'ai subi.</t>
  </si>
  <si>
    <t>lenglart-x-110833</t>
  </si>
  <si>
    <t xml:space="preserve">Conseillère Aurianne au Top !
Documents illisibles sur l'application lors de la signature, a revoir !
Sinon Satisfait du prix du contrat, option multi-auto bien vu </t>
  </si>
  <si>
    <t>arnaud-schaller-106754</t>
  </si>
  <si>
    <t xml:space="preserve">Je n'ai pas encore pu apprecier la réactivité de votre assurance, le service client a été bon pour m'inscrire, je l'espere tout aussi réactif et aimable le jour où j'aurais besoin de vous.
</t>
  </si>
  <si>
    <t>lucas-j-113302</t>
  </si>
  <si>
    <t>Je suis satisfaite du prix pratiqué et de la reactivité de vos services lors de ma demande de devis et donc la conclusion du contrat qui s est faite dans la foulée.</t>
  </si>
  <si>
    <t>sandrine-petit-137596</t>
  </si>
  <si>
    <t>Assurance Propriétaire pour 3 logements prise via le Crédit Agricole.
Gestion désastreuse d'un sinistre début 2021 sur l'un des logements suite à un problème d'étanchéité du toit terrasse de la copropriété.
A nos demandes répétées de discussion sur le préjudice, nous avons reçu un bouquet de fleur (livré en plein été dans le logement sinistré ... et inoccupé), puis l'absence de rendez-vous ou réponses. Bref, la stratégie du pourrissement. Notre agence Crédit Agricole en a été scandalisée.
Résultat : nous avons arrêté les contrats et basculé sur la MAIF - tarifs identiques et garanties meilleures, le service aux assurés ne pourra pas être pire</t>
  </si>
  <si>
    <t>16/10/2021</t>
  </si>
  <si>
    <t>christian-103042</t>
  </si>
  <si>
    <t>Bonjour, suite au décès de ma mère, j'ai décidé le réemploi des fonds euros, celui ci entraîne  un rémunération au taux définitif, l'année du réemploi et l'année d'avant au cas oû décès et réemploi sont sur 2 années civiles. Finalement Afer a rémunéré 2019 mais pas 2018 (année du décès) en contradiction avec leurs conditions générales datées janvier 2018. J'ai envoyé un courrier simple en avril 2020, un recommandé en aout 2020, un second recommandé en décembre 2020. Aucune réponse écrite à ce jour, juste un appel téléphonique, en octobre, d'une personne pressée qui m'a dit être en télétravail à domicile sans les conditions générales ! Pourtant cette personne est d'un service spécialisée...Bref aucune confiance dans cet organisme mal géré.</t>
  </si>
  <si>
    <t>philagmf-57918</t>
  </si>
  <si>
    <t>Est-ce un organisme sérieux ?
A la liquidation de ma retraite mutualiste du combattant (RMC) j'ai opté le 14/05/2020 pour la récupération du capital. Sans réponse j'ai renouvelé mon choix avec  RAR le 09/07/2020. Ces courriers sont sans retour à ce jour. La CARAC est elle encore confinée ou bien est-ce seulement des difficultés passagères ?</t>
  </si>
  <si>
    <t>29/07/2020</t>
  </si>
  <si>
    <t>fabrice--92655</t>
  </si>
  <si>
    <t xml:space="preserve">Très bien , très satisfait des prix et prestations proposé par vos services, je recommande , rapide et efficace , défiant toute concurrence., rien à redire </t>
  </si>
  <si>
    <t>lafay-m-117469</t>
  </si>
  <si>
    <t>Je suis satisfait du service, personnel à l'écoute, prix raisonnable pour un jeune conducteur.
Les démarches sont rapide et plutôt simple.
Je recommande vivement cette assurance.</t>
  </si>
  <si>
    <t>nono-89644</t>
  </si>
  <si>
    <t xml:space="preserve">Bonjour,
Habituellement on donne notre avis quand ça se passe mal.
Mais la je suis tombée sur des conseillers tellement humains que je tenais à le dire.
Des personnes proches de nous qui nous accompagnent et nous soutiennent.
Je suis tellement rassurée par leur équipe. 
Vraiment je vous conseille à tous de comparer tout vos contrats avec ce que propose la GMF 
</t>
  </si>
  <si>
    <t>23/05/2020</t>
  </si>
  <si>
    <t>victor-c-134463</t>
  </si>
  <si>
    <t>Je suis satisfait de la rapidité de la gestion du dossier et la facilité de joindre le service client. En effet, pour ce qui concerne mes document et attestation franchement je suis ravi car sans me déplacer, je peux les avoir en un clin d'œil comparativement autres, c'est formidable..</t>
  </si>
  <si>
    <t>lilou-86790</t>
  </si>
  <si>
    <t>Je n'ai pas de mot excessif en terme de médiocrité pour juger les "services" de la macif. Pour un sinistre d'une simplicité déconcertante datant de plus d'un an??!!..., ils ne m'ont toujours pas dédommagé, arguant sans arrêt des motifs futiles pour ne pas avoir à payer. Pire encore, ils ne répondent même plus à mes courriels!!!.. . Lorsque j'ai eu la chance d'avoir un conseiller au bout du fil (ce qui est très rare), celui-ci se montre totalement dilettante et méprisant à mon égard. Il raconte tout et son contraire en l'espace de quelques minutes. Cela fait froid dans le dos car depuis plusieurs décennies que je suis assurée chez eux, je n'ai jamais vu cela. C'est une honte et je rejoins la quasi totalité des commentaires négatifs sur la macif.
la macif n'existe plus, elle a laissé place à une sorte de magma entrepreneurial qui ne vaut absolument plus rien!
Pour le soucieux de l'efficacité, passez votre chemin!!
Je vais résilier dès cette semaine tous mes contrats (7) et adieu la macif!
PS: les réponses automatisées du pseudo service qualité, prière de passer aussi votre chemin, vous ne servez à rien!!!</t>
  </si>
  <si>
    <t>vincent-n-108596</t>
  </si>
  <si>
    <t xml:space="preserve">Je suis satisfait du service et les prix me conviennent.
Je n'ai pas encore expérimenté la gestion de sinistre.
Je recommande Direct Assurance.       </t>
  </si>
  <si>
    <t>florian-55836</t>
  </si>
  <si>
    <t xml:space="preserve">J'ai jamais vu pire, ça me dégoute d'être assuré la. Ils m'ont raccroché au nez 2 fois et j'arrive jamais les avoir au téléphone. J'ai payé le contrat depuis avril,je viens seulement avoir la carte d'assurance (c'est pas la bonne plaque d'immatriculation en plus) . Aujourd'hui ils m'ont retiré les sous 3 fois plus le prix du contrat. Quelqu'un peut m'expliquer la raison pourquoi ça existe tjr cette assurance auto. C'est dès gens incompétents qui répondent mal au téléphone ou qui ne répondent jamais (c'est le plus simple pour eux). C'est la honte pour Allianz,car on paye le prix ce qu'ils demandent et on est mal accueilli </t>
  </si>
  <si>
    <t>05/07/2017</t>
  </si>
  <si>
    <t>josette-123843</t>
  </si>
  <si>
    <t>bonjour ,très bonnes  assurances ,pour preuve tous mes véhicules (moto scoot voiture assurances en tous genres je fais confiance à axa  .merci et tout le personnel de chez AXA le Creusot sont toujours à l,écoute merci à tous</t>
  </si>
  <si>
    <t>laurent-b-122366</t>
  </si>
  <si>
    <t>je suis satisfait du service et l'accès par internet et la réactivité du service. Le portail est clair et accessible.
Service simple et efficace pour l'inscription</t>
  </si>
  <si>
    <t>coumoul-c-127177</t>
  </si>
  <si>
    <t>je suis satisfaite de mon nouveau contrat.
niveau des prix très satisfaisant et espérant que l'olivier assurance sera aussi bien présente dans la durée.</t>
  </si>
  <si>
    <t>beyerle-b-117815</t>
  </si>
  <si>
    <t>La procédure de souscription est rapide et claire. J'ai rapidement put trouver ce que je cherchais.
Je suis satisfait de la rapidité de souscription à un contrat d'assurance.</t>
  </si>
  <si>
    <t>salomon-s-111689</t>
  </si>
  <si>
    <t>Très satisfait des operations via internet et coup de fil téléphonique.
Prix très attractifs et la possibilité de regroupes plusieurs membres de la famille est très intéressant</t>
  </si>
  <si>
    <t>michelle-n-129881</t>
  </si>
  <si>
    <t>Bonjour,
Je viens tout juste de m'inscrire, je vous donnerais mon envie, dans quelques mois si le service me convient je serais ravie de vous mettre 5 étoiles.</t>
  </si>
  <si>
    <t>cora-89245</t>
  </si>
  <si>
    <t xml:space="preserve">Je suis cliente chez eux depuis quelques temps maintenant. Nous avons 4 chiens et 3 chats donc disons que nous maîtrisons le sujet maladies/rbt... 
Pour mon expérience, je trouve que cet assureur n'est pas le pire. Les formules sont correctes - en tous cas les 3 de base. Après c'est vrai que les tarifs pour une prise en charge complète sont selon moi très cher. Après tout dépend de comment on pense l'assurance : pour moi c'est un moyen d'éviter le défaut de paiement en cas de gros frais véto. C'est vrai que pour des petits bobo du quotidien, parfois il vaut mieux avoir la formule de base qui ne rembourse qu'à 60% mais n'a pas de franchise qu'une formule remboursant à 70 ou 80 avec franchise. Car si votre animal n'est pas souvent malade, il y a effectivement le risque de payer de nombreux mois sans utilisation..
Concernant les remboursements je n'ai jamais eu de soucis. L'option 48h est validée à compter du second animal... Les derniers gros frais en date : chaton de 8 mois qui a attrapé un coryza en pension. Entre 2 consultation d'urgence en pleine nuit et un dimanche pour une détresse respiratoire, 4j d'hospitalisations sous respirateur, de multiples radios et un traitement de plus d'un mois nous en avons eu pour plus de Près de 700 €. Notre chat est assuré pour une forme de base, 60% de remboursement et sans franchise. Santé Vet a remboursé en 48h près de 450€. Nous avons du justifier que notre chat était bien à jour de vaccin, et c'est tout. Il suffit d'appeler le service client. 
Concernant le service client, tout dépend de la personne qui répond. Ne pas avoir un conseiller dédié est problématique, surtout quand on tombe sur quelqu'un un peu je m'en foutiste. Mais ça reste rare. Globalement il n'y a pas trop d'attente. 
Pour certains commentaires négatifs, j'aimerais apporter des précisions : 
- le mieux avant de souscrire est de lire les conditions générales. ça aide à éviter les désillusions 
- ne pas pouvoir rompre son contrat avant la date anniversaire est NORMAL, c'est le code des assurances 
- l'augmentation de la prime est annuel, et se calcule aussi selon ce que coûte votre animal à l'assurance. POur notre chaton souvent malade, nous payons plus cher que pour son copain chat jamais malade. 
</t>
  </si>
  <si>
    <t>29/04/2020</t>
  </si>
  <si>
    <t>christine-l-114787</t>
  </si>
  <si>
    <t xml:space="preserve">Prix excessifs compte tenu des options 
je compte d'ailleurs resilier mon contrat des que celui-ci prendra fin et me diriger vers une autre assurance </t>
  </si>
  <si>
    <t>edith-g-115509</t>
  </si>
  <si>
    <t>je suis satisfaite du service 
le prix me convient
simple et rapide sauf au telephone 
probleme de numero d appartement pas mis sur lattestation dhabitation</t>
  </si>
  <si>
    <t>ikene-n-138724</t>
  </si>
  <si>
    <t xml:space="preserve">Très bonne démarche par téléphone, super à l'écoute sont d'une énorme qualité de professionnalisme je recommande vivement, qualité prix et bonne entente </t>
  </si>
  <si>
    <t>02/11/2021</t>
  </si>
  <si>
    <t>ta-mere--115446</t>
  </si>
  <si>
    <t xml:space="preserve">Une baisse de qualité d'année en année, certainement liée au fait que les plates-formes téléphoniques se trouvent désormais à l'étranger, et donc la distance créer le manque de proximité avec le client. À chaque fois que j'ai voulu obtenir un relevé d'information que ce soit sur mon espace personnel ou on me transmet un numéro non attribué, ou via les numéros de téléphone connus, j'ai toujours du passer par la voie postale. Une honte en 2021!! Je change de compagnie en fin d'année. </t>
  </si>
  <si>
    <t>reubrecht-l-137019</t>
  </si>
  <si>
    <t>Cette assurance m'a été conseillé. La personne que j'ai eu au téléphone fut très aimable et m'a donné les renseignements nécessaires. Je recommande !!</t>
  </si>
  <si>
    <t>11/10/2021</t>
  </si>
  <si>
    <t xml:space="preserve">Impossible d'annuler une assurance de je ne sais quoi d'ailleurs car je ne trouve aucuns documents et souscrite certainement par téléphone de manière plus que douteuse sur personne agée. Malgré un mail de résiliation envoyé comme indiqué par un conseiller lors de la réception de l'appel de cotisation celui n'est soudainement plus valable. </t>
  </si>
  <si>
    <t>12/12/2019</t>
  </si>
  <si>
    <t>riche-c-114883</t>
  </si>
  <si>
    <t>je suis ravi de vos prestations, du professionnalisme de vos conseillers et de la facilité avec laquelle il est possible de changer d'assurance. Merci</t>
  </si>
  <si>
    <t>gmoli-138987</t>
  </si>
  <si>
    <t xml:space="preserve">Cela fait depuis fin août 2021 que ma voiture a était volé, à ce jour donc le 04 novembre 2021 je n’est toujours pas était remboursé et la conseillère qui ce charge de mon dossier me dit soit de patienter soit ne me répond plu. Je me retrouve sans voiture pour circuler et sans remboursement pour m’acheter une voiture !!! PACIFICA A FUIR, prenez une assurance classique avec un conseiller physique parce que de m’éviter par téléphone et par mail ça va deux seconde… </t>
  </si>
  <si>
    <t>simbamadcat-62044</t>
  </si>
  <si>
    <t>A EVITER ABSOLUMENT</t>
  </si>
  <si>
    <t>06/03/2018</t>
  </si>
  <si>
    <t>liliane-108173</t>
  </si>
  <si>
    <t xml:space="preserve">Très bon contact téléphonique, réponse claire et précise à ma demande d'information sur les montants de prise en charge d'hospitalisation. Un peu déçus sur la prise en charge pour une chambre seule en cas d'hospitalisation.   </t>
  </si>
  <si>
    <t>lauroli-57958</t>
  </si>
  <si>
    <t>Futur client chez eurofil j'ai annulé mon contrat après un  harcelement téléphonique ( 7 appels  rien que ce mardi 10 novembre ) alors que mon contrat débutait le 1 novembre, donc aucun  caractère d'urgence .
Résultat, un client en moins pour 1 voiture et 2 suivantes .</t>
  </si>
  <si>
    <t>patou-69965</t>
  </si>
  <si>
    <t>Erika conseillère très disponible et à l'écoute de ma demande, bien à son poste, il devrait avoir plus de personnes de ce niveau pour rassurer les clients</t>
  </si>
  <si>
    <t>07/01/2019</t>
  </si>
  <si>
    <t>patrice-m-105358</t>
  </si>
  <si>
    <t xml:space="preserve">Augmentation de tarif alors que la crise sanitaire nous empêcher de rouler.
Même pas un geste  vous préférer plutôt augmenter le tarif.
             </t>
  </si>
  <si>
    <t>marc-b-131317</t>
  </si>
  <si>
    <t>Bon prix pour l'habitation mais pas pour l'automobile.
Bon niveau de garanties
Service sinistre extrêmement difficile (impossible) à joindre et les conseillers en agence ne peuvent pas prendre le relais à la place du service téléphonique: c'est dommage, avoir une agence de proximité perd de son intérêt.</t>
  </si>
  <si>
    <t>yoann-d-105532</t>
  </si>
  <si>
    <t>Bonjour,
Je ne peux pas mettre 5 étoiles car votre site comportent de nombreux bugs et quand j'essai de vous envoyer un mail de support la réponse n'est pas apprioprié
Bien à vous
Yoann</t>
  </si>
  <si>
    <t>issouf-s-122974</t>
  </si>
  <si>
    <t>Satisfaction client garantie, je vous remercie. April Moto en ligne est très pratique d'utilisation. Très bien, je conseille fortement cette agence d'assurance.</t>
  </si>
  <si>
    <t>jokertitcho-80444</t>
  </si>
  <si>
    <t>Je ne me suis pas fait rembourser dans un accident non responsable . Je paye plus de 500 euros par an et on me demande d amener ma moto a plus de 25 km de chez moi pour un clignotant et un plaque de immatriculation</t>
  </si>
  <si>
    <t>27/10/2019</t>
  </si>
  <si>
    <t>gisele-m-124564</t>
  </si>
  <si>
    <t>Mieux que sur le plan , simple et rapide ! Pas cher , voir l assurance la moins cher du marché Merci encore a tout l équipe .
Cordialement . Gisèle mouton du 61.</t>
  </si>
  <si>
    <t>24/07/2021</t>
  </si>
  <si>
    <t>momo-126133</t>
  </si>
  <si>
    <t>Problème de sinistre de puis le mois de novembre et toujours pas indemnisé alors que j'ai déjà réglé tous les factures dès travaux  j'ai eu un gros soucis avec l'expert qui très désagréable et mal poulet  aucune réponse de la part de l'assurance malgré mes plantes vis-à-vis de son comportement alors je vous le déconseille fortement .a évite absolument</t>
  </si>
  <si>
    <t>pascaline-30-71804</t>
  </si>
  <si>
    <t>suite a l'accrochage d'1 trottoir facture du garage 878e franchise 320e l'assurance aurait du payer 499e étant donné que je suis  TOUS RISQUES mais non elle rembourse 179e le reste a ma charge
je suis chez direct assurance depuis 12ans sans 1 seul sinistre et probleme pour 499e! ! !</t>
  </si>
  <si>
    <t>karinne-c-114761</t>
  </si>
  <si>
    <t>je suis très satisfaite des services, de l'écoute, de la réactivité.
les agents sont toujours disponibles et vos offres sont toujours concurrentielles</t>
  </si>
  <si>
    <t>flienne-138663</t>
  </si>
  <si>
    <t>Bonjour,
Assurée à la MAIF pour toutes mes assurances pendant toute ma carrière, je ne peux que confirmer la dégradation spectaculaire du service de gestion de sinistre habitation.
Revenir sur la totalité des dysfonctionnements ayant entraîné des désagréments et délais inacceptables serait beaucoup trop long ici.
Concrètement, aucun suivi n'est assuré par les services de la MAIF qu'il convient de recontacter systématiquement pour qu'un conseiller vous dise qu'il va relancer la plateforme d'expertise mandatée (dont il est devenu impossible d'obtenir des informations directement). Aujourd'hui les seules explications obtenues se limitent à dire que ce sont les procédures qui imposent un tel fonctionnement ou bien que tous les experts français fonctionnent comme ça.
Pour résumer, aujourd'hui 30 octobre 2021, pour un dégât des eaux déclaré le 13 janvier 2021, la plateforme d'expertise mandate (après avoir oublié de le faire avant relance de notre part auprès d'une conseillère qui a eu l'obligeance de les appeler pendant notre conversation téléphonique) une seconde société d'expertise (la première ayant échouée dans son mandat de détection de fuite le 7 juin 2021) pour un rendez-vous mi-décembre.
Ce mandat fait suite à la recherche destructrice de la fuite et à sa réparation réalisée il y a plus d'un mois (20 septembre 2021) conformément au premier devis (plombier) que nous avions fourni dès le 16 février 2021.
L'objectif semble être de vérifier la conformité des devis du plaquiste (21 août et 24 septembre) et du plombier (devis d'origine détaillé) que nous avons fournis pour les réparations subséquentes.
 Le faux plafond est ouvert à plusieurs endroits et la laine de verre apparente et dégradée par la fuite laisse échapper des petits morceaux au sol. Le logement n'est donc pas réellement habitable.
Cependant la cerise sur le gâteau reste à venir. Viennent s'ajouter les turpitudes de la dernière communication téléphonique avec la conseillère en charge du dossier qui, en confirmant que le délai d'intervention de la société d'expertise est tout à fait raisonnable et son exécution indispensable, nous invite à colmater les ouvertures du plafond par nous même avec du carton pour pouvoir résider dans la maison puis nous raccroche au nez en précisant que désormais toute communication se ferait par écrit.
Alors, effectivement, nous n'avons pas les mêmes valeurs. Les conversations de nos appels à la MAIF ayant été enregistrées, celles-ci sont à même d'indiquer à qui voudrait l'entendre comment fonctionne aujourd'hui (ce n'était pas le cas par le passé) la MAIF (au moins pour sa gestion de sinistre habitation). Cela semble rejoindre les avis consultés ici et la très faible note obtenue semble même trop haute. Sachez également que mes motivations pour intervenir ici sont celles de sociétaire d'une compagnie d'assurance prétendument mutualiste. On peut désormais en douter.
Il faut tout de même noter que la plupart des conseillères au téléphone semblent faire de leur mieux dans la mesure des moyens mis à leur disposition, présentant même des excuses au nom de la MAIF pour les manquements indiqués et donnent même des explications sur le fonctionnement actuel (plateforme d'expertise mandatant à leur tour des sociétés d'expertise pour se rendre sur place et les procédures auxquelles elles doivent se conformer). Toutefois la dernière intervention téléphonique avec la personne chargée du dossier fait plutôt penser à un sabordage de l'image de la MAIF.</t>
  </si>
  <si>
    <t>31/10/2021</t>
  </si>
  <si>
    <t>h-kammoun-79909</t>
  </si>
  <si>
    <t>Ce qui est marrant c'est que la MAAF est prête a le prendre en tant que nouveau client avec 2 sinistres alors que j'y suis déjà et qu'ils m'ont envoyé un courrier de résiliation car 2 sinistres c'est trop...</t>
  </si>
  <si>
    <t>10/10/2019</t>
  </si>
  <si>
    <t>chuck-70841</t>
  </si>
  <si>
    <t xml:space="preserve">Hier matin, une ressort de suspension a rendu l'âme sur le véhicule de mon épouse, cassé net. Le véhicule étant encore roulant, nous l'avons amené au garage par notre propre moyen. Très stressée en raison d'un RDV pro très important, ma femme se demandait comment être à l'heure au dit RDV. A proximité immédiate de notre garagiste se trouve un centre Leclerc où nous avons pu louer un véhicule de substitution au prix minimum. Je viens de passer un coup de fil à notre délégation locale qui s'est empressée de rebasculer l'appel vers le centre d'assistance qui, bien entendu, est une entité extérieure à la MAIF. Ma demande était simple, les frais de location de la voiture sont-ils pris en charge par notre contrat (qui inclue une assistance 0 km, et la mise à disposition d'une voiture de secours). Réponse : non. Pourquoi ? Nous aurions du nous mettre en rapport avec l'assistance MAIF qui a des conventions avec des loueurs. OK, mais la voiture étant dans le pâté, et le premier HERTZ se trouvant à 15/20 KM comment faire ?... Nous aurions mis un taxi à votre disposition. Ah!? Et bien sur malgré les lourdeurs des démarches et les délais que tout ceci induit mon épouse aurait été ponctuelle au RDV (pro) important cité ci-dessus ? Silence de l'interlocutrice. Je lui ai demandé si notre conversation était enregistrée, réponse négative. Dommage, alors veuillez leur faire remonter la considération suivante "la MAIF est en train de devenir un véritable marchand de parapluie les jours de grand soleil". 
Tout ceci sachant que nous avons choisi le véhicule plus bas de gamme au prix le plus bas... 
C'est la deuxième "aventure" de ce type que nous avons cette année avec la MAIF (cherchez mon pseudo sur ce forum et vous verrez que la première n'était pas mal non plus...) 
Bref un assureur militant ? Militant pour quoi ? Militant pour qui ? Sans doute pour une meilleure rémunération de son staff dirigeant aux dépens de ses sociétaires...   
</t>
  </si>
  <si>
    <t>22/11/2019</t>
  </si>
  <si>
    <t>el-hassane-b-128465</t>
  </si>
  <si>
    <t xml:space="preserve">JE SUIS SATISFAIT DU PRIX ET DE  LA GARANTIE JE PENSE QUE CELA ETAIT POUR MOI UN BON CHOIX ASSURANCE ET JE SERAIS RTAVIS QUE CETTE ASSURANCE ET SES GARANTIES SOIT APPLIQUER </t>
  </si>
  <si>
    <t>christian-b-113282</t>
  </si>
  <si>
    <t>Pas de mauvaises surprise avec cette assurance, je suis satisfais des prestations.
J'ai l'intention de garder tous mes contrats autos jusqu'à nouvel ordre.</t>
  </si>
  <si>
    <t>cedric-l-123914</t>
  </si>
  <si>
    <t xml:space="preserve">JE NE SUI PAS CONTEN DU TOUT JAI VOULU ME RETRACTER POUR MON CONTRA SANTER ET CES TRES COMPLIQUER JAI LIMPRESSION
POUR SOUSCRIRE CA PREND 5 MIN POUR RESILIER CES TOUTE UNE HISTOIRE
</t>
  </si>
  <si>
    <t>alparslan-139630</t>
  </si>
  <si>
    <t>Rien à dire au service client ou au délais de remboursement qui sont plutôt irréprochable de ce coté. Mais mutuelle un peu chère pour vu les taux de remboursements..</t>
  </si>
  <si>
    <t>sandrine74-97667</t>
  </si>
  <si>
    <t>Pas de soucis pour encaisser l'argent tous les mois, par contre quand on déclare un arrêt maladie indemnisé par la sécu, le motif du médecin n'est pas valable pour allianz ??, on fait comment pour vivre, on prend justement ce genre d'assurance pour ne pas être en galère financière, au vu des commentaires je ne suis pas la seule à être insatisfaite. Au téléphone, la personne ne comprenait pas mon dossier et me laisse entendre que j'ai un arret maladie non justifié et que le motif est normal dans mon état, bravo pour votre professionnalisme ????</t>
  </si>
  <si>
    <t>21/09/2020</t>
  </si>
  <si>
    <t>kevin-l-108686</t>
  </si>
  <si>
    <t xml:space="preserve">Vous êtes très interessant pour le pris, maintenant j’attend de voir quand j’aurais besoin de vous. J’espère que cela n’arrivera jamais. Mais votre inscription est très simple et tout est bien détaillé </t>
  </si>
  <si>
    <t>gomorra-103045</t>
  </si>
  <si>
    <t>Bonjour client depuis de nombreuse année la maaf est devenu un assureur déplorable et emploi du personnels hautement incompétent je déconseille fortement se qui souhaite rejoindre cette PSEUDO assurance ..a part prendre votre argent incapable de trouver la moindre solution quand il s agira de résoudre un problème.. A évité ;-)</t>
  </si>
  <si>
    <t>krys-87653</t>
  </si>
  <si>
    <t>Bonjour, j'interviens car je suis excédée par les dérives du traitement de mes remboursements et autres. J'ai toujours envoyé tous les documents par mon espace personnel mais soudain on me répond par mail sans possibilité d'y répondre à mon tours, qu'il faut les renvoyer par courrier. Je n'ai jamais reçu d'accord pour entente préalable lorsque je fais une demande (donc j'imagine et je considère comme accordée si l'on ne me répond pas...  quoiqu'il en soit mon remboursement ne me parviendra pas). Suite à différents échanges par mail via mon espace personnel et appels téléphoniques... aujourd'hui après plusieurs tentatives d'appels téléphoniques (10mn de mise en attente pour tomber sur une répondeur pour vous annoncer que personne ne peut gérer votre appel), après la 4ième tentatives, je tombe sur une conseillère. Elle me raccroche au nez après que je lui ai exprimé l'objet de mon insistance et l'accumulation de mon insatisfaction. Elle me rappelle en simulant un problème technique sur la ligne téléphonique et finie par ne plus rappeler... quant enfin au bout de X tentatives, je tombe sur le très compétent Julien. Il fera tout pour comprendre à son niveau mes requêtes, mais pas moyen pour lui de prendre sur le champs contact avec ma compagnie. LUI m'a rappelé (ce n'est pas le cas de tous les conseillés que j'ai eu précédemment qui s'y étaient pourtant engagés) et m'a garantie que mes remboursements étaient traités en priorité et me parviendraient fin de semaine ou semaine prochaine... encore faudra-t-il que le suivi de son travail porte ses fruits ! On verra cela ! Il est fortement irritant et frustrant de ne pas pouvoir joindre directement notre propre mutuelle (trop d'intermédiaires n'a jamais été efficace). Aucune possibilité d'avoir une réponse urgente.  Lorsque j'ai appelé pour demandé les modalités de résiliation de mon contrat, une conseillère m'a répondu que je devais faire mes démarches deux mois la date de l'avenant de mon contrat initial (j'avais trouvé cela très étonnant et je lui en ai fait part mais elle m'a certifié ses dires !) Au moment convenu, je reprends contact mais là on me répond que c'était à la date d'adhésion donc délai dépassé alors je suis engagée malgré ma volonté jusqu'à fin décembre de l'année civile. J'espère rapidement sortir de ce cauchemar...</t>
  </si>
  <si>
    <t>26/02/2020</t>
  </si>
  <si>
    <t>grosjej1977-78397</t>
  </si>
  <si>
    <t>A éviter pour gérer votre assurance vie. La grand mère de ma femme est décédée en mars et 6 mois après le dossier n'est toujours pas réglé. Dossier reçu en retard et contenant des erreurs (quote part incorrect) Impossible d'avoir quelqu'un de compétent au téléphone, on a juste un service desk qui ne peut pas faire grand chose et vous dit d'attendre.</t>
  </si>
  <si>
    <t>13/08/2019</t>
  </si>
  <si>
    <t>denis--124219</t>
  </si>
  <si>
    <t xml:space="preserve">En attente d'un forfait de cure depuis 8 semaines je dis bien "forfait " apparemment il faux déterrée grand parents et ailleurs afin d'obtenir vos droits pour m'a parts je viens de demander un audit auprès de cette société à fuir </t>
  </si>
  <si>
    <t>dominique-j-127903</t>
  </si>
  <si>
    <t>Je suis satisfaite du service . Les opérations à distance sont d'un grand secours, surtout par les temps qui courent ! Je n'ai rien d'autre à déclarer</t>
  </si>
  <si>
    <t>figue-s-113450</t>
  </si>
  <si>
    <t>Le conseiller a été très aimable, à répondu à toutes mes questions et a su m’aider à trouver la bonne formule. Le site est très bien fait, mais l’aide de cette personne a été décisive. Bravo</t>
  </si>
  <si>
    <t>guilblac26-137745</t>
  </si>
  <si>
    <t>Monsieur PAPE lors de notre entretien téléphonique a été très compétant, professionnel et très à l'écoute, il a réglé très rapidement ma demande et solutionné mon problème je le remercie.
GUILLOTIN</t>
  </si>
  <si>
    <t>19/10/2021</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</si>
</sst>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16</v>
      </c>
      <c r="I2" s="2" t="str">
        <f>IFERROR(__xludf.DUMMYFUNCTION("GOOGLETRANSLATE(C2,""fr"",""en"")"),"Insured for more than 3 years at Direct Insurance, I have never had a claim my bonus increases each year by 5%. To my surprise my subscription increased for 2020/2021 by more than 10%! Response from Direct Insurance: This is due to a general increase in a"&amp;"ll insurers ... well it's time to go see what competition offers.")</f>
        <v>Insured for more than 3 years at Direct Insurance, I have never had a claim my bonus increases each year by 5%. To my surprise my subscription increased for 2020/2021 by more than 10%! Response from Direct Insurance: This is due to a general increase in all insurers ... well it's time to go see what competition offers.</v>
      </c>
    </row>
    <row r="3">
      <c r="A3" s="2">
        <v>2.0</v>
      </c>
      <c r="B3" s="2" t="s">
        <v>17</v>
      </c>
      <c r="C3" s="2" t="s">
        <v>18</v>
      </c>
      <c r="D3" s="2" t="s">
        <v>19</v>
      </c>
      <c r="E3" s="2" t="s">
        <v>14</v>
      </c>
      <c r="F3" s="2" t="s">
        <v>15</v>
      </c>
      <c r="G3" s="2" t="s">
        <v>20</v>
      </c>
      <c r="H3" s="2" t="s">
        <v>21</v>
      </c>
      <c r="I3" s="2" t="str">
        <f>IFERROR(__xludf.DUMMYFUNCTION("GOOGLETRANSLATE(C3,""fr"",""en"")"),"The big problem of the Macif is the incompetence of their expertise firms. I think these experts make money from the insurance company on the back of members.")</f>
        <v>The big problem of the Macif is the incompetence of their expertise firms. I think these experts make money from the insurance company on the back of members.</v>
      </c>
    </row>
    <row r="4">
      <c r="A4" s="2">
        <v>1.0</v>
      </c>
      <c r="B4" s="2" t="s">
        <v>22</v>
      </c>
      <c r="C4" s="2" t="s">
        <v>23</v>
      </c>
      <c r="D4" s="2" t="s">
        <v>24</v>
      </c>
      <c r="E4" s="2" t="s">
        <v>25</v>
      </c>
      <c r="F4" s="2" t="s">
        <v>15</v>
      </c>
      <c r="G4" s="2" t="s">
        <v>26</v>
      </c>
      <c r="H4" s="2" t="s">
        <v>27</v>
      </c>
      <c r="I4" s="2" t="str">
        <f>IFERROR(__xludf.DUMMYFUNCTION("GOOGLETRANSLATE(C4,""fr"",""en"")"),"As part of a succession, the death took place in early November 2018. The company has still paid nothing in September 2019. It requests the documents necessary for the payment of drop and is dragged. Perhaps in the hope of seeing us get bored.")</f>
        <v>As part of a succession, the death took place in early November 2018. The company has still paid nothing in September 2019. It requests the documents necessary for the payment of drop and is dragged. Perhaps in the hope of seeing us get bored.</v>
      </c>
    </row>
    <row r="5">
      <c r="A5" s="2">
        <v>3.0</v>
      </c>
      <c r="B5" s="2" t="s">
        <v>28</v>
      </c>
      <c r="C5" s="2" t="s">
        <v>29</v>
      </c>
      <c r="D5" s="2" t="s">
        <v>13</v>
      </c>
      <c r="E5" s="2" t="s">
        <v>14</v>
      </c>
      <c r="F5" s="2" t="s">
        <v>15</v>
      </c>
      <c r="G5" s="2" t="s">
        <v>30</v>
      </c>
      <c r="H5" s="2" t="s">
        <v>31</v>
      </c>
      <c r="I5" s="2" t="str">
        <f>IFERROR(__xludf.DUMMYFUNCTION("GOOGLETRANSLATE(C5,""fr"",""en"")"),"The people who are there to advise us hurt it, we don't know what we have to do. Too much misunderstanding and too long approach! I do not recommend this insurance The price is good but not the quality.")</f>
        <v>The people who are there to advise us hurt it, we don't know what we have to do. Too much misunderstanding and too long approach! I do not recommend this insurance The price is good but not the quality.</v>
      </c>
    </row>
    <row r="6">
      <c r="A6" s="2">
        <v>4.0</v>
      </c>
      <c r="B6" s="2" t="s">
        <v>32</v>
      </c>
      <c r="C6" s="2" t="s">
        <v>33</v>
      </c>
      <c r="D6" s="2" t="s">
        <v>34</v>
      </c>
      <c r="E6" s="2" t="s">
        <v>35</v>
      </c>
      <c r="F6" s="2" t="s">
        <v>15</v>
      </c>
      <c r="G6" s="2" t="s">
        <v>36</v>
      </c>
      <c r="H6" s="2" t="s">
        <v>37</v>
      </c>
      <c r="I6" s="2" t="str">
        <f>IFERROR(__xludf.DUMMYFUNCTION("GOOGLETRANSLATE(C6,""fr"",""en"")"),"Very good exchange. Very good and clear explanation. .................................................. .................................................. .................................................. .")</f>
        <v>Very good exchange. Very good and clear explanation. .................................................. .................................................. .................................................. .</v>
      </c>
    </row>
    <row r="7">
      <c r="A7" s="2">
        <v>2.0</v>
      </c>
      <c r="B7" s="2" t="s">
        <v>38</v>
      </c>
      <c r="C7" s="2" t="s">
        <v>39</v>
      </c>
      <c r="D7" s="2" t="s">
        <v>13</v>
      </c>
      <c r="E7" s="2" t="s">
        <v>14</v>
      </c>
      <c r="F7" s="2" t="s">
        <v>15</v>
      </c>
      <c r="G7" s="2" t="s">
        <v>40</v>
      </c>
      <c r="H7" s="2" t="s">
        <v>21</v>
      </c>
      <c r="I7" s="2" t="str">
        <f>IFERROR(__xludf.DUMMYFUNCTION("GOOGLETRANSLATE(C7,""fr"",""en"")"),"After 2 months of insurance, Direct Insurance solves my contract because they ""did not know that my vehicle was a motorhome"", they do not offer me any compensation, not even excuses. Anything, the opose of what an assurance is subdued to be. I totally d"&amp;"isseminate it.")</f>
        <v>After 2 months of insurance, Direct Insurance solves my contract because they "did not know that my vehicle was a motorhome", they do not offer me any compensation, not even excuses. Anything, the opose of what an assurance is subdued to be. I totally disseminate it.</v>
      </c>
    </row>
    <row r="8">
      <c r="A8" s="2">
        <v>1.0</v>
      </c>
      <c r="B8" s="2" t="s">
        <v>41</v>
      </c>
      <c r="C8" s="2" t="s">
        <v>42</v>
      </c>
      <c r="D8" s="2" t="s">
        <v>43</v>
      </c>
      <c r="E8" s="2" t="s">
        <v>14</v>
      </c>
      <c r="F8" s="2" t="s">
        <v>15</v>
      </c>
      <c r="G8" s="2" t="s">
        <v>44</v>
      </c>
      <c r="H8" s="2" t="s">
        <v>45</v>
      </c>
      <c r="I8" s="2" t="str">
        <f>IFERROR(__xludf.DUMMYFUNCTION("GOOGLETRANSLATE(C8,""fr"",""en"")"),"Very nice carrot! A great deception yes ...")</f>
        <v>Very nice carrot! A great deception yes ...</v>
      </c>
    </row>
    <row r="9">
      <c r="A9" s="2">
        <v>1.0</v>
      </c>
      <c r="B9" s="2" t="s">
        <v>46</v>
      </c>
      <c r="C9" s="2" t="s">
        <v>47</v>
      </c>
      <c r="D9" s="2" t="s">
        <v>43</v>
      </c>
      <c r="E9" s="2" t="s">
        <v>14</v>
      </c>
      <c r="F9" s="2" t="s">
        <v>15</v>
      </c>
      <c r="G9" s="2" t="s">
        <v>48</v>
      </c>
      <c r="H9" s="2" t="s">
        <v>16</v>
      </c>
      <c r="I9" s="2" t="str">
        <f>IFERROR(__xludf.DUMMYFUNCTION("GOOGLETRANSLATE(C9,""fr"",""en"")"),"To flee, I am in dispute with this insurance following the insurance refuses to take charge of all repairs following a claim dated 06.09.2019: damaged vehicle on the public highway. The total amount of damage to date is 6,181 euros. Insurance took charge "&amp;"of 1541 euros on the basis of a document considered as an expert report made in inconsistency by the expert trainee of the firm mandated by the Olivier Insurance: Christophe Maison Conseil.
Despite the LRAR received by the Cabinet Christophe Maison Conse"&amp;"il, the expert report was never sent to us by the firm, and this as planned by article R-326-2 of the Highway Code. Indeed, the Cabinet Christophe Maison Conseil claims that the Olivier Assurance, in its capacity as a client, ordered it not to make me the"&amp;" initial report made in inconsistency. Also, the expertise firm, would have communicated a second detailed report to the Insurance Olivier but that they cannot transmit to me either. They asked us to get closer to the olive assurance.
After having insist"&amp;"ed a lot with the Olivier customer service, the olive tree finally accepted on 28.10.2019, to send me an illegible document.
The trainee expert reports, in his expert report, a ""damaged vehicle"" regulatory procedure applicable with regard to the danger"&amp;"ous nature of the vehicle.
This procedure was not initiated by the internal expert in charge of the file, as invited by the regulations in article L-327-5 of the Highway Code.
We have mandated an independent expert for a counter-expertise that took plac"&amp;"e on 12.11.2019 with the presence of the intern and its manager. The independent expert, anxious to respect the law, implemented the procedure VE at my expense (700 euros).
After having transmitted, all the supporting documents including the counter-expe"&amp;"rtise report on 18.12.2019, the olive tree insurance informs me that there will be the implementation of an arbitration procedure.
I grabbed insurance mediation and the media (Julien Courbet), the program can happen to you, it's very simple, just explain"&amp;" the dispute by email. I invite the victims of this assurance not to give up in the face of their dubious practices.
If these approaches do not succeed, a complaint must be filed with the appropriate court according to the amount of the dispute.
")</f>
        <v>To flee, I am in dispute with this insurance following the insurance refuses to take charge of all repairs following a claim dated 06.09.2019: damaged vehicle on the public highway. The total amount of damage to date is 6,181 euros. Insurance took charge of 1541 euros on the basis of a document considered as an expert report made in inconsistency by the expert trainee of the firm mandated by the Olivier Insurance: Christophe Maison Conseil.
Despite the LRAR received by the Cabinet Christophe Maison Conseil, the expert report was never sent to us by the firm, and this as planned by article R-326-2 of the Highway Code. Indeed, the Cabinet Christophe Maison Conseil claims that the Olivier Assurance, in its capacity as a client, ordered it not to make me the initial report made in inconsistency. Also, the expertise firm, would have communicated a second detailed report to the Insurance Olivier but that they cannot transmit to me either. They asked us to get closer to the olive assurance.
After having insisted a lot with the Olivier customer service, the olive tree finally accepted on 28.10.2019, to send me an illegible document.
The trainee expert reports, in his expert report, a "damaged vehicle" regulatory procedure applicable with regard to the dangerous nature of the vehicle.
This procedure was not initiated by the internal expert in charge of the file, as invited by the regulations in article L-327-5 of the Highway Code.
We have mandated an independent expert for a counter-expertise that took place on 12.11.2019 with the presence of the intern and its manager. The independent expert, anxious to respect the law, implemented the procedure VE at my expense (700 euros).
After having transmitted, all the supporting documents including the counter-expertise report on 18.12.2019, the olive tree insurance informs me that there will be the implementation of an arbitration procedure.
I grabbed insurance mediation and the media (Julien Courbet), the program can happen to you, it's very simple, just explain the dispute by email. I invite the victims of this assurance not to give up in the face of their dubious practices.
If these approaches do not succeed, a complaint must be filed with the appropriate court according to the amount of the dispute.
</v>
      </c>
    </row>
    <row r="10">
      <c r="A10" s="2">
        <v>1.0</v>
      </c>
      <c r="B10" s="2" t="s">
        <v>49</v>
      </c>
      <c r="C10" s="2" t="s">
        <v>50</v>
      </c>
      <c r="D10" s="2" t="s">
        <v>13</v>
      </c>
      <c r="E10" s="2" t="s">
        <v>14</v>
      </c>
      <c r="F10" s="2" t="s">
        <v>15</v>
      </c>
      <c r="G10" s="2" t="s">
        <v>51</v>
      </c>
      <c r="H10" s="2" t="s">
        <v>52</v>
      </c>
      <c r="I10" s="2" t="str">
        <f>IFERROR(__xludf.DUMMYFUNCTION("GOOGLETRANSLATE(C10,""fr"",""en"")"),"Everything is terrible. The site does not function, I cannot change the information, I still pay for an apartment that I no longer live, without an option to stop.")</f>
        <v>Everything is terrible. The site does not function, I cannot change the information, I still pay for an apartment that I no longer live, without an option to stop.</v>
      </c>
    </row>
    <row r="11">
      <c r="A11" s="2">
        <v>4.0</v>
      </c>
      <c r="B11" s="2" t="s">
        <v>53</v>
      </c>
      <c r="C11" s="2" t="s">
        <v>54</v>
      </c>
      <c r="D11" s="2" t="s">
        <v>55</v>
      </c>
      <c r="E11" s="2" t="s">
        <v>56</v>
      </c>
      <c r="F11" s="2" t="s">
        <v>15</v>
      </c>
      <c r="G11" s="2" t="s">
        <v>57</v>
      </c>
      <c r="H11" s="2" t="s">
        <v>52</v>
      </c>
      <c r="I11" s="2" t="str">
        <f>IFERROR(__xludf.DUMMYFUNCTION("GOOGLETRANSLATE(C11,""fr"",""en"")"),"Simple quick cool cool
This allowed me to use my motorcycle quickly without taking the head
Top responsiveness competitive price
Satisfied with the service")</f>
        <v>Simple quick cool cool
This allowed me to use my motorcycle quickly without taking the head
Top responsiveness competitive price
Satisfied with the service</v>
      </c>
    </row>
    <row r="12">
      <c r="A12" s="2">
        <v>5.0</v>
      </c>
      <c r="B12" s="2" t="s">
        <v>58</v>
      </c>
      <c r="C12" s="2" t="s">
        <v>59</v>
      </c>
      <c r="D12" s="2" t="s">
        <v>13</v>
      </c>
      <c r="E12" s="2" t="s">
        <v>14</v>
      </c>
      <c r="F12" s="2" t="s">
        <v>15</v>
      </c>
      <c r="G12" s="2" t="s">
        <v>60</v>
      </c>
      <c r="H12" s="2" t="s">
        <v>52</v>
      </c>
      <c r="I12" s="2" t="str">
        <f>IFERROR(__xludf.DUMMYFUNCTION("GOOGLETRANSLATE(C12,""fr"",""en"")"),"I am satisfied with the insurance contract. Nothing to say for the moment. I'm waiting to see if this one will increase in 2021. Nothing else other for the moment")</f>
        <v>I am satisfied with the insurance contract. Nothing to say for the moment. I'm waiting to see if this one will increase in 2021. Nothing else other for the moment</v>
      </c>
    </row>
    <row r="13">
      <c r="A13" s="2">
        <v>1.0</v>
      </c>
      <c r="B13" s="2" t="s">
        <v>61</v>
      </c>
      <c r="C13" s="2" t="s">
        <v>62</v>
      </c>
      <c r="D13" s="2" t="s">
        <v>63</v>
      </c>
      <c r="E13" s="2" t="s">
        <v>25</v>
      </c>
      <c r="F13" s="2" t="s">
        <v>15</v>
      </c>
      <c r="G13" s="2" t="s">
        <v>64</v>
      </c>
      <c r="H13" s="2" t="s">
        <v>45</v>
      </c>
      <c r="I13" s="2" t="str">
        <f>IFERROR(__xludf.DUMMYFUNCTION("GOOGLETRANSLATE(C13,""fr"",""en"")"),"Holder of ASAC FAPES Life Insurance at Generali, I asked for a total repurchase of this insurance. Impossible to recover my money.
It's been more than a month since I made my request and I have no response from them ... inadmissible")</f>
        <v>Holder of ASAC FAPES Life Insurance at Generali, I asked for a total repurchase of this insurance. Impossible to recover my money.
It's been more than a month since I made my request and I have no response from them ... inadmissible</v>
      </c>
    </row>
    <row r="14">
      <c r="A14" s="2">
        <v>5.0</v>
      </c>
      <c r="B14" s="2" t="s">
        <v>65</v>
      </c>
      <c r="C14" s="2" t="s">
        <v>66</v>
      </c>
      <c r="D14" s="2" t="s">
        <v>43</v>
      </c>
      <c r="E14" s="2" t="s">
        <v>14</v>
      </c>
      <c r="F14" s="2" t="s">
        <v>15</v>
      </c>
      <c r="G14" s="2" t="s">
        <v>67</v>
      </c>
      <c r="H14" s="2" t="s">
        <v>68</v>
      </c>
      <c r="I14" s="2" t="str">
        <f>IFERROR(__xludf.DUMMYFUNCTION("GOOGLETRANSLATE(C14,""fr"",""en"")"),"The team seems competent, pleasantly surprised for the moment (prices, speed, answers to questions, presentation ...). To see if it will be the same if we have one day to declare a disaster.")</f>
        <v>The team seems competent, pleasantly surprised for the moment (prices, speed, answers to questions, presentation ...). To see if it will be the same if we have one day to declare a disaster.</v>
      </c>
    </row>
    <row r="15">
      <c r="A15" s="2">
        <v>5.0</v>
      </c>
      <c r="B15" s="2" t="s">
        <v>69</v>
      </c>
      <c r="C15" s="2" t="s">
        <v>70</v>
      </c>
      <c r="D15" s="2" t="s">
        <v>34</v>
      </c>
      <c r="E15" s="2" t="s">
        <v>35</v>
      </c>
      <c r="F15" s="2" t="s">
        <v>15</v>
      </c>
      <c r="G15" s="2" t="s">
        <v>71</v>
      </c>
      <c r="H15" s="2" t="s">
        <v>72</v>
      </c>
      <c r="I15" s="2" t="str">
        <f>IFERROR(__xludf.DUMMYFUNCTION("GOOGLETRANSLATE(C15,""fr"",""en"")"),"Hello, I just called the service in order to have information about my contract. The advisor who answered me is named Mariama, she was very responsive and above all very attentive about my request. Everything went very well and I am very satisfied.")</f>
        <v>Hello, I just called the service in order to have information about my contract. The advisor who answered me is named Mariama, she was very responsive and above all very attentive about my request. Everything went very well and I am very satisfied.</v>
      </c>
    </row>
    <row r="16">
      <c r="A16" s="2">
        <v>4.0</v>
      </c>
      <c r="B16" s="2" t="s">
        <v>73</v>
      </c>
      <c r="C16" s="2" t="s">
        <v>74</v>
      </c>
      <c r="D16" s="2" t="s">
        <v>43</v>
      </c>
      <c r="E16" s="2" t="s">
        <v>14</v>
      </c>
      <c r="F16" s="2" t="s">
        <v>15</v>
      </c>
      <c r="G16" s="2" t="s">
        <v>75</v>
      </c>
      <c r="H16" s="2" t="s">
        <v>72</v>
      </c>
      <c r="I16" s="2" t="str">
        <f>IFERROR(__xludf.DUMMYFUNCTION("GOOGLETRANSLATE(C16,""fr"",""en"")"),"Prices suit me. On the other hand, there were several bugs on the site during my subscription, I had to redo it several times. I am happy to be part of your customers, and I would certainly have other contracts to be attached.")</f>
        <v>Prices suit me. On the other hand, there were several bugs on the site during my subscription, I had to redo it several times. I am happy to be part of your customers, and I would certainly have other contracts to be attached.</v>
      </c>
    </row>
    <row r="17">
      <c r="A17" s="2">
        <v>4.0</v>
      </c>
      <c r="B17" s="2" t="s">
        <v>76</v>
      </c>
      <c r="C17" s="2" t="s">
        <v>77</v>
      </c>
      <c r="D17" s="2" t="s">
        <v>13</v>
      </c>
      <c r="E17" s="2" t="s">
        <v>14</v>
      </c>
      <c r="F17" s="2" t="s">
        <v>15</v>
      </c>
      <c r="G17" s="2" t="s">
        <v>67</v>
      </c>
      <c r="H17" s="2" t="s">
        <v>68</v>
      </c>
      <c r="I17" s="2" t="str">
        <f>IFERROR(__xludf.DUMMYFUNCTION("GOOGLETRANSLATE(C17,""fr"",""en"")"),"satisfied with the service
interesting price
speed of contract execution
ease of transmission of documents and information
Subscribed guarantees")</f>
        <v>satisfied with the service
interesting price
speed of contract execution
ease of transmission of documents and information
Subscribed guarantees</v>
      </c>
    </row>
    <row r="18">
      <c r="A18" s="2">
        <v>1.0</v>
      </c>
      <c r="B18" s="2" t="s">
        <v>78</v>
      </c>
      <c r="C18" s="2" t="s">
        <v>79</v>
      </c>
      <c r="D18" s="2" t="s">
        <v>80</v>
      </c>
      <c r="E18" s="2" t="s">
        <v>14</v>
      </c>
      <c r="F18" s="2" t="s">
        <v>15</v>
      </c>
      <c r="G18" s="2" t="s">
        <v>81</v>
      </c>
      <c r="H18" s="2" t="s">
        <v>82</v>
      </c>
      <c r="I18" s="2" t="str">
        <f>IFERROR(__xludf.DUMMYFUNCTION("GOOGLETRANSLATE(C18,""fr"",""en"")"),"Axa La Seyne, Catala agency: Avoid. During my subscription, all the guarantees that I requested was confirmed to me ... orally.
Once subscribed, happy to think that I have all my guarantees at a very competitive price, things got complicated when I asked"&amp;" for certificates. In summary: the best price was applied to me, for the most basic guarantees !!!
")</f>
        <v>Axa La Seyne, Catala agency: Avoid. During my subscription, all the guarantees that I requested was confirmed to me ... orally.
Once subscribed, happy to think that I have all my guarantees at a very competitive price, things got complicated when I asked for certificates. In summary: the best price was applied to me, for the most basic guarantees !!!
</v>
      </c>
    </row>
    <row r="19">
      <c r="A19" s="2">
        <v>2.0</v>
      </c>
      <c r="B19" s="2" t="s">
        <v>83</v>
      </c>
      <c r="C19" s="2" t="s">
        <v>84</v>
      </c>
      <c r="D19" s="2" t="s">
        <v>13</v>
      </c>
      <c r="E19" s="2" t="s">
        <v>85</v>
      </c>
      <c r="F19" s="2" t="s">
        <v>15</v>
      </c>
      <c r="G19" s="2" t="s">
        <v>86</v>
      </c>
      <c r="H19" s="2" t="s">
        <v>87</v>
      </c>
      <c r="I19" s="2" t="str">
        <f>IFERROR(__xludf.DUMMYFUNCTION("GOOGLETRANSLATE(C19,""fr"",""en"")"),"A disastrous, unpleasant and liar service on the phone, termination for non -payment (the mail not distributed), ask to communicate the credit card to regularize!")</f>
        <v>A disastrous, unpleasant and liar service on the phone, termination for non -payment (the mail not distributed), ask to communicate the credit card to regularize!</v>
      </c>
    </row>
    <row r="20">
      <c r="A20" s="2">
        <v>3.0</v>
      </c>
      <c r="B20" s="2" t="s">
        <v>88</v>
      </c>
      <c r="C20" s="2" t="s">
        <v>89</v>
      </c>
      <c r="D20" s="2" t="s">
        <v>13</v>
      </c>
      <c r="E20" s="2" t="s">
        <v>14</v>
      </c>
      <c r="F20" s="2" t="s">
        <v>15</v>
      </c>
      <c r="G20" s="2" t="s">
        <v>90</v>
      </c>
      <c r="H20" s="2" t="s">
        <v>72</v>
      </c>
      <c r="I20" s="2" t="str">
        <f>IFERROR(__xludf.DUMMYFUNCTION("GOOGLETRANSLATE(C20,""fr"",""en"")"),"The slightly expensive but fast service. To see the quality of their responsiveness the day I need their intervention. The price of options can also raise the price of the invoice")</f>
        <v>The slightly expensive but fast service. To see the quality of their responsiveness the day I need their intervention. The price of options can also raise the price of the invoice</v>
      </c>
    </row>
    <row r="21" ht="15.75" customHeight="1">
      <c r="A21" s="2">
        <v>1.0</v>
      </c>
      <c r="B21" s="2" t="s">
        <v>91</v>
      </c>
      <c r="C21" s="2" t="s">
        <v>92</v>
      </c>
      <c r="D21" s="2" t="s">
        <v>13</v>
      </c>
      <c r="E21" s="2" t="s">
        <v>14</v>
      </c>
      <c r="F21" s="2" t="s">
        <v>15</v>
      </c>
      <c r="G21" s="2" t="s">
        <v>93</v>
      </c>
      <c r="H21" s="2" t="s">
        <v>94</v>
      </c>
      <c r="I21" s="2" t="str">
        <f>IFERROR(__xludf.DUMMYFUNCTION("GOOGLETRANSLATE(C21,""fr"",""en"")"),"If you plan to take out self -insurance flee I had an accident on 10/29 the person who came into me did not wish to make an observation when I put my car in repair in suggesting to advance the franchise fees and the 10% repair and my Karima advisor told m"&amp;"e that I will be restored to dumped once my responsibility is not engaged having taken out all -risk insurance + serenity pack. A few days ago I received an email from my advisor telling me that my responsibility was not incurred but that the costs advanc"&amp;"e would not be returned to me after several complaint email my manager changed my share of responsibility to Height of 50% on the pretext that the drawing on the observation put me in the door to the false things that I have ever been told when the sinist"&amp;"er file lasts by more than 2 months without counting that I had them on the phone Affirmed that my responsibility was cleared and that I will not be penniless but two days after they changed my responsibility rate. This is how this insurance works they ta"&amp;"ke the customer for idiots and do what they want, the advisers do what they want you may make complaints that does not change anything and their customer service is non -existent")</f>
        <v>If you plan to take out self -insurance flee I had an accident on 10/29 the person who came into me did not wish to make an observation when I put my car in repair in suggesting to advance the franchise fees and the 10% repair and my Karima advisor told me that I will be restored to dumped once my responsibility is not engaged having taken out all -risk insurance + serenity pack. A few days ago I received an email from my advisor telling me that my responsibility was not incurred but that the costs advance would not be returned to me after several complaint email my manager changed my share of responsibility to Height of 50% on the pretext that the drawing on the observation put me in the door to the false things that I have ever been told when the sinister file lasts by more than 2 months without counting that I had them on the phone Affirmed that my responsibility was cleared and that I will not be penniless but two days after they changed my responsibility rate. This is how this insurance works they take the customer for idiots and do what they want, the advisers do what they want you may make complaints that does not change anything and their customer service is non -existent</v>
      </c>
    </row>
    <row r="22" ht="15.75" customHeight="1">
      <c r="A22" s="2">
        <v>5.0</v>
      </c>
      <c r="B22" s="2" t="s">
        <v>95</v>
      </c>
      <c r="C22" s="2" t="s">
        <v>96</v>
      </c>
      <c r="D22" s="2" t="s">
        <v>97</v>
      </c>
      <c r="E22" s="2" t="s">
        <v>56</v>
      </c>
      <c r="F22" s="2" t="s">
        <v>15</v>
      </c>
      <c r="G22" s="2" t="s">
        <v>98</v>
      </c>
      <c r="H22" s="2" t="s">
        <v>99</v>
      </c>
      <c r="I22" s="2" t="str">
        <f>IFERROR(__xludf.DUMMYFUNCTION("GOOGLETRANSLATE(C22,""fr"",""en"")"),"Very good value for money recommended by a friend, I do not regret put insured with AMV. Easy to take out a contract on the Internet. Thank you")</f>
        <v>Very good value for money recommended by a friend, I do not regret put insured with AMV. Easy to take out a contract on the Internet. Thank you</v>
      </c>
    </row>
    <row r="23" ht="15.75" customHeight="1">
      <c r="A23" s="2">
        <v>2.0</v>
      </c>
      <c r="B23" s="2" t="s">
        <v>100</v>
      </c>
      <c r="C23" s="2" t="s">
        <v>101</v>
      </c>
      <c r="D23" s="2" t="s">
        <v>80</v>
      </c>
      <c r="E23" s="2" t="s">
        <v>14</v>
      </c>
      <c r="F23" s="2" t="s">
        <v>15</v>
      </c>
      <c r="G23" s="2" t="s">
        <v>102</v>
      </c>
      <c r="H23" s="2" t="s">
        <v>103</v>
      </c>
      <c r="I23" s="2" t="str">
        <f>IFERROR(__xludf.DUMMYFUNCTION("GOOGLETRANSLATE(C23,""fr"",""en"")"),"AXA advocates the dematerialization of its contracts. OKAY. Having changed my vehicle in early November 2019, I have been bottoming for 1 month and a half so that the drafting of my contact details on my contract is exact and that my contract appears on m"&amp;"y customer area.")</f>
        <v>AXA advocates the dematerialization of its contracts. OKAY. Having changed my vehicle in early November 2019, I have been bottoming for 1 month and a half so that the drafting of my contact details on my contract is exact and that my contract appears on my customer area.</v>
      </c>
    </row>
    <row r="24" ht="15.75" customHeight="1">
      <c r="A24" s="2">
        <v>1.0</v>
      </c>
      <c r="B24" s="2" t="s">
        <v>104</v>
      </c>
      <c r="C24" s="2" t="s">
        <v>105</v>
      </c>
      <c r="D24" s="2" t="s">
        <v>106</v>
      </c>
      <c r="E24" s="2" t="s">
        <v>14</v>
      </c>
      <c r="F24" s="2" t="s">
        <v>15</v>
      </c>
      <c r="G24" s="2" t="s">
        <v>107</v>
      </c>
      <c r="H24" s="2" t="s">
        <v>108</v>
      </c>
      <c r="I24" s="2" t="str">
        <f>IFERROR(__xludf.DUMMYFUNCTION("GOOGLETRANSLATE(C24,""fr"",""en"")"),"Incredible, I had a disaster with a witness or I was not responsible because my vehicle was stopped, in the end they opted for a 50/50. The advisers are unpleasant and it clearly fucked up with me because I had to call them several times a day to try to s"&amp;"ettle this case. I am really disappointed. I really recommend this false assurance that takes advantage of the image of a bank to attract customers, go to a real insurer who will defend you in the event of a disaster. Zero on all points. My banker advisor"&amp;" was uncomfortable when I told her about what makes happen. There is a famous saying that says it is not by resembling insurance that we are insurance !! . At the end of this file I leave this vulgar insurance.")</f>
        <v>Incredible, I had a disaster with a witness or I was not responsible because my vehicle was stopped, in the end they opted for a 50/50. The advisers are unpleasant and it clearly fucked up with me because I had to call them several times a day to try to settle this case. I am really disappointed. I really recommend this false assurance that takes advantage of the image of a bank to attract customers, go to a real insurer who will defend you in the event of a disaster. Zero on all points. My banker advisor was uncomfortable when I told her about what makes happen. There is a famous saying that says it is not by resembling insurance that we are insurance !! . At the end of this file I leave this vulgar insurance.</v>
      </c>
    </row>
    <row r="25" ht="15.75" customHeight="1">
      <c r="A25" s="2">
        <v>2.0</v>
      </c>
      <c r="B25" s="2" t="s">
        <v>109</v>
      </c>
      <c r="C25" s="2" t="s">
        <v>110</v>
      </c>
      <c r="D25" s="2" t="s">
        <v>111</v>
      </c>
      <c r="E25" s="2" t="s">
        <v>112</v>
      </c>
      <c r="F25" s="2" t="s">
        <v>15</v>
      </c>
      <c r="G25" s="2" t="s">
        <v>113</v>
      </c>
      <c r="H25" s="2" t="s">
        <v>45</v>
      </c>
      <c r="I25" s="2" t="str">
        <f>IFERROR(__xludf.DUMMYFUNCTION("GOOGLETRANSLATE(C25,""fr"",""en"")"),"I am very disappointed with the treatment received by this insurance company, I have been fighting for more than a year to be compensated following a long illness. I am not compensated, they ask me for documents on documents when I transmitted all the doc"&amp;"uments to them in my possession .... I even start my work again, but always compensated ..... I take my strength After the disease to find out with legal protection and see to initiate a trial .....")</f>
        <v>I am very disappointed with the treatment received by this insurance company, I have been fighting for more than a year to be compensated following a long illness. I am not compensated, they ask me for documents on documents when I transmitted all the documents to them in my possession .... I even start my work again, but always compensated ..... I take my strength After the disease to find out with legal protection and see to initiate a trial .....</v>
      </c>
    </row>
    <row r="26" ht="15.75" customHeight="1">
      <c r="A26" s="2">
        <v>1.0</v>
      </c>
      <c r="B26" s="2" t="s">
        <v>114</v>
      </c>
      <c r="C26" s="2" t="s">
        <v>115</v>
      </c>
      <c r="D26" s="2" t="s">
        <v>116</v>
      </c>
      <c r="E26" s="2" t="s">
        <v>35</v>
      </c>
      <c r="F26" s="2" t="s">
        <v>15</v>
      </c>
      <c r="G26" s="2" t="s">
        <v>117</v>
      </c>
      <c r="H26" s="2" t="s">
        <v>118</v>
      </c>
      <c r="I26" s="2" t="str">
        <f>IFERROR(__xludf.DUMMYFUNCTION("GOOGLETRANSLATE(C26,""fr"",""en"")"),"file filed then lost. Impossible to send it by email. What can you do when you can no longer move?
The ""advisers"" respond in place of the doctor advice: too tiring or cheaper rather than sending it? As many phones as different answers")</f>
        <v>file filed then lost. Impossible to send it by email. What can you do when you can no longer move?
The "advisers" respond in place of the doctor advice: too tiring or cheaper rather than sending it? As many phones as different answers</v>
      </c>
    </row>
    <row r="27" ht="15.75" customHeight="1">
      <c r="A27" s="2">
        <v>2.0</v>
      </c>
      <c r="B27" s="2" t="s">
        <v>119</v>
      </c>
      <c r="C27" s="2" t="s">
        <v>120</v>
      </c>
      <c r="D27" s="2" t="s">
        <v>121</v>
      </c>
      <c r="E27" s="2" t="s">
        <v>85</v>
      </c>
      <c r="F27" s="2" t="s">
        <v>15</v>
      </c>
      <c r="G27" s="2" t="s">
        <v>122</v>
      </c>
      <c r="H27" s="2" t="s">
        <v>123</v>
      </c>
      <c r="I27" s="2" t="str">
        <f>IFERROR(__xludf.DUMMYFUNCTION("GOOGLETRANSLATE(C27,""fr"",""en"")"),"Hello.Groupama does not take into account the complaint mail sent. Suitable for an electronic card failure on Airwell heat pump, the after -sales service says that the new replacement part provided for the company mandated by the Polyexpert expert will be"&amp;" incompatible with The interior units, the old model is no longer being done. The service provider still requests € 2540 to make the repair, but refuses to communicate the references of the planned electronic card and claims not to guarantee the proper fu"&amp;"nctioning after change of the part.")</f>
        <v>Hello.Groupama does not take into account the complaint mail sent. Suitable for an electronic card failure on Airwell heat pump, the after -sales service says that the new replacement part provided for the company mandated by the Polyexpert expert will be incompatible with The interior units, the old model is no longer being done. The service provider still requests € 2540 to make the repair, but refuses to communicate the references of the planned electronic card and claims not to guarantee the proper functioning after change of the part.</v>
      </c>
    </row>
    <row r="28" ht="15.75" customHeight="1">
      <c r="A28" s="2">
        <v>3.0</v>
      </c>
      <c r="B28" s="2" t="s">
        <v>124</v>
      </c>
      <c r="C28" s="2" t="s">
        <v>125</v>
      </c>
      <c r="D28" s="2" t="s">
        <v>13</v>
      </c>
      <c r="E28" s="2" t="s">
        <v>14</v>
      </c>
      <c r="F28" s="2" t="s">
        <v>15</v>
      </c>
      <c r="G28" s="2" t="s">
        <v>126</v>
      </c>
      <c r="H28" s="2" t="s">
        <v>72</v>
      </c>
      <c r="I28" s="2" t="str">
        <f>IFERROR(__xludf.DUMMYFUNCTION("GOOGLETRANSLATE(C28,""fr"",""en"")"),"I find your site very well done .... the different prices offered are good.
You can easily subscribe to insurance. There remains the home insurance to see your prices and in the event of a problem if you will be as effective.")</f>
        <v>I find your site very well done .... the different prices offered are good.
You can easily subscribe to insurance. There remains the home insurance to see your prices and in the event of a problem if you will be as effective.</v>
      </c>
    </row>
    <row r="29" ht="15.75" customHeight="1">
      <c r="A29" s="2">
        <v>4.0</v>
      </c>
      <c r="B29" s="2" t="s">
        <v>127</v>
      </c>
      <c r="C29" s="2" t="s">
        <v>128</v>
      </c>
      <c r="D29" s="2" t="s">
        <v>129</v>
      </c>
      <c r="E29" s="2" t="s">
        <v>35</v>
      </c>
      <c r="F29" s="2" t="s">
        <v>15</v>
      </c>
      <c r="G29" s="2" t="s">
        <v>130</v>
      </c>
      <c r="H29" s="2" t="s">
        <v>131</v>
      </c>
      <c r="I29" s="2" t="str">
        <f>IFERROR(__xludf.DUMMYFUNCTION("GOOGLETRANSLATE(C29,""fr"",""en"")"),"At the MGP for 28 years, I am still as satisfied, both by the care as by the reception. I highly recommend.")</f>
        <v>At the MGP for 28 years, I am still as satisfied, both by the care as by the reception. I highly recommend.</v>
      </c>
    </row>
    <row r="30" ht="15.75" customHeight="1">
      <c r="A30" s="2">
        <v>2.0</v>
      </c>
      <c r="B30" s="2" t="s">
        <v>132</v>
      </c>
      <c r="C30" s="2" t="s">
        <v>133</v>
      </c>
      <c r="D30" s="2" t="s">
        <v>106</v>
      </c>
      <c r="E30" s="2" t="s">
        <v>14</v>
      </c>
      <c r="F30" s="2" t="s">
        <v>15</v>
      </c>
      <c r="G30" s="2" t="s">
        <v>134</v>
      </c>
      <c r="H30" s="2" t="s">
        <v>135</v>
      </c>
      <c r="I30" s="2" t="str">
        <f>IFERROR(__xludf.DUMMYFUNCTION("GOOGLETRANSLATE(C30,""fr"",""en"")"),"Everything is fine when you have no damage when you have an accident do not count on it")</f>
        <v>Everything is fine when you have no damage when you have an accident do not count on it</v>
      </c>
    </row>
    <row r="31" ht="15.75" customHeight="1">
      <c r="A31" s="2">
        <v>4.0</v>
      </c>
      <c r="B31" s="2" t="s">
        <v>136</v>
      </c>
      <c r="C31" s="2" t="s">
        <v>137</v>
      </c>
      <c r="D31" s="2" t="s">
        <v>13</v>
      </c>
      <c r="E31" s="2" t="s">
        <v>14</v>
      </c>
      <c r="F31" s="2" t="s">
        <v>15</v>
      </c>
      <c r="G31" s="2" t="s">
        <v>138</v>
      </c>
      <c r="H31" s="2" t="s">
        <v>72</v>
      </c>
      <c r="I31" s="2" t="str">
        <f>IFERROR(__xludf.DUMMYFUNCTION("GOOGLETRANSLATE(C31,""fr"",""en"")"),"Satisfied. Telephone aid available but several different opinions depending on the interlocutor.
To see later if the service is also good")</f>
        <v>Satisfied. Telephone aid available but several different opinions depending on the interlocutor.
To see later if the service is also good</v>
      </c>
    </row>
    <row r="32" ht="15.75" customHeight="1">
      <c r="A32" s="2">
        <v>3.0</v>
      </c>
      <c r="B32" s="2" t="s">
        <v>139</v>
      </c>
      <c r="C32" s="2" t="s">
        <v>140</v>
      </c>
      <c r="D32" s="2" t="s">
        <v>43</v>
      </c>
      <c r="E32" s="2" t="s">
        <v>14</v>
      </c>
      <c r="F32" s="2" t="s">
        <v>15</v>
      </c>
      <c r="G32" s="2" t="s">
        <v>72</v>
      </c>
      <c r="H32" s="2" t="s">
        <v>72</v>
      </c>
      <c r="I32" s="2" t="str">
        <f>IFERROR(__xludf.DUMMYFUNCTION("GOOGLETRANSLATE(C32,""fr"",""en"")"),"I am quite satisfied with the contract that I was able to obtain nevertheless I could have benefited from a reduction because a vehicle is already ensured at home in the same name.")</f>
        <v>I am quite satisfied with the contract that I was able to obtain nevertheless I could have benefited from a reduction because a vehicle is already ensured at home in the same name.</v>
      </c>
    </row>
    <row r="33" ht="15.75" customHeight="1">
      <c r="A33" s="2">
        <v>1.0</v>
      </c>
      <c r="B33" s="2" t="s">
        <v>141</v>
      </c>
      <c r="C33" s="2" t="s">
        <v>142</v>
      </c>
      <c r="D33" s="2" t="s">
        <v>143</v>
      </c>
      <c r="E33" s="2" t="s">
        <v>144</v>
      </c>
      <c r="F33" s="2" t="s">
        <v>15</v>
      </c>
      <c r="G33" s="2" t="s">
        <v>145</v>
      </c>
      <c r="H33" s="2" t="s">
        <v>146</v>
      </c>
      <c r="I33" s="2" t="str">
        <f>IFERROR(__xludf.DUMMYFUNCTION("GOOGLETRANSLATE(C33,""fr"",""en"")"),"Do not ensure your dog with insurers who ask for a health history after signing the contract. Indeed as soon as you need a refund in the event of an accident, they will assert the anteriority of pathology so as not to reimburse you Via courts who take sev"&amp;"eral days to reach you. Prefer to put money on your account and capitalize on your own ""health"" account for your pet.")</f>
        <v>Do not ensure your dog with insurers who ask for a health history after signing the contract. Indeed as soon as you need a refund in the event of an accident, they will assert the anteriority of pathology so as not to reimburse you Via courts who take several days to reach you. Prefer to put money on your account and capitalize on your own "health" account for your pet.</v>
      </c>
    </row>
    <row r="34" ht="15.75" customHeight="1">
      <c r="A34" s="2">
        <v>2.0</v>
      </c>
      <c r="B34" s="2" t="s">
        <v>147</v>
      </c>
      <c r="C34" s="2" t="s">
        <v>148</v>
      </c>
      <c r="D34" s="2" t="s">
        <v>13</v>
      </c>
      <c r="E34" s="2" t="s">
        <v>14</v>
      </c>
      <c r="F34" s="2" t="s">
        <v>15</v>
      </c>
      <c r="G34" s="2" t="s">
        <v>149</v>
      </c>
      <c r="H34" s="2" t="s">
        <v>150</v>
      </c>
      <c r="I34" s="2" t="str">
        <f>IFERROR(__xludf.DUMMYFUNCTION("GOOGLETRANSLATE(C34,""fr"",""en"")"),"I strongly denote this insurance which is unreachable in the event of a claim. After having declare 3 times the disaster on the application nothing was done, I took 3 weeks to have them at such and record my disaster. Never seen! Better to pay 100 euros m"&amp;"ore year but be ensured correctly. We have to pay the first year in total, I understand better why, they know that it is impossible to stay sure to be covered correctly")</f>
        <v>I strongly denote this insurance which is unreachable in the event of a claim. After having declare 3 times the disaster on the application nothing was done, I took 3 weeks to have them at such and record my disaster. Never seen! Better to pay 100 euros more year but be ensured correctly. We have to pay the first year in total, I understand better why, they know that it is impossible to stay sure to be covered correctly</v>
      </c>
    </row>
    <row r="35" ht="15.75" customHeight="1">
      <c r="A35" s="2">
        <v>1.0</v>
      </c>
      <c r="B35" s="2" t="s">
        <v>151</v>
      </c>
      <c r="C35" s="2" t="s">
        <v>152</v>
      </c>
      <c r="D35" s="2" t="s">
        <v>106</v>
      </c>
      <c r="E35" s="2" t="s">
        <v>85</v>
      </c>
      <c r="F35" s="2" t="s">
        <v>15</v>
      </c>
      <c r="G35" s="2" t="s">
        <v>153</v>
      </c>
      <c r="H35" s="2" t="s">
        <v>31</v>
      </c>
      <c r="I35" s="2" t="str">
        <f>IFERROR(__xludf.DUMMYFUNCTION("GOOGLETRANSLATE(C35,""fr"",""en"")"),"Re. Pacifica LCL. A person representing the Pacfica LCL A Alixan brand in the Drome is the shame of the profession. I do not think Pacifica is aware of the action of a certain of their colaaborator")</f>
        <v>Re. Pacifica LCL. A person representing the Pacfica LCL A Alixan brand in the Drome is the shame of the profession. I do not think Pacifica is aware of the action of a certain of their colaaborator</v>
      </c>
    </row>
    <row r="36" ht="15.75" customHeight="1">
      <c r="A36" s="2">
        <v>1.0</v>
      </c>
      <c r="B36" s="2" t="s">
        <v>154</v>
      </c>
      <c r="C36" s="2" t="s">
        <v>155</v>
      </c>
      <c r="D36" s="2" t="s">
        <v>156</v>
      </c>
      <c r="E36" s="2" t="s">
        <v>14</v>
      </c>
      <c r="F36" s="2" t="s">
        <v>15</v>
      </c>
      <c r="G36" s="2" t="s">
        <v>157</v>
      </c>
      <c r="H36" s="2" t="s">
        <v>158</v>
      </c>
      <c r="I36" s="2" t="str">
        <f>IFERROR(__xludf.DUMMYFUNCTION("GOOGLETRANSLATE(C36,""fr"",""en"")"),"Hello,
Like many here, terminated after a responsible accident (my fault I did not check the boxes so I was considered responsible, and they also wanted nothing!) And two non -responsible. It is soon I will also have to learn people to drive so as not to"&amp;" be terminated ...")</f>
        <v>Hello,
Like many here, terminated after a responsible accident (my fault I did not check the boxes so I was considered responsible, and they also wanted nothing!) And two non -responsible. It is soon I will also have to learn people to drive so as not to be terminated ...</v>
      </c>
    </row>
    <row r="37" ht="15.75" customHeight="1">
      <c r="A37" s="2">
        <v>1.0</v>
      </c>
      <c r="B37" s="2" t="s">
        <v>159</v>
      </c>
      <c r="C37" s="2" t="s">
        <v>160</v>
      </c>
      <c r="D37" s="2" t="s">
        <v>156</v>
      </c>
      <c r="E37" s="2" t="s">
        <v>14</v>
      </c>
      <c r="F37" s="2" t="s">
        <v>15</v>
      </c>
      <c r="G37" s="2" t="s">
        <v>161</v>
      </c>
      <c r="H37" s="2" t="s">
        <v>162</v>
      </c>
      <c r="I37" s="2" t="str">
        <f>IFERROR(__xludf.DUMMYFUNCTION("GOOGLETRANSLATE(C37,""fr"",""en"")"),"Customer since 1980 for all my insurance (vehicle, housing), I see my premiums increasing by almost 10% this year. I find it huge in relation to the increase in the cost of living. I think of changing the company.")</f>
        <v>Customer since 1980 for all my insurance (vehicle, housing), I see my premiums increasing by almost 10% this year. I find it huge in relation to the increase in the cost of living. I think of changing the company.</v>
      </c>
    </row>
    <row r="38" ht="15.75" customHeight="1">
      <c r="A38" s="2">
        <v>3.0</v>
      </c>
      <c r="B38" s="2" t="s">
        <v>163</v>
      </c>
      <c r="C38" s="2" t="s">
        <v>164</v>
      </c>
      <c r="D38" s="2" t="s">
        <v>13</v>
      </c>
      <c r="E38" s="2" t="s">
        <v>14</v>
      </c>
      <c r="F38" s="2" t="s">
        <v>15</v>
      </c>
      <c r="G38" s="2" t="s">
        <v>165</v>
      </c>
      <c r="H38" s="2" t="s">
        <v>166</v>
      </c>
      <c r="I38" s="2" t="str">
        <f>IFERROR(__xludf.DUMMYFUNCTION("GOOGLETRANSLATE(C38,""fr"",""en"")"),"Well overall: can do better in terms of changes in guarantees on maturity notices, without the agreement of the insured - a breeze franchise, of a lump sum in a percentage: and art 112-03 of the insurance code? .")</f>
        <v>Well overall: can do better in terms of changes in guarantees on maturity notices, without the agreement of the insured - a breeze franchise, of a lump sum in a percentage: and art 112-03 of the insurance code? .</v>
      </c>
    </row>
    <row r="39" ht="15.75" customHeight="1">
      <c r="A39" s="2">
        <v>5.0</v>
      </c>
      <c r="B39" s="2" t="s">
        <v>167</v>
      </c>
      <c r="C39" s="2" t="s">
        <v>168</v>
      </c>
      <c r="D39" s="2" t="s">
        <v>13</v>
      </c>
      <c r="E39" s="2" t="s">
        <v>14</v>
      </c>
      <c r="F39" s="2" t="s">
        <v>15</v>
      </c>
      <c r="G39" s="2" t="s">
        <v>169</v>
      </c>
      <c r="H39" s="2" t="s">
        <v>52</v>
      </c>
      <c r="I39" s="2" t="str">
        <f>IFERROR(__xludf.DUMMYFUNCTION("GOOGLETRANSLATE(C39,""fr"",""en"")"),"Practical and cheap
Very pleasant telephone reception
I recommend for simplicity without leaving home
Everything is done via the internet and phone
To see if after a disaster, I would always be of the same opinion")</f>
        <v>Practical and cheap
Very pleasant telephone reception
I recommend for simplicity without leaving home
Everything is done via the internet and phone
To see if after a disaster, I would always be of the same opinion</v>
      </c>
    </row>
    <row r="40" ht="15.75" customHeight="1">
      <c r="A40" s="2">
        <v>2.0</v>
      </c>
      <c r="B40" s="2" t="s">
        <v>170</v>
      </c>
      <c r="C40" s="2" t="s">
        <v>171</v>
      </c>
      <c r="D40" s="2" t="s">
        <v>97</v>
      </c>
      <c r="E40" s="2" t="s">
        <v>56</v>
      </c>
      <c r="F40" s="2" t="s">
        <v>15</v>
      </c>
      <c r="G40" s="2" t="s">
        <v>172</v>
      </c>
      <c r="H40" s="2" t="s">
        <v>173</v>
      </c>
      <c r="I40" s="2" t="str">
        <f>IFERROR(__xludf.DUMMYFUNCTION("GOOGLETRANSLATE(C40,""fr"",""en"")"),"Very disappointed because after a non -responsible accident now 1 year ago I cannot make sure at home. They don't take! I find it unfair. Customer service says OK to secure 1 year after the claim so I redo a quote and I am told that membership is OK. I se"&amp;"nd all the necessary documents and I am told 1 week after it is not possible you still have to wait 1 year. In addition, it is very complicated to join them and they are incompetent. Frankly disappointed.")</f>
        <v>Very disappointed because after a non -responsible accident now 1 year ago I cannot make sure at home. They don't take! I find it unfair. Customer service says OK to secure 1 year after the claim so I redo a quote and I am told that membership is OK. I send all the necessary documents and I am told 1 week after it is not possible you still have to wait 1 year. In addition, it is very complicated to join them and they are incompetent. Frankly disappointed.</v>
      </c>
    </row>
    <row r="41" ht="15.75" customHeight="1">
      <c r="A41" s="2">
        <v>4.0</v>
      </c>
      <c r="B41" s="2" t="s">
        <v>174</v>
      </c>
      <c r="C41" s="2" t="s">
        <v>175</v>
      </c>
      <c r="D41" s="2" t="s">
        <v>13</v>
      </c>
      <c r="E41" s="2" t="s">
        <v>14</v>
      </c>
      <c r="F41" s="2" t="s">
        <v>15</v>
      </c>
      <c r="G41" s="2" t="s">
        <v>176</v>
      </c>
      <c r="H41" s="2" t="s">
        <v>99</v>
      </c>
      <c r="I41" s="2" t="str">
        <f>IFERROR(__xludf.DUMMYFUNCTION("GOOGLETRANSLATE(C41,""fr"",""en"")"),"I am satisfied with the speed of the service. The explanations were very clear. I hope that at the slightest problem we can reach you quite easily. Have a good day")</f>
        <v>I am satisfied with the speed of the service. The explanations were very clear. I hope that at the slightest problem we can reach you quite easily. Have a good day</v>
      </c>
    </row>
    <row r="42" ht="15.75" customHeight="1">
      <c r="A42" s="2">
        <v>3.0</v>
      </c>
      <c r="B42" s="2" t="s">
        <v>177</v>
      </c>
      <c r="C42" s="2" t="s">
        <v>178</v>
      </c>
      <c r="D42" s="2" t="s">
        <v>179</v>
      </c>
      <c r="E42" s="2" t="s">
        <v>14</v>
      </c>
      <c r="F42" s="2" t="s">
        <v>15</v>
      </c>
      <c r="G42" s="2" t="s">
        <v>180</v>
      </c>
      <c r="H42" s="2" t="s">
        <v>123</v>
      </c>
      <c r="I42" s="2" t="str">
        <f>IFERROR(__xludf.DUMMYFUNCTION("GOOGLETRANSLATE(C42,""fr"",""en"")"),"Insured since 2005 with the Eurofil company for up to 3 vehicles and 3 residences I only had to rent services from this ""low cost"" insurance with regard to the amount of premiums and services offered.
Until I receive this week a registered letter AR in"&amp;"forming me of the risk inadequacy which does not allow the renewal of a car contract for the coming period.
Reading the information statement appear:
1) An accident not responsible in 05/2017
2) A change of windshield in 02/2016
3) a windfall repair i"&amp;"n 04/2015
I am invited to go see elsewhere!
Do not choose this insurance. As long as everything is going well, we collect your premiums. And we saw you when we decided ....! Not correct and above all very unfair.")</f>
        <v>Insured since 2005 with the Eurofil company for up to 3 vehicles and 3 residences I only had to rent services from this "low cost" insurance with regard to the amount of premiums and services offered.
Until I receive this week a registered letter AR informing me of the risk inadequacy which does not allow the renewal of a car contract for the coming period.
Reading the information statement appear:
1) An accident not responsible in 05/2017
2) A change of windshield in 02/2016
3) a windfall repair in 04/2015
I am invited to go see elsewhere!
Do not choose this insurance. As long as everything is going well, we collect your premiums. And we saw you when we decided ....! Not correct and above all very unfair.</v>
      </c>
    </row>
    <row r="43" ht="15.75" customHeight="1">
      <c r="A43" s="2">
        <v>1.0</v>
      </c>
      <c r="B43" s="2" t="s">
        <v>181</v>
      </c>
      <c r="C43" s="2" t="s">
        <v>182</v>
      </c>
      <c r="D43" s="2" t="s">
        <v>183</v>
      </c>
      <c r="E43" s="2" t="s">
        <v>14</v>
      </c>
      <c r="F43" s="2" t="s">
        <v>15</v>
      </c>
      <c r="G43" s="2" t="s">
        <v>184</v>
      </c>
      <c r="H43" s="2" t="s">
        <v>185</v>
      </c>
      <c r="I43" s="2" t="str">
        <f>IFERROR(__xludf.DUMMYFUNCTION("GOOGLETRANSLATE(C43,""fr"",""en"")"),"To put it simple you pay that the sticker to put on your windshield, to consider that you are not even ensuring at home except in the eyes of the police, more practical than a false insurance ;-), I will save you Details everything is summarized in the pr"&amp;"evious comments. To avoid urgently!")</f>
        <v>To put it simple you pay that the sticker to put on your windshield, to consider that you are not even ensuring at home except in the eyes of the police, more practical than a false insurance ;-), I will save you Details everything is summarized in the previous comments. To avoid urgently!</v>
      </c>
    </row>
    <row r="44" ht="15.75" customHeight="1">
      <c r="A44" s="2">
        <v>1.0</v>
      </c>
      <c r="B44" s="2" t="s">
        <v>186</v>
      </c>
      <c r="C44" s="2" t="s">
        <v>187</v>
      </c>
      <c r="D44" s="2" t="s">
        <v>43</v>
      </c>
      <c r="E44" s="2" t="s">
        <v>14</v>
      </c>
      <c r="F44" s="2" t="s">
        <v>15</v>
      </c>
      <c r="G44" s="2" t="s">
        <v>188</v>
      </c>
      <c r="H44" s="2" t="s">
        <v>16</v>
      </c>
      <c r="I44" s="2" t="str">
        <f>IFERROR(__xludf.DUMMYFUNCTION("GOOGLETRANSLATE(C44,""fr"",""en"")"),"Slow processing of claim files ...
Late refund .. it's been almost 2 months waiting for the refund .. each time I call .. I come across uncompetent people .. no answer .. !!!!")</f>
        <v>Slow processing of claim files ...
Late refund .. it's been almost 2 months waiting for the refund .. each time I call .. I come across uncompetent people .. no answer .. !!!!</v>
      </c>
    </row>
    <row r="45" ht="15.75" customHeight="1">
      <c r="A45" s="2">
        <v>4.0</v>
      </c>
      <c r="B45" s="2" t="s">
        <v>189</v>
      </c>
      <c r="C45" s="2" t="s">
        <v>190</v>
      </c>
      <c r="D45" s="2" t="s">
        <v>43</v>
      </c>
      <c r="E45" s="2" t="s">
        <v>14</v>
      </c>
      <c r="F45" s="2" t="s">
        <v>15</v>
      </c>
      <c r="G45" s="2" t="s">
        <v>191</v>
      </c>
      <c r="H45" s="2" t="s">
        <v>192</v>
      </c>
      <c r="I45" s="2" t="str">
        <f>IFERROR(__xludf.DUMMYFUNCTION("GOOGLETRANSLATE(C45,""fr"",""en"")"),"I am only signing and paying ... For the moment everything is fine, the reception has been very good and the customer area is readable and works.
To be validated during a disaster :-)")</f>
        <v>I am only signing and paying ... For the moment everything is fine, the reception has been very good and the customer area is readable and works.
To be validated during a disaster :-)</v>
      </c>
    </row>
    <row r="46" ht="15.75" customHeight="1">
      <c r="A46" s="2">
        <v>1.0</v>
      </c>
      <c r="B46" s="2" t="s">
        <v>193</v>
      </c>
      <c r="C46" s="2" t="s">
        <v>194</v>
      </c>
      <c r="D46" s="2" t="s">
        <v>195</v>
      </c>
      <c r="E46" s="2" t="s">
        <v>25</v>
      </c>
      <c r="F46" s="2" t="s">
        <v>15</v>
      </c>
      <c r="G46" s="2" t="s">
        <v>196</v>
      </c>
      <c r="H46" s="2" t="s">
        <v>197</v>
      </c>
      <c r="I46" s="2" t="str">
        <f>IFERROR(__xludf.DUMMYFUNCTION("GOOGLETRANSLATE(C46,""fr"",""en"")"),"I have been a member of AFER for over 15 years. It must be said that I have not been very active apart in recent years when I actually needed my money. Simple operations, with amounts of less than 20 or 30,000 euros did not pose a particular problem for m"&amp;"e. But heavier operations - it's a completely different matter!
My last operation revealed to me that there were serious operating or communication problems.
Following a cancellation last August of a partial redemption, I asked for the repayment of "&amp;"the amount on my membership. For personal reasons, I ask to proceed by transfer or withdrawal and not by check. My request for payment is registered in AFER only on September 4. At the end of September (!), AFER announces me (via my advisor) that I have t"&amp;"o make the transfer myself via the AFER bank details which are transmitted to me. Either. The same day, I order the transfer to my banking advisor. On 01-10-2020, I am debited from the amount on my bank account. The same day I address the notice of transf"&amp;"er to my advisor. Nothing appears on my membership since. Radio silence, despite many calls, with the same catchphrase: your request has been sent to the competent service. Only once, on the phone, I am told that the management service takes care of this "&amp;"very day and that I should see the operation on my membership the same day or the next day. Nothing, alas, neither the next day nor the next day, nor ...
In the meantime, vagaries have made me need these funds. But this is the cadet of the worries of A"&amp;"FER. Exactly, like many people, I joined AFER for these kinds of situations!
In conclusion, waiting to be contradicted, I think that FER is not a good investment. It is a good placement if you do not need (or very little) of your money. But be aware th"&amp;"at in the event of a heavy blow or a major business, you will not be able to count on AFER. No delay is respected and the communication is execrable.")</f>
        <v>I have been a member of AFER for over 15 years. It must be said that I have not been very active apart in recent years when I actually needed my money. Simple operations, with amounts of less than 20 or 30,000 euros did not pose a particular problem for me. But heavier operations - it's a completely different matter!
My last operation revealed to me that there were serious operating or communication problems.
Following a cancellation last August of a partial redemption, I asked for the repayment of the amount on my membership. For personal reasons, I ask to proceed by transfer or withdrawal and not by check. My request for payment is registered in AFER only on September 4. At the end of September (!), AFER announces me (via my advisor) that I have to make the transfer myself via the AFER bank details which are transmitted to me. Either. The same day, I order the transfer to my banking advisor. On 01-10-2020, I am debited from the amount on my bank account. The same day I address the notice of transfer to my advisor. Nothing appears on my membership since. Radio silence, despite many calls, with the same catchphrase: your request has been sent to the competent service. Only once, on the phone, I am told that the management service takes care of this very day and that I should see the operation on my membership the same day or the next day. Nothing, alas, neither the next day nor the next day, nor ...
In the meantime, vagaries have made me need these funds. But this is the cadet of the worries of AFER. Exactly, like many people, I joined AFER for these kinds of situations!
In conclusion, waiting to be contradicted, I think that FER is not a good investment. It is a good placement if you do not need (or very little) of your money. But be aware that in the event of a heavy blow or a major business, you will not be able to count on AFER. No delay is respected and the communication is execrable.</v>
      </c>
    </row>
    <row r="47" ht="15.75" customHeight="1">
      <c r="A47" s="2">
        <v>1.0</v>
      </c>
      <c r="B47" s="2" t="s">
        <v>198</v>
      </c>
      <c r="C47" s="2" t="s">
        <v>199</v>
      </c>
      <c r="D47" s="2" t="s">
        <v>43</v>
      </c>
      <c r="E47" s="2" t="s">
        <v>14</v>
      </c>
      <c r="F47" s="2" t="s">
        <v>15</v>
      </c>
      <c r="G47" s="2" t="s">
        <v>200</v>
      </c>
      <c r="H47" s="2" t="s">
        <v>201</v>
      </c>
      <c r="I47" s="2" t="str">
        <f>IFERROR(__xludf.DUMMYFUNCTION("GOOGLETRANSLATE(C47,""fr"",""en"")"),"If I could put 0 Star I would make it very high prices which increases each year despite bonus their argument are idiots to justify themselves. In short, I sent my termination and I went to another insurer with a rate twice as much for more warranty. Tota"&amp;"lly crazy!")</f>
        <v>If I could put 0 Star I would make it very high prices which increases each year despite bonus their argument are idiots to justify themselves. In short, I sent my termination and I went to another insurer with a rate twice as much for more warranty. Totally crazy!</v>
      </c>
    </row>
    <row r="48" ht="15.75" customHeight="1">
      <c r="A48" s="2">
        <v>5.0</v>
      </c>
      <c r="B48" s="2" t="s">
        <v>202</v>
      </c>
      <c r="C48" s="2" t="s">
        <v>203</v>
      </c>
      <c r="D48" s="2" t="s">
        <v>43</v>
      </c>
      <c r="E48" s="2" t="s">
        <v>14</v>
      </c>
      <c r="F48" s="2" t="s">
        <v>15</v>
      </c>
      <c r="G48" s="2" t="s">
        <v>204</v>
      </c>
      <c r="H48" s="2" t="s">
        <v>68</v>
      </c>
      <c r="I48" s="2" t="str">
        <f>IFERROR(__xludf.DUMMYFUNCTION("GOOGLETRANSLATE(C48,""fr"",""en"")"),"I am very satisfied with insurance, the price suits me, very practical, super well the professionalism of the person on the phone advised him very well, thank you")</f>
        <v>I am very satisfied with insurance, the price suits me, very practical, super well the professionalism of the person on the phone advised him very well, thank you</v>
      </c>
    </row>
    <row r="49" ht="15.75" customHeight="1">
      <c r="A49" s="2">
        <v>2.0</v>
      </c>
      <c r="B49" s="2" t="s">
        <v>205</v>
      </c>
      <c r="C49" s="2" t="s">
        <v>206</v>
      </c>
      <c r="D49" s="2" t="s">
        <v>207</v>
      </c>
      <c r="E49" s="2" t="s">
        <v>35</v>
      </c>
      <c r="F49" s="2" t="s">
        <v>15</v>
      </c>
      <c r="G49" s="2" t="s">
        <v>208</v>
      </c>
      <c r="H49" s="2" t="s">
        <v>209</v>
      </c>
      <c r="I49" s="2" t="str">
        <f>IFERROR(__xludf.DUMMYFUNCTION("GOOGLETRANSLATE(C49,""fr"",""en"")"),"Hot Line totally rotten and in bad faith intended to abandon requests
Delai Average Hot Line Moving Moel: Odre of a quarter of an hour")</f>
        <v>Hot Line totally rotten and in bad faith intended to abandon requests
Delai Average Hot Line Moving Moel: Odre of a quarter of an hour</v>
      </c>
    </row>
    <row r="50" ht="15.75" customHeight="1">
      <c r="A50" s="2">
        <v>2.0</v>
      </c>
      <c r="B50" s="2" t="s">
        <v>210</v>
      </c>
      <c r="C50" s="2" t="s">
        <v>211</v>
      </c>
      <c r="D50" s="2" t="s">
        <v>97</v>
      </c>
      <c r="E50" s="2" t="s">
        <v>56</v>
      </c>
      <c r="F50" s="2" t="s">
        <v>15</v>
      </c>
      <c r="G50" s="2" t="s">
        <v>212</v>
      </c>
      <c r="H50" s="2" t="s">
        <v>213</v>
      </c>
      <c r="I50" s="2" t="str">
        <f>IFERROR(__xludf.DUMMYFUNCTION("GOOGLETRANSLATE(C50,""fr"",""en"")"),"For 35 of motorcycle practice and around 15 different motorcycles, it is the worst motorcycle insurance that I have known.
Following a flight from my BMW F800 R in private parking, it was a year old, about 1,500 km, equipped with all possible BMW options"&amp;", AMV offered me an alms for reimbursement after 3 months, because Mr. AMV , although assured in any risk, does not take into account the BMW manufacturer options, practices a monstrous discount on a motorcycle out of revision, with 1,500 km on the clock,"&amp;" aged one year and all BMW options.
Very quickly the interlocutors in front of my astonishment were extremely unpleasant or unreachable, and a slowness of reacting unprecedented, a question on my part, possibly a answer a week later.
I had already calle"&amp;"d upon AMV ten years ago for a 600 Fazer, at the time I was very satisfied, but the times changed.
Do not get fooled by their advertising blister and go to the factory")</f>
        <v>For 35 of motorcycle practice and around 15 different motorcycles, it is the worst motorcycle insurance that I have known.
Following a flight from my BMW F800 R in private parking, it was a year old, about 1,500 km, equipped with all possible BMW options, AMV offered me an alms for reimbursement after 3 months, because Mr. AMV , although assured in any risk, does not take into account the BMW manufacturer options, practices a monstrous discount on a motorcycle out of revision, with 1,500 km on the clock, aged one year and all BMW options.
Very quickly the interlocutors in front of my astonishment were extremely unpleasant or unreachable, and a slowness of reacting unprecedented, a question on my part, possibly a answer a week later.
I had already called upon AMV ten years ago for a 600 Fazer, at the time I was very satisfied, but the times changed.
Do not get fooled by their advertising blister and go to the factory</v>
      </c>
    </row>
    <row r="51" ht="15.75" customHeight="1">
      <c r="A51" s="2">
        <v>2.0</v>
      </c>
      <c r="B51" s="2" t="s">
        <v>214</v>
      </c>
      <c r="C51" s="2" t="s">
        <v>215</v>
      </c>
      <c r="D51" s="2" t="s">
        <v>13</v>
      </c>
      <c r="E51" s="2" t="s">
        <v>14</v>
      </c>
      <c r="F51" s="2" t="s">
        <v>15</v>
      </c>
      <c r="G51" s="2" t="s">
        <v>216</v>
      </c>
      <c r="H51" s="2" t="s">
        <v>217</v>
      </c>
      <c r="I51" s="2" t="str">
        <f>IFERROR(__xludf.DUMMYFUNCTION("GOOGLETRANSLATE(C51,""fr"",""en"")"),"I think it is a suitable insurer, I cannot tell you, because I have never had accidents.
Regarding the price, it is interesting when subscribing, thereafter the price is similar to other insurers the second year. Some insurers have issued a repair of 202"&amp;"0 confinement, Da did not teach himself.")</f>
        <v>I think it is a suitable insurer, I cannot tell you, because I have never had accidents.
Regarding the price, it is interesting when subscribing, thereafter the price is similar to other insurers the second year. Some insurers have issued a repair of 2020 confinement, Da did not teach himself.</v>
      </c>
    </row>
    <row r="52" ht="15.75" customHeight="1">
      <c r="A52" s="2">
        <v>5.0</v>
      </c>
      <c r="B52" s="2" t="s">
        <v>218</v>
      </c>
      <c r="C52" s="2" t="s">
        <v>219</v>
      </c>
      <c r="D52" s="2" t="s">
        <v>220</v>
      </c>
      <c r="E52" s="2" t="s">
        <v>35</v>
      </c>
      <c r="F52" s="2" t="s">
        <v>15</v>
      </c>
      <c r="G52" s="2" t="s">
        <v>221</v>
      </c>
      <c r="H52" s="2" t="s">
        <v>118</v>
      </c>
      <c r="I52" s="2" t="str">
        <f>IFERROR(__xludf.DUMMYFUNCTION("GOOGLETRANSLATE(C52,""fr"",""en"")"),"Fairly competent customer service, very good advice, everything has been clear since 2013 I am very satisfied")</f>
        <v>Fairly competent customer service, very good advice, everything has been clear since 2013 I am very satisfied</v>
      </c>
    </row>
    <row r="53" ht="15.75" customHeight="1">
      <c r="A53" s="2">
        <v>3.0</v>
      </c>
      <c r="B53" s="2" t="s">
        <v>222</v>
      </c>
      <c r="C53" s="2" t="s">
        <v>223</v>
      </c>
      <c r="D53" s="2" t="s">
        <v>224</v>
      </c>
      <c r="E53" s="2" t="s">
        <v>35</v>
      </c>
      <c r="F53" s="2" t="s">
        <v>15</v>
      </c>
      <c r="G53" s="2" t="s">
        <v>225</v>
      </c>
      <c r="H53" s="2" t="s">
        <v>94</v>
      </c>
      <c r="I53" s="2" t="str">
        <f>IFERROR(__xludf.DUMMYFUNCTION("GOOGLETRANSLATE(C53,""fr"",""en"")"),"Thanks to Gwendal for the information he transmitted to me, very kind and not trying to influence us")</f>
        <v>Thanks to Gwendal for the information he transmitted to me, very kind and not trying to influence us</v>
      </c>
    </row>
    <row r="54" ht="15.75" customHeight="1">
      <c r="A54" s="2">
        <v>2.0</v>
      </c>
      <c r="B54" s="2" t="s">
        <v>226</v>
      </c>
      <c r="C54" s="2" t="s">
        <v>227</v>
      </c>
      <c r="D54" s="2" t="s">
        <v>13</v>
      </c>
      <c r="E54" s="2" t="s">
        <v>14</v>
      </c>
      <c r="F54" s="2" t="s">
        <v>15</v>
      </c>
      <c r="G54" s="2" t="s">
        <v>228</v>
      </c>
      <c r="H54" s="2" t="s">
        <v>229</v>
      </c>
      <c r="I54" s="2" t="str">
        <f>IFERROR(__xludf.DUMMYFUNCTION("GOOGLETRANSLATE(C54,""fr"",""en"")"),"Increased bonuses by 10% in 1 year without a claim.
Unable to reach customer service to renegotiate the price.")</f>
        <v>Increased bonuses by 10% in 1 year without a claim.
Unable to reach customer service to renegotiate the price.</v>
      </c>
    </row>
    <row r="55" ht="15.75" customHeight="1">
      <c r="A55" s="2">
        <v>3.0</v>
      </c>
      <c r="B55" s="2" t="s">
        <v>230</v>
      </c>
      <c r="C55" s="2" t="s">
        <v>231</v>
      </c>
      <c r="D55" s="2" t="s">
        <v>13</v>
      </c>
      <c r="E55" s="2" t="s">
        <v>14</v>
      </c>
      <c r="F55" s="2" t="s">
        <v>15</v>
      </c>
      <c r="G55" s="2" t="s">
        <v>232</v>
      </c>
      <c r="H55" s="2" t="s">
        <v>52</v>
      </c>
      <c r="I55" s="2" t="str">
        <f>IFERROR(__xludf.DUMMYFUNCTION("GOOGLETRANSLATE(C55,""fr"",""en"")"),"I will have hoped to have a larger commercial gesture knowing that we have been at Direct Insurance for 10 years., With 3 home and car contracts.")</f>
        <v>I will have hoped to have a larger commercial gesture knowing that we have been at Direct Insurance for 10 years., With 3 home and car contracts.</v>
      </c>
    </row>
    <row r="56" ht="15.75" customHeight="1">
      <c r="A56" s="2">
        <v>4.0</v>
      </c>
      <c r="B56" s="2" t="s">
        <v>233</v>
      </c>
      <c r="C56" s="2" t="s">
        <v>234</v>
      </c>
      <c r="D56" s="2" t="s">
        <v>116</v>
      </c>
      <c r="E56" s="2" t="s">
        <v>35</v>
      </c>
      <c r="F56" s="2" t="s">
        <v>15</v>
      </c>
      <c r="G56" s="2" t="s">
        <v>235</v>
      </c>
      <c r="H56" s="2" t="s">
        <v>236</v>
      </c>
      <c r="I56" s="2" t="str">
        <f>IFERROR(__xludf.DUMMYFUNCTION("GOOGLETRANSLATE(C56,""fr"",""en"")"),"Vaugirard is complete and well managed organization. I am fortunate to have a general practitioner that I put as a doctor and a super efficient and nice cardiologist The parking lot is great in the heart of Paris. Dental side it is more average but they h"&amp;"ave a correspondent in the perfect 13th.")</f>
        <v>Vaugirard is complete and well managed organization. I am fortunate to have a general practitioner that I put as a doctor and a super efficient and nice cardiologist The parking lot is great in the heart of Paris. Dental side it is more average but they have a correspondent in the perfect 13th.</v>
      </c>
    </row>
    <row r="57" ht="15.75" customHeight="1">
      <c r="A57" s="2">
        <v>5.0</v>
      </c>
      <c r="B57" s="2" t="s">
        <v>237</v>
      </c>
      <c r="C57" s="2" t="s">
        <v>238</v>
      </c>
      <c r="D57" s="2" t="s">
        <v>13</v>
      </c>
      <c r="E57" s="2" t="s">
        <v>14</v>
      </c>
      <c r="F57" s="2" t="s">
        <v>15</v>
      </c>
      <c r="G57" s="2" t="s">
        <v>239</v>
      </c>
      <c r="H57" s="2" t="s">
        <v>99</v>
      </c>
      <c r="I57" s="2" t="str">
        <f>IFERROR(__xludf.DUMMYFUNCTION("GOOGLETRANSLATE(C57,""fr"",""en"")"),"Super insurance and inexpensive in addition. I liked it, it was easy and quick. I did it on my phone that had 5% battery it was quick. Thanks very much")</f>
        <v>Super insurance and inexpensive in addition. I liked it, it was easy and quick. I did it on my phone that had 5% battery it was quick. Thanks very much</v>
      </c>
    </row>
    <row r="58" ht="15.75" customHeight="1">
      <c r="A58" s="2">
        <v>3.0</v>
      </c>
      <c r="B58" s="2" t="s">
        <v>240</v>
      </c>
      <c r="C58" s="2" t="s">
        <v>241</v>
      </c>
      <c r="D58" s="2" t="s">
        <v>43</v>
      </c>
      <c r="E58" s="2" t="s">
        <v>14</v>
      </c>
      <c r="F58" s="2" t="s">
        <v>15</v>
      </c>
      <c r="G58" s="2" t="s">
        <v>242</v>
      </c>
      <c r="H58" s="2" t="s">
        <v>99</v>
      </c>
      <c r="I58" s="2" t="str">
        <f>IFERROR(__xludf.DUMMYFUNCTION("GOOGLETRANSLATE(C58,""fr"",""en"")"),"Satisfied with the service, a good reception set quickly with charming reception hostess I will surely pair a good value for money.")</f>
        <v>Satisfied with the service, a good reception set quickly with charming reception hostess I will surely pair a good value for money.</v>
      </c>
    </row>
    <row r="59" ht="15.75" customHeight="1">
      <c r="A59" s="2">
        <v>4.0</v>
      </c>
      <c r="B59" s="2" t="s">
        <v>243</v>
      </c>
      <c r="C59" s="2" t="s">
        <v>244</v>
      </c>
      <c r="D59" s="2" t="s">
        <v>43</v>
      </c>
      <c r="E59" s="2" t="s">
        <v>14</v>
      </c>
      <c r="F59" s="2" t="s">
        <v>15</v>
      </c>
      <c r="G59" s="2" t="s">
        <v>245</v>
      </c>
      <c r="H59" s="2" t="s">
        <v>217</v>
      </c>
      <c r="I59" s="2" t="str">
        <f>IFERROR(__xludf.DUMMYFUNCTION("GOOGLETRANSLATE(C59,""fr"",""en"")"),"I am satisfied with the service
simple and fast
The prices are correct and the after -sales service managed to guide me to finalize my contract
I highly recommend your insurance")</f>
        <v>I am satisfied with the service
simple and fast
The prices are correct and the after -sales service managed to guide me to finalize my contract
I highly recommend your insurance</v>
      </c>
    </row>
    <row r="60" ht="15.75" customHeight="1">
      <c r="A60" s="2">
        <v>1.0</v>
      </c>
      <c r="B60" s="2" t="s">
        <v>246</v>
      </c>
      <c r="C60" s="2" t="s">
        <v>247</v>
      </c>
      <c r="D60" s="2" t="s">
        <v>106</v>
      </c>
      <c r="E60" s="2" t="s">
        <v>85</v>
      </c>
      <c r="F60" s="2" t="s">
        <v>15</v>
      </c>
      <c r="G60" s="2" t="s">
        <v>248</v>
      </c>
      <c r="H60" s="2" t="s">
        <v>135</v>
      </c>
      <c r="I60" s="2" t="str">
        <f>IFERROR(__xludf.DUMMYFUNCTION("GOOGLETRANSLATE(C60,""fr"",""en"")"),"Important Water Damage March 2017 / Expertise and against expertise in my favor! Still not reimbursed! It will be 2 years! It goes to the TGI on 12/18, before, I contacted their legal service to which I had taken out a contract for a long time, they give "&amp;"me reason, but we a little the future between 2 chairs: and yes it is the same Group (error on my part) Pacifica to flee absolutely!")</f>
        <v>Important Water Damage March 2017 / Expertise and against expertise in my favor! Still not reimbursed! It will be 2 years! It goes to the TGI on 12/18, before, I contacted their legal service to which I had taken out a contract for a long time, they give me reason, but we a little the future between 2 chairs: and yes it is the same Group (error on my part) Pacifica to flee absolutely!</v>
      </c>
    </row>
    <row r="61" ht="15.75" customHeight="1">
      <c r="A61" s="2">
        <v>3.0</v>
      </c>
      <c r="B61" s="2" t="s">
        <v>249</v>
      </c>
      <c r="C61" s="2" t="s">
        <v>250</v>
      </c>
      <c r="D61" s="2" t="s">
        <v>55</v>
      </c>
      <c r="E61" s="2" t="s">
        <v>56</v>
      </c>
      <c r="F61" s="2" t="s">
        <v>15</v>
      </c>
      <c r="G61" s="2" t="s">
        <v>251</v>
      </c>
      <c r="H61" s="2" t="s">
        <v>99</v>
      </c>
      <c r="I61" s="2" t="str">
        <f>IFERROR(__xludf.DUMMYFUNCTION("GOOGLETRANSLATE(C61,""fr"",""en"")"),"I am satisfied with the quote and the speed of the execution of my insurance contract.
Ideal competitive price for young driver who wishes to find insurance not too expensive.
Cordially")</f>
        <v>I am satisfied with the quote and the speed of the execution of my insurance contract.
Ideal competitive price for young driver who wishes to find insurance not too expensive.
Cordially</v>
      </c>
    </row>
    <row r="62" ht="15.75" customHeight="1">
      <c r="A62" s="2">
        <v>2.0</v>
      </c>
      <c r="B62" s="2" t="s">
        <v>252</v>
      </c>
      <c r="C62" s="2" t="s">
        <v>253</v>
      </c>
      <c r="D62" s="2" t="s">
        <v>183</v>
      </c>
      <c r="E62" s="2" t="s">
        <v>14</v>
      </c>
      <c r="F62" s="2" t="s">
        <v>15</v>
      </c>
      <c r="G62" s="2" t="s">
        <v>254</v>
      </c>
      <c r="H62" s="2" t="s">
        <v>52</v>
      </c>
      <c r="I62" s="2" t="str">
        <f>IFERROR(__xludf.DUMMYFUNCTION("GOOGLETRANSLATE(C62,""fr"",""en"")"),"Zeros, no one three weeks that ballad me to reimburse me too perceived after termination and still days, to flee. When you call them come across a platform where they always answer you the same answers.")</f>
        <v>Zeros, no one three weeks that ballad me to reimburse me too perceived after termination and still days, to flee. When you call them come across a platform where they always answer you the same answers.</v>
      </c>
    </row>
    <row r="63" ht="15.75" customHeight="1">
      <c r="A63" s="2">
        <v>4.0</v>
      </c>
      <c r="B63" s="2" t="s">
        <v>255</v>
      </c>
      <c r="C63" s="2" t="s">
        <v>256</v>
      </c>
      <c r="D63" s="2" t="s">
        <v>43</v>
      </c>
      <c r="E63" s="2" t="s">
        <v>14</v>
      </c>
      <c r="F63" s="2" t="s">
        <v>15</v>
      </c>
      <c r="G63" s="2" t="s">
        <v>257</v>
      </c>
      <c r="H63" s="2" t="s">
        <v>192</v>
      </c>
      <c r="I63" s="2" t="str">
        <f>IFERROR(__xludf.DUMMYFUNCTION("GOOGLETRANSLATE(C63,""fr"",""en"")"),", when we call the advisers are very responsive. The prices are very attractive compared to my old insurance. Unfortunately I have already had a disaster victim with another car and the advisers was very responsive for the procedures
")</f>
        <v>, when we call the advisers are very responsive. The prices are very attractive compared to my old insurance. Unfortunately I have already had a disaster victim with another car and the advisers was very responsive for the procedures
</v>
      </c>
    </row>
    <row r="64" ht="15.75" customHeight="1">
      <c r="A64" s="2">
        <v>4.0</v>
      </c>
      <c r="B64" s="2" t="s">
        <v>258</v>
      </c>
      <c r="C64" s="2" t="s">
        <v>259</v>
      </c>
      <c r="D64" s="2" t="s">
        <v>13</v>
      </c>
      <c r="E64" s="2" t="s">
        <v>14</v>
      </c>
      <c r="F64" s="2" t="s">
        <v>15</v>
      </c>
      <c r="G64" s="2" t="s">
        <v>260</v>
      </c>
      <c r="H64" s="2" t="s">
        <v>146</v>
      </c>
      <c r="I64" s="2" t="str">
        <f>IFERROR(__xludf.DUMMYFUNCTION("GOOGLETRANSLATE(C64,""fr"",""en"")"),"I am satisfied with the service and the price and a can dear for a customer already assure you but hey it's simple and practical I want you to make a commercial gesture")</f>
        <v>I am satisfied with the service and the price and a can dear for a customer already assure you but hey it's simple and practical I want you to make a commercial gesture</v>
      </c>
    </row>
    <row r="65" ht="15.75" customHeight="1">
      <c r="A65" s="2">
        <v>1.0</v>
      </c>
      <c r="B65" s="2" t="s">
        <v>261</v>
      </c>
      <c r="C65" s="2" t="s">
        <v>262</v>
      </c>
      <c r="D65" s="2" t="s">
        <v>13</v>
      </c>
      <c r="E65" s="2" t="s">
        <v>14</v>
      </c>
      <c r="F65" s="2" t="s">
        <v>15</v>
      </c>
      <c r="G65" s="2" t="s">
        <v>263</v>
      </c>
      <c r="H65" s="2" t="s">
        <v>264</v>
      </c>
      <c r="I65" s="2" t="str">
        <f>IFERROR(__xludf.DUMMYFUNCTION("GOOGLETRANSLATE(C65,""fr"",""en"")"),"Insured for 20 years by this company, here I am confronted with a serious communication problem with customer service! For info I have already ended my home insurance contract simply because of the proven and recognized incompetence of customer advisers, "&amp;"who absolutely do not bother to listen but just to recite a script than They learned by heart! Although no longer insured for my home, I still wanted to keep my car insurance. Indeed I had so far no reason to change it since everything is rolling. That sa"&amp;"id, I never had to declare any claim in 20 years, it's all benefit for them! I remain faithful even if each year my subscription increases and there is no shortage of proposals for competition. Today what is the subject of my dissatisfaction is just the b"&amp;"ad will that customer service informs. I lost the gray card of my insured vehicle, and given the new administrative provisions, all steps must be done via the Ants site because the prefectures counters are now closed. However, as everyone knows, apart fro"&amp;"m direct insurance customer service apparently, the site works very badly and it is impossible to access administrative files in many cases. I therefore inquired with the police service who advised me to call on my insurance company which necessarily has "&amp;"a copy of my gray card and which should be able to provide me with a copy. Only here, even as simple as that and with all the possible explanations, customer service does not even answer me .... or just to ask me to contact them by phone to give them expl"&amp;"anations !!!! We walk on the head, because the explanations are already given clearly and in addition via the secure site of my insured account (so it cannot even be a concern for identification). In short, I reiterate my request by email and in response "&amp;"to this email which asks me to call and of course, now it is radio silence, we no longer even bother to answer me .... it is however Not complicated to access a customer file and kindly send it a document copy no ??? You have to believe that yes and that "&amp;"once again everything is done to push the customer to terminate his contract. So that's why I strongly advise against this company, which is completely contemptuous and incompetent just to transmit a simple document .... I do not even imagine what it will"&amp;" give if it was a sinister !!! For me an insurance company must be present and ready to do a service to the customer, whether it is a disaster or any other service in the field of skills .... but hey Competence and service words seem to have become distan"&amp;"t memories of them !!!")</f>
        <v>Insured for 20 years by this company, here I am confronted with a serious communication problem with customer service! For info I have already ended my home insurance contract simply because of the proven and recognized incompetence of customer advisers, who absolutely do not bother to listen but just to recite a script than They learned by heart! Although no longer insured for my home, I still wanted to keep my car insurance. Indeed I had so far no reason to change it since everything is rolling. That said, I never had to declare any claim in 20 years, it's all benefit for them! I remain faithful even if each year my subscription increases and there is no shortage of proposals for competition. Today what is the subject of my dissatisfaction is just the bad will that customer service informs. I lost the gray card of my insured vehicle, and given the new administrative provisions, all steps must be done via the Ants site because the prefectures counters are now closed. However, as everyone knows, apart from direct insurance customer service apparently, the site works very badly and it is impossible to access administrative files in many cases. I therefore inquired with the police service who advised me to call on my insurance company which necessarily has a copy of my gray card and which should be able to provide me with a copy. Only here, even as simple as that and with all the possible explanations, customer service does not even answer me .... or just to ask me to contact them by phone to give them explanations !!!! We walk on the head, because the explanations are already given clearly and in addition via the secure site of my insured account (so it cannot even be a concern for identification). In short, I reiterate my request by email and in response to this email which asks me to call and of course, now it is radio silence, we no longer even bother to answer me .... it is however Not complicated to access a customer file and kindly send it a document copy no ??? You have to believe that yes and that once again everything is done to push the customer to terminate his contract. So that's why I strongly advise against this company, which is completely contemptuous and incompetent just to transmit a simple document .... I do not even imagine what it will give if it was a sinister !!! For me an insurance company must be present and ready to do a service to the customer, whether it is a disaster or any other service in the field of skills .... but hey Competence and service words seem to have become distant memories of them !!!</v>
      </c>
    </row>
    <row r="66" ht="15.75" customHeight="1">
      <c r="A66" s="2">
        <v>3.0</v>
      </c>
      <c r="B66" s="2" t="s">
        <v>265</v>
      </c>
      <c r="C66" s="2" t="s">
        <v>266</v>
      </c>
      <c r="D66" s="2" t="s">
        <v>156</v>
      </c>
      <c r="E66" s="2" t="s">
        <v>14</v>
      </c>
      <c r="F66" s="2" t="s">
        <v>15</v>
      </c>
      <c r="G66" s="2" t="s">
        <v>267</v>
      </c>
      <c r="H66" s="2" t="s">
        <v>268</v>
      </c>
      <c r="I66" s="2" t="str">
        <f>IFERROR(__xludf.DUMMYFUNCTION("GOOGLETRANSLATE(C66,""fr"",""en"")"),"A loss responsible on one of my vehicles in 7 years and he terminated me the contract of the vehicle in question I still have a car at 0.50 plus 2 and the motorcycle at 0.50 plus 1 as well as the house ben I go elsewhere with all my contracts they believe"&amp;" Whatever I will provide my car disaster -stricken and kept my contracts without sinister at home Pfuu is how we break your mouth in the long term.")</f>
        <v>A loss responsible on one of my vehicles in 7 years and he terminated me the contract of the vehicle in question I still have a car at 0.50 plus 2 and the motorcycle at 0.50 plus 1 as well as the house ben I go elsewhere with all my contracts they believe Whatever I will provide my car disaster -stricken and kept my contracts without sinister at home Pfuu is how we break your mouth in the long term.</v>
      </c>
    </row>
    <row r="67" ht="15.75" customHeight="1">
      <c r="A67" s="2">
        <v>4.0</v>
      </c>
      <c r="B67" s="2" t="s">
        <v>269</v>
      </c>
      <c r="C67" s="2" t="s">
        <v>270</v>
      </c>
      <c r="D67" s="2" t="s">
        <v>97</v>
      </c>
      <c r="E67" s="2" t="s">
        <v>56</v>
      </c>
      <c r="F67" s="2" t="s">
        <v>15</v>
      </c>
      <c r="G67" s="2" t="s">
        <v>271</v>
      </c>
      <c r="H67" s="2" t="s">
        <v>272</v>
      </c>
      <c r="I67" s="2" t="str">
        <f>IFERROR(__xludf.DUMMYFUNCTION("GOOGLETRANSLATE(C67,""fr"",""en"")"),"Hello customer for a very long time and very satisfied, insure the age of 17 and today 49 years old with an 883 even to reach the phone it's easy thank you to the AMV team")</f>
        <v>Hello customer for a very long time and very satisfied, insure the age of 17 and today 49 years old with an 883 even to reach the phone it's easy thank you to the AMV team</v>
      </c>
    </row>
    <row r="68" ht="15.75" customHeight="1">
      <c r="A68" s="2">
        <v>1.0</v>
      </c>
      <c r="B68" s="2" t="s">
        <v>273</v>
      </c>
      <c r="C68" s="2" t="s">
        <v>274</v>
      </c>
      <c r="D68" s="2" t="s">
        <v>116</v>
      </c>
      <c r="E68" s="2" t="s">
        <v>35</v>
      </c>
      <c r="F68" s="2" t="s">
        <v>15</v>
      </c>
      <c r="G68" s="2" t="s">
        <v>275</v>
      </c>
      <c r="H68" s="2" t="s">
        <v>236</v>
      </c>
      <c r="I68" s="2" t="str">
        <f>IFERROR(__xludf.DUMMYFUNCTION("GOOGLETRANSLATE(C68,""fr"",""en"")"),"Very big problems in this mutual: repeated losses of reimbursement requests, health professionals who welcome you by making the head or unpleasant comments when they see that you are at MGEN. I was fed up and I am now in Le Mage with their foresight. Refu"&amp;"nds are always in 48 hours and I pay less with much better health coverage. I regret not having left before!")</f>
        <v>Very big problems in this mutual: repeated losses of reimbursement requests, health professionals who welcome you by making the head or unpleasant comments when they see that you are at MGEN. I was fed up and I am now in Le Mage with their foresight. Refunds are always in 48 hours and I pay less with much better health coverage. I regret not having left before!</v>
      </c>
    </row>
    <row r="69" ht="15.75" customHeight="1">
      <c r="A69" s="2">
        <v>5.0</v>
      </c>
      <c r="B69" s="2" t="s">
        <v>276</v>
      </c>
      <c r="C69" s="2" t="s">
        <v>277</v>
      </c>
      <c r="D69" s="2" t="s">
        <v>278</v>
      </c>
      <c r="E69" s="2" t="s">
        <v>14</v>
      </c>
      <c r="F69" s="2" t="s">
        <v>15</v>
      </c>
      <c r="G69" s="2" t="s">
        <v>279</v>
      </c>
      <c r="H69" s="2" t="s">
        <v>52</v>
      </c>
      <c r="I69" s="2" t="str">
        <f>IFERROR(__xludf.DUMMYFUNCTION("GOOGLETRANSLATE(C69,""fr"",""en"")"),"Insurance proposal, adapted to a particular vehicle, made by listening professionals and very attentive to my special requests. Thank you")</f>
        <v>Insurance proposal, adapted to a particular vehicle, made by listening professionals and very attentive to my special requests. Thank you</v>
      </c>
    </row>
    <row r="70" ht="15.75" customHeight="1">
      <c r="A70" s="2">
        <v>1.0</v>
      </c>
      <c r="B70" s="2" t="s">
        <v>280</v>
      </c>
      <c r="C70" s="2" t="s">
        <v>281</v>
      </c>
      <c r="D70" s="2" t="s">
        <v>24</v>
      </c>
      <c r="E70" s="2" t="s">
        <v>112</v>
      </c>
      <c r="F70" s="2" t="s">
        <v>15</v>
      </c>
      <c r="G70" s="2" t="s">
        <v>282</v>
      </c>
      <c r="H70" s="2" t="s">
        <v>283</v>
      </c>
      <c r="I70" s="2" t="str">
        <f>IFERROR(__xludf.DUMMYFUNCTION("GOOGLETRANSLATE(C70,""fr"",""en"")"),"Like all of you I join the abandoned insured club, betrayed by Cardif !!! In 2014 the verdict fell: I am in disability after long months of sick leave ... I tell myself that she is lucky to have borrower insurance! And the .... I no longer count the hours"&amp;" and the recommended on several occasions in order to obtain my payments! And this several times a year. For the past year I have been in dispute because they wanted to assess me, I am not against quite the contrary, but 7 months pregnant they wanted to s"&amp;"end me to 250km from months when I live in the 6th city of France! 1 month after my delivery I go to a doctor who is so -called expert ... my eye a bureaucrat graciously paid by insurance which does not know anything about my pathology and which allows it"&amp;"self to conclude on a rate of invalidity below 5%. Like you, I therefore received the famous mail indicating that Cardif stopped the payments. While the MDPH and the Société recognize me A + 66%, in category 2, Cardif does not take it into account and rel"&amp;"ies only to this so -called expert !!! What is his competence to define a disability rate ??? Any ! My specialist who follows me and who is the French referent for my pathology writes me a report on my state of health as a counter expertise. Suddenly card"&amp;"if requires arbitration with an expert of their choice and 50% at my expense of course !!! Why ? ""The 2 reports are diametrically opposed"" Oh Deconne? And did you take 2 months to answer for that? I refuse and will do everything to impose a doctor of my"&amp;" choice who knows my pathology: his hell and his daily life The implications on my couple and my family, the heaviness of my treatment, can no longer exercise the profession for which I did 5 years of study and that my parents paid € 20,000 ...
I can not"&amp;" stand it anymore...")</f>
        <v>Like all of you I join the abandoned insured club, betrayed by Cardif !!! In 2014 the verdict fell: I am in disability after long months of sick leave ... I tell myself that she is lucky to have borrower insurance! And the .... I no longer count the hours and the recommended on several occasions in order to obtain my payments! And this several times a year. For the past year I have been in dispute because they wanted to assess me, I am not against quite the contrary, but 7 months pregnant they wanted to send me to 250km from months when I live in the 6th city of France! 1 month after my delivery I go to a doctor who is so -called expert ... my eye a bureaucrat graciously paid by insurance which does not know anything about my pathology and which allows itself to conclude on a rate of invalidity below 5%. Like you, I therefore received the famous mail indicating that Cardif stopped the payments. While the MDPH and the Société recognize me A + 66%, in category 2, Cardif does not take it into account and relies only to this so -called expert !!! What is his competence to define a disability rate ??? Any ! My specialist who follows me and who is the French referent for my pathology writes me a report on my state of health as a counter expertise. Suddenly cardif requires arbitration with an expert of their choice and 50% at my expense of course !!! Why ? "The 2 reports are diametrically opposed" Oh Deconne? And did you take 2 months to answer for that? I refuse and will do everything to impose a doctor of my choice who knows my pathology: his hell and his daily life The implications on my couple and my family, the heaviness of my treatment, can no longer exercise the profession for which I did 5 years of study and that my parents paid € 20,000 ...
I can not stand it anymore...</v>
      </c>
    </row>
    <row r="71" ht="15.75" customHeight="1">
      <c r="A71" s="2">
        <v>5.0</v>
      </c>
      <c r="B71" s="2" t="s">
        <v>284</v>
      </c>
      <c r="C71" s="2" t="s">
        <v>285</v>
      </c>
      <c r="D71" s="2" t="s">
        <v>43</v>
      </c>
      <c r="E71" s="2" t="s">
        <v>14</v>
      </c>
      <c r="F71" s="2" t="s">
        <v>15</v>
      </c>
      <c r="G71" s="2" t="s">
        <v>286</v>
      </c>
      <c r="H71" s="2" t="s">
        <v>166</v>
      </c>
      <c r="I71" s="2" t="str">
        <f>IFERROR(__xludf.DUMMYFUNCTION("GOOGLETRANSLATE(C71,""fr"",""en"")"),"I am very satisfied the price is suitable and the service is simple and effective I recommend it to all my loved ones thank you to the whole team L’Olivier Assurance.")</f>
        <v>I am very satisfied the price is suitable and the service is simple and effective I recommend it to all my loved ones thank you to the whole team L’Olivier Assurance.</v>
      </c>
    </row>
    <row r="72" ht="15.75" customHeight="1">
      <c r="A72" s="2">
        <v>5.0</v>
      </c>
      <c r="B72" s="2" t="s">
        <v>287</v>
      </c>
      <c r="C72" s="2" t="s">
        <v>288</v>
      </c>
      <c r="D72" s="2" t="s">
        <v>34</v>
      </c>
      <c r="E72" s="2" t="s">
        <v>35</v>
      </c>
      <c r="F72" s="2" t="s">
        <v>15</v>
      </c>
      <c r="G72" s="2" t="s">
        <v>289</v>
      </c>
      <c r="H72" s="2" t="s">
        <v>52</v>
      </c>
      <c r="I72" s="2" t="str">
        <f>IFERROR(__xludf.DUMMYFUNCTION("GOOGLETRANSLATE(C72,""fr"",""en"")"),"Hello,
I changed Mutuelle on 01/01/2021. I don't have to complain about it for the moment. After transmission of reimbursement sheets by the health insurance fund, I am reimbursed within 48 hours. Perfect for the moment! Hope it lasts")</f>
        <v>Hello,
I changed Mutuelle on 01/01/2021. I don't have to complain about it for the moment. After transmission of reimbursement sheets by the health insurance fund, I am reimbursed within 48 hours. Perfect for the moment! Hope it lasts</v>
      </c>
    </row>
    <row r="73" ht="15.75" customHeight="1">
      <c r="A73" s="2">
        <v>2.0</v>
      </c>
      <c r="B73" s="2" t="s">
        <v>290</v>
      </c>
      <c r="C73" s="2" t="s">
        <v>291</v>
      </c>
      <c r="D73" s="2" t="s">
        <v>43</v>
      </c>
      <c r="E73" s="2" t="s">
        <v>14</v>
      </c>
      <c r="F73" s="2" t="s">
        <v>15</v>
      </c>
      <c r="G73" s="2" t="s">
        <v>292</v>
      </c>
      <c r="H73" s="2" t="s">
        <v>293</v>
      </c>
      <c r="I73" s="2" t="str">
        <f>IFERROR(__xludf.DUMMYFUNCTION("GOOGLETRANSLATE(C73,""fr"",""en"")"),"Your price is different between the online quote and your final quote that you told me on the phone. Online quote: 242, finally: € 258.28 - not very commercial on your part, especially since I have another vehicle at home.")</f>
        <v>Your price is different between the online quote and your final quote that you told me on the phone. Online quote: 242, finally: € 258.28 - not very commercial on your part, especially since I have another vehicle at home.</v>
      </c>
    </row>
    <row r="74" ht="15.75" customHeight="1">
      <c r="A74" s="2">
        <v>5.0</v>
      </c>
      <c r="B74" s="2" t="s">
        <v>294</v>
      </c>
      <c r="C74" s="2" t="s">
        <v>295</v>
      </c>
      <c r="D74" s="2" t="s">
        <v>55</v>
      </c>
      <c r="E74" s="2" t="s">
        <v>56</v>
      </c>
      <c r="F74" s="2" t="s">
        <v>15</v>
      </c>
      <c r="G74" s="2" t="s">
        <v>296</v>
      </c>
      <c r="H74" s="2" t="s">
        <v>293</v>
      </c>
      <c r="I74" s="2" t="str">
        <f>IFERROR(__xludf.DUMMYFUNCTION("GOOGLETRANSLATE(C74,""fr"",""en"")"),"Reliable and reactive insurance. Quote as accurately. Fluid exchange and quote sent quickly. Perfect I recommend for all including young bikers")</f>
        <v>Reliable and reactive insurance. Quote as accurately. Fluid exchange and quote sent quickly. Perfect I recommend for all including young bikers</v>
      </c>
    </row>
    <row r="75" ht="15.75" customHeight="1">
      <c r="A75" s="2">
        <v>5.0</v>
      </c>
      <c r="B75" s="2" t="s">
        <v>297</v>
      </c>
      <c r="C75" s="2" t="s">
        <v>298</v>
      </c>
      <c r="D75" s="2" t="s">
        <v>97</v>
      </c>
      <c r="E75" s="2" t="s">
        <v>56</v>
      </c>
      <c r="F75" s="2" t="s">
        <v>15</v>
      </c>
      <c r="G75" s="2" t="s">
        <v>299</v>
      </c>
      <c r="H75" s="2" t="s">
        <v>94</v>
      </c>
      <c r="I75" s="2" t="str">
        <f>IFERROR(__xludf.DUMMYFUNCTION("GOOGLETRANSLATE(C75,""fr"",""en"")"),"Insurance with good value for money.")</f>
        <v>Insurance with good value for money.</v>
      </c>
    </row>
    <row r="76" ht="15.75" customHeight="1">
      <c r="A76" s="2">
        <v>3.0</v>
      </c>
      <c r="B76" s="2" t="s">
        <v>300</v>
      </c>
      <c r="C76" s="2" t="s">
        <v>301</v>
      </c>
      <c r="D76" s="2" t="s">
        <v>13</v>
      </c>
      <c r="E76" s="2" t="s">
        <v>14</v>
      </c>
      <c r="F76" s="2" t="s">
        <v>15</v>
      </c>
      <c r="G76" s="2" t="s">
        <v>302</v>
      </c>
      <c r="H76" s="2" t="s">
        <v>99</v>
      </c>
      <c r="I76" s="2" t="str">
        <f>IFERROR(__xludf.DUMMYFUNCTION("GOOGLETRANSLATE(C76,""fr"",""en"")"),"To see in time, if I am satisfied. But the site is easy to use and effective for quotes. The price is affordable, you have to pay attention to everything.")</f>
        <v>To see in time, if I am satisfied. But the site is easy to use and effective for quotes. The price is affordable, you have to pay attention to everything.</v>
      </c>
    </row>
    <row r="77" ht="15.75" customHeight="1">
      <c r="A77" s="2">
        <v>4.0</v>
      </c>
      <c r="B77" s="2" t="s">
        <v>303</v>
      </c>
      <c r="C77" s="2" t="s">
        <v>304</v>
      </c>
      <c r="D77" s="2" t="s">
        <v>43</v>
      </c>
      <c r="E77" s="2" t="s">
        <v>14</v>
      </c>
      <c r="F77" s="2" t="s">
        <v>15</v>
      </c>
      <c r="G77" s="2" t="s">
        <v>305</v>
      </c>
      <c r="H77" s="2" t="s">
        <v>217</v>
      </c>
      <c r="I77" s="2" t="str">
        <f>IFERROR(__xludf.DUMMYFUNCTION("GOOGLETRANSLATE(C77,""fr"",""en"")"),"Happy with the value for money, the ease of subscription and the speed of sending documents. I have obviously not yet been able to test the various services and options (troubleshooting etc).")</f>
        <v>Happy with the value for money, the ease of subscription and the speed of sending documents. I have obviously not yet been able to test the various services and options (troubleshooting etc).</v>
      </c>
    </row>
    <row r="78" ht="15.75" customHeight="1">
      <c r="A78" s="2">
        <v>3.0</v>
      </c>
      <c r="B78" s="2" t="s">
        <v>306</v>
      </c>
      <c r="C78" s="2" t="s">
        <v>307</v>
      </c>
      <c r="D78" s="2" t="s">
        <v>308</v>
      </c>
      <c r="E78" s="2" t="s">
        <v>14</v>
      </c>
      <c r="F78" s="2" t="s">
        <v>15</v>
      </c>
      <c r="G78" s="2" t="s">
        <v>309</v>
      </c>
      <c r="H78" s="2" t="s">
        <v>16</v>
      </c>
      <c r="I78" s="2" t="str">
        <f>IFERROR(__xludf.DUMMYFUNCTION("GOOGLETRANSLATE(C78,""fr"",""en"")"),"Since the merger with Allsecur, it is lamentable, they are unreachable by phone you send them emails either they do not answer or next to them, I have been waiting for an information statement for a week and other information concerning my contracts, that"&amp;" no response.
Run away..")</f>
        <v>Since the merger with Allsecur, it is lamentable, they are unreachable by phone you send them emails either they do not answer or next to them, I have been waiting for an information statement for a week and other information concerning my contracts, that no response.
Run away..</v>
      </c>
    </row>
    <row r="79" ht="15.75" customHeight="1">
      <c r="A79" s="2">
        <v>1.0</v>
      </c>
      <c r="B79" s="2" t="s">
        <v>310</v>
      </c>
      <c r="C79" s="2" t="s">
        <v>311</v>
      </c>
      <c r="D79" s="2" t="s">
        <v>13</v>
      </c>
      <c r="E79" s="2" t="s">
        <v>14</v>
      </c>
      <c r="F79" s="2" t="s">
        <v>15</v>
      </c>
      <c r="G79" s="2" t="s">
        <v>312</v>
      </c>
      <c r="H79" s="2" t="s">
        <v>313</v>
      </c>
      <c r="I79" s="2" t="str">
        <f>IFERROR(__xludf.DUMMYFUNCTION("GOOGLETRANSLATE(C79,""fr"",""en"")"),"Hello I sold my vehicle without buying another end of June 2020 since despite the phone calls I always wait for my refund it's 3 months !!!! They sent me a check when I had reported to them in my letter of termination that I was no longer in France I had "&amp;"to do a letter of withdrawal for the check and that I send them for the 3rd time my rib at Bout of a month I recall customer service and he announces to me that he has reimbursed me since July 21, 2020 and I have not received anything. After several calls"&amp;" they teach me that they have made an account error and that I must wait until the person reimburses them so that I can receive my money - today they made me the same answer so I do What I have prayed to them, that is to say to warn customers and future o"&amp;"f their action - tomorrow I seized the public prosecutor so that they pay and I hope that justice will protect us")</f>
        <v>Hello I sold my vehicle without buying another end of June 2020 since despite the phone calls I always wait for my refund it's 3 months !!!! They sent me a check when I had reported to them in my letter of termination that I was no longer in France I had to do a letter of withdrawal for the check and that I send them for the 3rd time my rib at Bout of a month I recall customer service and he announces to me that he has reimbursed me since July 21, 2020 and I have not received anything. After several calls they teach me that they have made an account error and that I must wait until the person reimburses them so that I can receive my money - today they made me the same answer so I do What I have prayed to them, that is to say to warn customers and future of their action - tomorrow I seized the public prosecutor so that they pay and I hope that justice will protect us</v>
      </c>
    </row>
    <row r="80" ht="15.75" customHeight="1">
      <c r="A80" s="2">
        <v>1.0</v>
      </c>
      <c r="B80" s="2" t="s">
        <v>314</v>
      </c>
      <c r="C80" s="2" t="s">
        <v>315</v>
      </c>
      <c r="D80" s="2" t="s">
        <v>316</v>
      </c>
      <c r="E80" s="2" t="s">
        <v>317</v>
      </c>
      <c r="F80" s="2" t="s">
        <v>15</v>
      </c>
      <c r="G80" s="2" t="s">
        <v>318</v>
      </c>
      <c r="H80" s="2" t="s">
        <v>319</v>
      </c>
      <c r="I80" s="2" t="str">
        <f>IFERROR(__xludf.DUMMYFUNCTION("GOOGLETRANSLATE(C80,""fr"",""en"")"),"In work stopping since May 14, 2018, still no compensation regulations, inadmissible !!! I call every week to know the progress of my file ... I am told that it is being processed ... it's been 10 months since I wait ... There is a big concern in this ins"&amp;"urance ... I do not at all recommend taking a contract with them !!! He does not respect them and don't care if customers need their money ...")</f>
        <v>In work stopping since May 14, 2018, still no compensation regulations, inadmissible !!! I call every week to know the progress of my file ... I am told that it is being processed ... it's been 10 months since I wait ... There is a big concern in this insurance ... I do not at all recommend taking a contract with them !!! He does not respect them and don't care if customers need their money ...</v>
      </c>
    </row>
    <row r="81" ht="15.75" customHeight="1">
      <c r="A81" s="2">
        <v>4.0</v>
      </c>
      <c r="B81" s="2" t="s">
        <v>320</v>
      </c>
      <c r="C81" s="2" t="s">
        <v>321</v>
      </c>
      <c r="D81" s="2" t="s">
        <v>13</v>
      </c>
      <c r="E81" s="2" t="s">
        <v>14</v>
      </c>
      <c r="F81" s="2" t="s">
        <v>15</v>
      </c>
      <c r="G81" s="2" t="s">
        <v>322</v>
      </c>
      <c r="H81" s="2" t="s">
        <v>52</v>
      </c>
      <c r="I81" s="2" t="str">
        <f>IFERROR(__xludf.DUMMYFUNCTION("GOOGLETRANSLATE(C81,""fr"",""en"")"),"Services and prices are satisfactory for simple insurance, you should be able to personalize the offers a little more. But I recommend direct insurance to those around me.")</f>
        <v>Services and prices are satisfactory for simple insurance, you should be able to personalize the offers a little more. But I recommend direct insurance to those around me.</v>
      </c>
    </row>
    <row r="82" ht="15.75" customHeight="1">
      <c r="A82" s="2">
        <v>4.0</v>
      </c>
      <c r="B82" s="2" t="s">
        <v>323</v>
      </c>
      <c r="C82" s="2" t="s">
        <v>324</v>
      </c>
      <c r="D82" s="2" t="s">
        <v>43</v>
      </c>
      <c r="E82" s="2" t="s">
        <v>14</v>
      </c>
      <c r="F82" s="2" t="s">
        <v>15</v>
      </c>
      <c r="G82" s="2" t="s">
        <v>325</v>
      </c>
      <c r="H82" s="2" t="s">
        <v>99</v>
      </c>
      <c r="I82" s="2" t="str">
        <f>IFERROR(__xludf.DUMMYFUNCTION("GOOGLETRANSLATE(C82,""fr"",""en"")"),"As a young driver I did not find any insurance offering such a low price ...
I am very satisfied for the moment, the people I was able to talk to on the phone were very professional.
I recommend")</f>
        <v>As a young driver I did not find any insurance offering such a low price ...
I am very satisfied for the moment, the people I was able to talk to on the phone were very professional.
I recommend</v>
      </c>
    </row>
    <row r="83" ht="15.75" customHeight="1">
      <c r="A83" s="2">
        <v>5.0</v>
      </c>
      <c r="B83" s="2" t="s">
        <v>326</v>
      </c>
      <c r="C83" s="2" t="s">
        <v>327</v>
      </c>
      <c r="D83" s="2" t="s">
        <v>220</v>
      </c>
      <c r="E83" s="2" t="s">
        <v>35</v>
      </c>
      <c r="F83" s="2" t="s">
        <v>15</v>
      </c>
      <c r="G83" s="2" t="s">
        <v>328</v>
      </c>
      <c r="H83" s="2" t="s">
        <v>131</v>
      </c>
      <c r="I83" s="2" t="str">
        <f>IFERROR(__xludf.DUMMYFUNCTION("GOOGLETRANSLATE(C83,""fr"",""en"")"),"Very good value for money and no indexing for 2021, I received a letter to tell us that we will not have indexing, this is very good news ...
")</f>
        <v>Very good value for money and no indexing for 2021, I received a letter to tell us that we will not have indexing, this is very good news ...
</v>
      </c>
    </row>
    <row r="84" ht="15.75" customHeight="1">
      <c r="A84" s="2">
        <v>1.0</v>
      </c>
      <c r="B84" s="2" t="s">
        <v>329</v>
      </c>
      <c r="C84" s="2" t="s">
        <v>330</v>
      </c>
      <c r="D84" s="2" t="s">
        <v>43</v>
      </c>
      <c r="E84" s="2" t="s">
        <v>14</v>
      </c>
      <c r="F84" s="2" t="s">
        <v>15</v>
      </c>
      <c r="G84" s="2" t="s">
        <v>331</v>
      </c>
      <c r="H84" s="2" t="s">
        <v>166</v>
      </c>
      <c r="I84" s="2" t="str">
        <f>IFERROR(__xludf.DUMMYFUNCTION("GOOGLETRANSLATE(C84,""fr"",""en"")"),"My experience with this insurer leaves me very bitter.
I call to ensure a company vehicle. The television that I have on the phone tells me that it is possible. When I call back during the day to request an invoice in the name of my societity, I am tol"&amp;"d the opposite. I travel to the post the same day and pay a RAR to terminate. I am reimbursed not only after the legal deadline (and I had to revive!) But in addition not the entire amount.")</f>
        <v>My experience with this insurer leaves me very bitter.
I call to ensure a company vehicle. The television that I have on the phone tells me that it is possible. When I call back during the day to request an invoice in the name of my societity, I am told the opposite. I travel to the post the same day and pay a RAR to terminate. I am reimbursed not only after the legal deadline (and I had to revive!) But in addition not the entire amount.</v>
      </c>
    </row>
    <row r="85" ht="15.75" customHeight="1">
      <c r="A85" s="2">
        <v>5.0</v>
      </c>
      <c r="B85" s="2" t="s">
        <v>332</v>
      </c>
      <c r="C85" s="2" t="s">
        <v>333</v>
      </c>
      <c r="D85" s="2" t="s">
        <v>43</v>
      </c>
      <c r="E85" s="2" t="s">
        <v>14</v>
      </c>
      <c r="F85" s="2" t="s">
        <v>15</v>
      </c>
      <c r="G85" s="2" t="s">
        <v>334</v>
      </c>
      <c r="H85" s="2" t="s">
        <v>335</v>
      </c>
      <c r="I85" s="2" t="str">
        <f>IFERROR(__xludf.DUMMYFUNCTION("GOOGLETRANSLATE(C85,""fr"",""en"")"),"I contacted the olive tree following a termination of my contract by my previous insurer, the BPO Assurances (Reason: 3 claims responsible in 2 years, while I was the customer of this insurer for more than 20 years without No responsible disaster). It was"&amp;" the Les Furets.com site that indicated this insurer for me for its reasonable prices. In the first contact (by internet), I was pleasantly surprised by the impartiality and the seriousness of this insurer, which prompted me to conclude the contract.")</f>
        <v>I contacted the olive tree following a termination of my contract by my previous insurer, the BPO Assurances (Reason: 3 claims responsible in 2 years, while I was the customer of this insurer for more than 20 years without No responsible disaster). It was the Les Furets.com site that indicated this insurer for me for its reasonable prices. In the first contact (by internet), I was pleasantly surprised by the impartiality and the seriousness of this insurer, which prompted me to conclude the contract.</v>
      </c>
    </row>
    <row r="86" ht="15.75" customHeight="1">
      <c r="A86" s="2">
        <v>1.0</v>
      </c>
      <c r="B86" s="2" t="s">
        <v>336</v>
      </c>
      <c r="C86" s="2" t="s">
        <v>337</v>
      </c>
      <c r="D86" s="2" t="s">
        <v>338</v>
      </c>
      <c r="E86" s="2" t="s">
        <v>144</v>
      </c>
      <c r="F86" s="2" t="s">
        <v>15</v>
      </c>
      <c r="G86" s="2" t="s">
        <v>339</v>
      </c>
      <c r="H86" s="2" t="s">
        <v>313</v>
      </c>
      <c r="I86" s="2" t="str">
        <f>IFERROR(__xludf.DUMMYFUNCTION("GOOGLETRANSLATE(C86,""fr"",""en"")"),"This insurance company has a way of interpreting contracts in its favor! Insured for several years at Santevet I strongly advise against ensuring at home, no discussion possible and poor will to distinguish between an accident and a congenital pathology w"&amp;"hich allows them not to compensate their client!")</f>
        <v>This insurance company has a way of interpreting contracts in its favor! Insured for several years at Santevet I strongly advise against ensuring at home, no discussion possible and poor will to distinguish between an accident and a congenital pathology which allows them not to compensate their client!</v>
      </c>
    </row>
    <row r="87" ht="15.75" customHeight="1">
      <c r="A87" s="2">
        <v>4.0</v>
      </c>
      <c r="B87" s="2" t="s">
        <v>340</v>
      </c>
      <c r="C87" s="2" t="s">
        <v>341</v>
      </c>
      <c r="D87" s="2" t="s">
        <v>308</v>
      </c>
      <c r="E87" s="2" t="s">
        <v>14</v>
      </c>
      <c r="F87" s="2" t="s">
        <v>15</v>
      </c>
      <c r="G87" s="2" t="s">
        <v>342</v>
      </c>
      <c r="H87" s="2" t="s">
        <v>87</v>
      </c>
      <c r="I87" s="2" t="str">
        <f>IFERROR(__xludf.DUMMYFUNCTION("GOOGLETRANSLATE(C87,""fr"",""en"")"),"Hello I would just like information, how long it takes Allianz to repay a vehicle following the flight and find burning ensures any risk because I found a car and I would need the money for compensation as soon as possible because I can't redo credit than"&amp;"k you")</f>
        <v>Hello I would just like information, how long it takes Allianz to repay a vehicle following the flight and find burning ensures any risk because I found a car and I would need the money for compensation as soon as possible because I can't redo credit thank you</v>
      </c>
    </row>
    <row r="88" ht="15.75" customHeight="1">
      <c r="A88" s="2">
        <v>4.0</v>
      </c>
      <c r="B88" s="2" t="s">
        <v>343</v>
      </c>
      <c r="C88" s="2" t="s">
        <v>344</v>
      </c>
      <c r="D88" s="2" t="s">
        <v>345</v>
      </c>
      <c r="E88" s="2" t="s">
        <v>35</v>
      </c>
      <c r="F88" s="2" t="s">
        <v>15</v>
      </c>
      <c r="G88" s="2" t="s">
        <v>346</v>
      </c>
      <c r="H88" s="2" t="s">
        <v>166</v>
      </c>
      <c r="I88" s="2" t="str">
        <f>IFERROR(__xludf.DUMMYFUNCTION("GOOGLETRANSLATE(C88,""fr"",""en"")"),"The functionality that prevents copy/paste a password is very annoying since it encourages to create low passwords instead of allowing a generation with a password manager. It is a shame because the subscriber space contains personal data that deserves im"&amp;"possible passwords to guess.
If not with regard to the mutual part, I am very satisfied, I have always had reactive and attentive interlocutors, and I never had to negotiate in terms of my rights. The change of password apart, I am very satisfied.")</f>
        <v>The functionality that prevents copy/paste a password is very annoying since it encourages to create low passwords instead of allowing a generation with a password manager. It is a shame because the subscriber space contains personal data that deserves impossible passwords to guess.
If not with regard to the mutual part, I am very satisfied, I have always had reactive and attentive interlocutors, and I never had to negotiate in terms of my rights. The change of password apart, I am very satisfied.</v>
      </c>
    </row>
    <row r="89" ht="15.75" customHeight="1">
      <c r="A89" s="2">
        <v>4.0</v>
      </c>
      <c r="B89" s="2" t="s">
        <v>347</v>
      </c>
      <c r="C89" s="2" t="s">
        <v>348</v>
      </c>
      <c r="D89" s="2" t="s">
        <v>19</v>
      </c>
      <c r="E89" s="2" t="s">
        <v>14</v>
      </c>
      <c r="F89" s="2" t="s">
        <v>15</v>
      </c>
      <c r="G89" s="2" t="s">
        <v>349</v>
      </c>
      <c r="H89" s="2" t="s">
        <v>16</v>
      </c>
      <c r="I89" s="2" t="str">
        <f>IFERROR(__xludf.DUMMYFUNCTION("GOOGLETRANSLATE(C89,""fr"",""en"")"),"Hello,
Despite the accompanied driving followed by my daughter, after 2 years of license without an accident, I find excessive surprise when she leads the vehicle alone.
If the Macif can find me a solution, I have been a faithful member for over 20 year"&amp;"s.
Cordially.
François
")</f>
        <v>Hello,
Despite the accompanied driving followed by my daughter, after 2 years of license without an accident, I find excessive surprise when she leads the vehicle alone.
If the Macif can find me a solution, I have been a faithful member for over 20 years.
Cordially.
François
</v>
      </c>
    </row>
    <row r="90" ht="15.75" customHeight="1">
      <c r="A90" s="2">
        <v>5.0</v>
      </c>
      <c r="B90" s="2" t="s">
        <v>350</v>
      </c>
      <c r="C90" s="2" t="s">
        <v>351</v>
      </c>
      <c r="D90" s="2" t="s">
        <v>352</v>
      </c>
      <c r="E90" s="2" t="s">
        <v>14</v>
      </c>
      <c r="F90" s="2" t="s">
        <v>15</v>
      </c>
      <c r="G90" s="2" t="s">
        <v>353</v>
      </c>
      <c r="H90" s="2" t="s">
        <v>209</v>
      </c>
      <c r="I90" s="2" t="str">
        <f>IFERROR(__xludf.DUMMYFUNCTION("GOOGLETRANSLATE(C90,""fr"",""en"")"),"Very good insurance several problems with the hanging and no worries I validate this insurance I have been at home for more than 15 yearsThe prices are pretty good and at least we see our advisor")</f>
        <v>Very good insurance several problems with the hanging and no worries I validate this insurance I have been at home for more than 15 yearsThe prices are pretty good and at least we see our advisor</v>
      </c>
    </row>
    <row r="91" ht="15.75" customHeight="1">
      <c r="A91" s="2">
        <v>4.0</v>
      </c>
      <c r="B91" s="2" t="s">
        <v>354</v>
      </c>
      <c r="C91" s="2" t="s">
        <v>355</v>
      </c>
      <c r="D91" s="2" t="s">
        <v>34</v>
      </c>
      <c r="E91" s="2" t="s">
        <v>35</v>
      </c>
      <c r="F91" s="2" t="s">
        <v>15</v>
      </c>
      <c r="G91" s="2" t="s">
        <v>356</v>
      </c>
      <c r="H91" s="2" t="s">
        <v>313</v>
      </c>
      <c r="I91" s="2" t="str">
        <f>IFERROR(__xludf.DUMMYFUNCTION("GOOGLETRANSLATE(C91,""fr"",""en"")"),"Petar Tica currently satisfied with rapid and quality service and assistance. I would not change or add anything for the moment. I wish you a good remainder of the day")</f>
        <v>Petar Tica currently satisfied with rapid and quality service and assistance. I would not change or add anything for the moment. I wish you a good remainder of the day</v>
      </c>
    </row>
    <row r="92" ht="15.75" customHeight="1">
      <c r="A92" s="2">
        <v>4.0</v>
      </c>
      <c r="B92" s="2" t="s">
        <v>357</v>
      </c>
      <c r="C92" s="2" t="s">
        <v>358</v>
      </c>
      <c r="D92" s="2" t="s">
        <v>34</v>
      </c>
      <c r="E92" s="2" t="s">
        <v>35</v>
      </c>
      <c r="F92" s="2" t="s">
        <v>15</v>
      </c>
      <c r="G92" s="2" t="s">
        <v>359</v>
      </c>
      <c r="H92" s="2" t="s">
        <v>293</v>
      </c>
      <c r="I92" s="2" t="str">
        <f>IFERROR(__xludf.DUMMYFUNCTION("GOOGLETRANSLATE(C92,""fr"",""en"")"),"Following my connection problem to my customer area I confirm that the reception and the explanations given by Mr Daouda my were very effective as well as the kindness of Mr Daouda")</f>
        <v>Following my connection problem to my customer area I confirm that the reception and the explanations given by Mr Daouda my were very effective as well as the kindness of Mr Daouda</v>
      </c>
    </row>
    <row r="93" ht="15.75" customHeight="1">
      <c r="A93" s="2">
        <v>1.0</v>
      </c>
      <c r="B93" s="2" t="s">
        <v>360</v>
      </c>
      <c r="C93" s="2" t="s">
        <v>361</v>
      </c>
      <c r="D93" s="2" t="s">
        <v>116</v>
      </c>
      <c r="E93" s="2" t="s">
        <v>35</v>
      </c>
      <c r="F93" s="2" t="s">
        <v>15</v>
      </c>
      <c r="G93" s="2" t="s">
        <v>362</v>
      </c>
      <c r="H93" s="2" t="s">
        <v>123</v>
      </c>
      <c r="I93" s="2" t="str">
        <f>IFERROR(__xludf.DUMMYFUNCTION("GOOGLETRANSLATE(C93,""fr"",""en"")"),"I do not do more once a year at the doctor treats me by the plants so I cost 1 pair of telescope per year to the mutual and my son their cost 0 and yet I pay very dear")</f>
        <v>I do not do more once a year at the doctor treats me by the plants so I cost 1 pair of telescope per year to the mutual and my son their cost 0 and yet I pay very dear</v>
      </c>
    </row>
    <row r="94" ht="15.75" customHeight="1">
      <c r="A94" s="2">
        <v>2.0</v>
      </c>
      <c r="B94" s="2" t="s">
        <v>363</v>
      </c>
      <c r="C94" s="2" t="s">
        <v>364</v>
      </c>
      <c r="D94" s="2" t="s">
        <v>365</v>
      </c>
      <c r="E94" s="2" t="s">
        <v>85</v>
      </c>
      <c r="F94" s="2" t="s">
        <v>15</v>
      </c>
      <c r="G94" s="2" t="s">
        <v>366</v>
      </c>
      <c r="H94" s="2" t="s">
        <v>94</v>
      </c>
      <c r="I94" s="2" t="str">
        <f>IFERROR(__xludf.DUMMYFUNCTION("GOOGLETRANSLATE(C94,""fr"",""en"")"),"A very big concern with the maif. I had a disaster observed by expert and the manager refuses to compensate me. Yet on the costing of the expert it is very specified that it owes me to me.")</f>
        <v>A very big concern with the maif. I had a disaster observed by expert and the manager refuses to compensate me. Yet on the costing of the expert it is very specified that it owes me to me.</v>
      </c>
    </row>
    <row r="95" ht="15.75" customHeight="1">
      <c r="A95" s="2">
        <v>1.0</v>
      </c>
      <c r="B95" s="2" t="s">
        <v>367</v>
      </c>
      <c r="C95" s="2" t="s">
        <v>368</v>
      </c>
      <c r="D95" s="2" t="s">
        <v>369</v>
      </c>
      <c r="E95" s="2" t="s">
        <v>35</v>
      </c>
      <c r="F95" s="2" t="s">
        <v>15</v>
      </c>
      <c r="G95" s="2" t="s">
        <v>370</v>
      </c>
      <c r="H95" s="2" t="s">
        <v>371</v>
      </c>
      <c r="I95" s="2" t="str">
        <f>IFERROR(__xludf.DUMMYFUNCTION("GOOGLETRANSLATE(C95,""fr"",""en"")"),"No rigor, do not answer emails, no help during connection difficulties, do not send mutual cards in time, is wrong for transfers, not serious at all!")</f>
        <v>No rigor, do not answer emails, no help during connection difficulties, do not send mutual cards in time, is wrong for transfers, not serious at all!</v>
      </c>
    </row>
    <row r="96" ht="15.75" customHeight="1">
      <c r="A96" s="2">
        <v>1.0</v>
      </c>
      <c r="B96" s="2" t="s">
        <v>372</v>
      </c>
      <c r="C96" s="2" t="s">
        <v>373</v>
      </c>
      <c r="D96" s="2" t="s">
        <v>13</v>
      </c>
      <c r="E96" s="2" t="s">
        <v>14</v>
      </c>
      <c r="F96" s="2" t="s">
        <v>15</v>
      </c>
      <c r="G96" s="2" t="s">
        <v>374</v>
      </c>
      <c r="H96" s="2" t="s">
        <v>68</v>
      </c>
      <c r="I96" s="2" t="str">
        <f>IFERROR(__xludf.DUMMYFUNCTION("GOOGLETRANSLATE(C96,""fr"",""en"")"),"The monitoring and management of claims are very unsatisfactory., Whether in terms of exchanges by telephone and by mail as at the level of the assessment of responsibilities and the imputation of a franchise.")</f>
        <v>The monitoring and management of claims are very unsatisfactory., Whether in terms of exchanges by telephone and by mail as at the level of the assessment of responsibilities and the imputation of a franchise.</v>
      </c>
    </row>
    <row r="97" ht="15.75" customHeight="1">
      <c r="A97" s="2">
        <v>5.0</v>
      </c>
      <c r="B97" s="2" t="s">
        <v>375</v>
      </c>
      <c r="C97" s="2" t="s">
        <v>376</v>
      </c>
      <c r="D97" s="2" t="s">
        <v>55</v>
      </c>
      <c r="E97" s="2" t="s">
        <v>56</v>
      </c>
      <c r="F97" s="2" t="s">
        <v>15</v>
      </c>
      <c r="G97" s="2" t="s">
        <v>377</v>
      </c>
      <c r="H97" s="2" t="s">
        <v>272</v>
      </c>
      <c r="I97" s="2" t="str">
        <f>IFERROR(__xludf.DUMMYFUNCTION("GOOGLETRANSLATE(C97,""fr"",""en"")"),"I am satisfied with the service and the price for the scooter.
It’s perfect very easy to use and well explained.
thank you
Cordially
Thiyagarasa Kokulanath")</f>
        <v>I am satisfied with the service and the price for the scooter.
It’s perfect very easy to use and well explained.
thank you
Cordially
Thiyagarasa Kokulanath</v>
      </c>
    </row>
    <row r="98" ht="15.75" customHeight="1">
      <c r="A98" s="2">
        <v>1.0</v>
      </c>
      <c r="B98" s="2" t="s">
        <v>378</v>
      </c>
      <c r="C98" s="2" t="s">
        <v>379</v>
      </c>
      <c r="D98" s="2" t="s">
        <v>183</v>
      </c>
      <c r="E98" s="2" t="s">
        <v>14</v>
      </c>
      <c r="F98" s="2" t="s">
        <v>15</v>
      </c>
      <c r="G98" s="2" t="s">
        <v>380</v>
      </c>
      <c r="H98" s="2" t="s">
        <v>99</v>
      </c>
      <c r="I98" s="2" t="str">
        <f>IFERROR(__xludf.DUMMYFUNCTION("GOOGLETRANSLATE(C98,""fr"",""en"")"),"After a non -responsible disaster, they resilient my contract, in addition they increase the prices without reason without a claim, to flee, Afuir Afuir.
Good luck")</f>
        <v>After a non -responsible disaster, they resilient my contract, in addition they increase the prices without reason without a claim, to flee, Afuir Afuir.
Good luck</v>
      </c>
    </row>
    <row r="99" ht="15.75" customHeight="1">
      <c r="A99" s="2">
        <v>4.0</v>
      </c>
      <c r="B99" s="2" t="s">
        <v>381</v>
      </c>
      <c r="C99" s="2" t="s">
        <v>382</v>
      </c>
      <c r="D99" s="2" t="s">
        <v>352</v>
      </c>
      <c r="E99" s="2" t="s">
        <v>14</v>
      </c>
      <c r="F99" s="2" t="s">
        <v>15</v>
      </c>
      <c r="G99" s="2" t="s">
        <v>192</v>
      </c>
      <c r="H99" s="2" t="s">
        <v>192</v>
      </c>
      <c r="I99" s="2" t="str">
        <f>IFERROR(__xludf.DUMMYFUNCTION("GOOGLETRANSLATE(C99,""fr"",""en"")"),"I am satisfied with the services; broken ice; flight; Assistance in France in Europe in the event of a breakdown.
The personalized GMF card reassures us more.
Prices suit me
")</f>
        <v>I am satisfied with the services; broken ice; flight; Assistance in France in Europe in the event of a breakdown.
The personalized GMF card reassures us more.
Prices suit me
</v>
      </c>
    </row>
    <row r="100" ht="15.75" customHeight="1">
      <c r="A100" s="2">
        <v>1.0</v>
      </c>
      <c r="B100" s="2" t="s">
        <v>383</v>
      </c>
      <c r="C100" s="2" t="s">
        <v>384</v>
      </c>
      <c r="D100" s="2" t="s">
        <v>224</v>
      </c>
      <c r="E100" s="2" t="s">
        <v>35</v>
      </c>
      <c r="F100" s="2" t="s">
        <v>15</v>
      </c>
      <c r="G100" s="2" t="s">
        <v>349</v>
      </c>
      <c r="H100" s="2" t="s">
        <v>16</v>
      </c>
      <c r="I100" s="2" t="str">
        <f>IFERROR(__xludf.DUMMYFUNCTION("GOOGLETRANSLATE(C100,""fr"",""en"")"),"Took advantage of the weakness of my husband to extort his bank account number by phone ... Department in stride without any signed contract !!!! Is that legal? Obviously, stopped the samples from our bank!
")</f>
        <v>Took advantage of the weakness of my husband to extort his bank account number by phone ... Department in stride without any signed contract !!!! Is that legal? Obviously, stopped the samples from our bank!
</v>
      </c>
    </row>
    <row r="101" ht="15.75" customHeight="1">
      <c r="A101" s="2">
        <v>3.0</v>
      </c>
      <c r="B101" s="2" t="s">
        <v>385</v>
      </c>
      <c r="C101" s="2" t="s">
        <v>386</v>
      </c>
      <c r="D101" s="2" t="s">
        <v>224</v>
      </c>
      <c r="E101" s="2" t="s">
        <v>35</v>
      </c>
      <c r="F101" s="2" t="s">
        <v>15</v>
      </c>
      <c r="G101" s="2" t="s">
        <v>165</v>
      </c>
      <c r="H101" s="2" t="s">
        <v>166</v>
      </c>
      <c r="I101" s="2" t="str">
        <f>IFERROR(__xludf.DUMMYFUNCTION("GOOGLETRANSLATE(C101,""fr"",""en"")"),"Widad totally answered my questions and explained to me the necessary steps to do.
Very kind and polished person, thank you again for all good luck")</f>
        <v>Widad totally answered my questions and explained to me the necessary steps to do.
Very kind and polished person, thank you again for all good luck</v>
      </c>
    </row>
    <row r="102" ht="15.75" customHeight="1">
      <c r="A102" s="2">
        <v>1.0</v>
      </c>
      <c r="B102" s="2" t="s">
        <v>387</v>
      </c>
      <c r="C102" s="2" t="s">
        <v>388</v>
      </c>
      <c r="D102" s="2" t="s">
        <v>156</v>
      </c>
      <c r="E102" s="2" t="s">
        <v>85</v>
      </c>
      <c r="F102" s="2" t="s">
        <v>15</v>
      </c>
      <c r="G102" s="2" t="s">
        <v>389</v>
      </c>
      <c r="H102" s="2" t="s">
        <v>150</v>
      </c>
      <c r="I102" s="2" t="str">
        <f>IFERROR(__xludf.DUMMYFUNCTION("GOOGLETRANSLATE(C102,""fr"",""en"")"),"A disaster! After several years of membership in various contracts with this insurer, two minor concerns led them to terminate my home insurance and did not compensate the second claim. At membership is the best of worlds, but do not expect assistance and"&amp;" help if you have degates. Promises not held and Irejet of the customer without managing. Why do we take insurance if it is not to be covered in the event of incidents and vagaries of life! A DE CONSONEILLE !!!!!")</f>
        <v>A disaster! After several years of membership in various contracts with this insurer, two minor concerns led them to terminate my home insurance and did not compensate the second claim. At membership is the best of worlds, but do not expect assistance and help if you have degates. Promises not held and Irejet of the customer without managing. Why do we take insurance if it is not to be covered in the event of incidents and vagaries of life! A DE CONSONEILLE !!!!!</v>
      </c>
    </row>
    <row r="103" ht="15.75" customHeight="1">
      <c r="A103" s="2">
        <v>1.0</v>
      </c>
      <c r="B103" s="2" t="s">
        <v>390</v>
      </c>
      <c r="C103" s="2" t="s">
        <v>391</v>
      </c>
      <c r="D103" s="2" t="s">
        <v>392</v>
      </c>
      <c r="E103" s="2" t="s">
        <v>317</v>
      </c>
      <c r="F103" s="2" t="s">
        <v>15</v>
      </c>
      <c r="G103" s="2" t="s">
        <v>393</v>
      </c>
      <c r="H103" s="2" t="s">
        <v>31</v>
      </c>
      <c r="I103" s="2" t="str">
        <f>IFERROR(__xludf.DUMMYFUNCTION("GOOGLETRANSLATE(C103,""fr"",""en"")"),"To flee at all costs !!! A disaster ! Never seen such a service !! I have been going afterwards for months in the context of a succession. And this is problematic problem: not the good references of the contract (indicated by themselves, by the way), no r"&amp;"esponse to letters, referrals to other equally exceeded services ... to ultimately hear me say that the contract does not appear on the screen, as if it had never existed !!! While it was themselves who wrote to my notary to inform him of the existence of"&amp;" this contract (capitalization titles) !!
")</f>
        <v>To flee at all costs !!! A disaster ! Never seen such a service !! I have been going afterwards for months in the context of a succession. And this is problematic problem: not the good references of the contract (indicated by themselves, by the way), no response to letters, referrals to other equally exceeded services ... to ultimately hear me say that the contract does not appear on the screen, as if it had never existed !!! While it was themselves who wrote to my notary to inform him of the existence of this contract (capitalization titles) !!
</v>
      </c>
    </row>
    <row r="104" ht="15.75" customHeight="1">
      <c r="A104" s="2">
        <v>3.0</v>
      </c>
      <c r="B104" s="2" t="s">
        <v>394</v>
      </c>
      <c r="C104" s="2" t="s">
        <v>395</v>
      </c>
      <c r="D104" s="2" t="s">
        <v>224</v>
      </c>
      <c r="E104" s="2" t="s">
        <v>35</v>
      </c>
      <c r="F104" s="2" t="s">
        <v>15</v>
      </c>
      <c r="G104" s="2" t="s">
        <v>264</v>
      </c>
      <c r="H104" s="2" t="s">
        <v>264</v>
      </c>
      <c r="I104" s="2" t="str">
        <f>IFERROR(__xludf.DUMMYFUNCTION("GOOGLETRANSLATE(C104,""fr"",""en"")"),"I was starting by phone a little surprised the Courtiere knew the name of my insurance I told him that I wanted to read my contract before signed OK but instead of receiving it in the 14 days he was sent more d1 and a half after I Must make me operate I h"&amp;"ave no good reimbursement in addition we do not choose I send two recommendations to raft me I will call the DDPP")</f>
        <v>I was starting by phone a little surprised the Courtiere knew the name of my insurance I told him that I wanted to read my contract before signed OK but instead of receiving it in the 14 days he was sent more d1 and a half after I Must make me operate I have no good reimbursement in addition we do not choose I send two recommendations to raft me I will call the DDPP</v>
      </c>
    </row>
    <row r="105" ht="15.75" customHeight="1">
      <c r="A105" s="2">
        <v>3.0</v>
      </c>
      <c r="B105" s="2" t="s">
        <v>396</v>
      </c>
      <c r="C105" s="2" t="s">
        <v>397</v>
      </c>
      <c r="D105" s="2" t="s">
        <v>13</v>
      </c>
      <c r="E105" s="2" t="s">
        <v>14</v>
      </c>
      <c r="F105" s="2" t="s">
        <v>15</v>
      </c>
      <c r="G105" s="2" t="s">
        <v>398</v>
      </c>
      <c r="H105" s="2" t="s">
        <v>192</v>
      </c>
      <c r="I105" s="2" t="str">
        <f>IFERROR(__xludf.DUMMYFUNCTION("GOOGLETRANSLATE(C105,""fr"",""en"")"),"I would like to move we will see if it works well. Having I had a problem in my old EJ apartment do not know if the operation is effective.")</f>
        <v>I would like to move we will see if it works well. Having I had a problem in my old EJ apartment do not know if the operation is effective.</v>
      </c>
    </row>
    <row r="106" ht="15.75" customHeight="1">
      <c r="A106" s="2">
        <v>5.0</v>
      </c>
      <c r="B106" s="2" t="s">
        <v>399</v>
      </c>
      <c r="C106" s="2" t="s">
        <v>400</v>
      </c>
      <c r="D106" s="2" t="s">
        <v>55</v>
      </c>
      <c r="E106" s="2" t="s">
        <v>56</v>
      </c>
      <c r="F106" s="2" t="s">
        <v>15</v>
      </c>
      <c r="G106" s="2" t="s">
        <v>401</v>
      </c>
      <c r="H106" s="2" t="s">
        <v>99</v>
      </c>
      <c r="I106" s="2" t="str">
        <f>IFERROR(__xludf.DUMMYFUNCTION("GOOGLETRANSLATE(C106,""fr"",""en"")"),"Practical, fast and effective, I am satisfied.
I can't wait to do a motorcycle and enjoy it calmly thanks to my new insurance. Let's keep good races.")</f>
        <v>Practical, fast and effective, I am satisfied.
I can't wait to do a motorcycle and enjoy it calmly thanks to my new insurance. Let's keep good races.</v>
      </c>
    </row>
    <row r="107" ht="15.75" customHeight="1">
      <c r="A107" s="2">
        <v>3.0</v>
      </c>
      <c r="B107" s="2" t="s">
        <v>402</v>
      </c>
      <c r="C107" s="2" t="s">
        <v>403</v>
      </c>
      <c r="D107" s="2" t="s">
        <v>308</v>
      </c>
      <c r="E107" s="2" t="s">
        <v>14</v>
      </c>
      <c r="F107" s="2" t="s">
        <v>15</v>
      </c>
      <c r="G107" s="2" t="s">
        <v>404</v>
      </c>
      <c r="H107" s="2" t="s">
        <v>197</v>
      </c>
      <c r="I107" s="2" t="str">
        <f>IFERROR(__xludf.DUMMYFUNCTION("GOOGLETRANSLATE(C107,""fr"",""en"")"),"In my opinion very expensive compared to the other insurance for the same data but the agency has nothing to do with it.
A team listened to and responsive.")</f>
        <v>In my opinion very expensive compared to the other insurance for the same data but the agency has nothing to do with it.
A team listened to and responsive.</v>
      </c>
    </row>
    <row r="108" ht="15.75" customHeight="1">
      <c r="A108" s="2">
        <v>1.0</v>
      </c>
      <c r="B108" s="2" t="s">
        <v>405</v>
      </c>
      <c r="C108" s="2" t="s">
        <v>406</v>
      </c>
      <c r="D108" s="2" t="s">
        <v>224</v>
      </c>
      <c r="E108" s="2" t="s">
        <v>35</v>
      </c>
      <c r="F108" s="2" t="s">
        <v>15</v>
      </c>
      <c r="G108" s="2" t="s">
        <v>71</v>
      </c>
      <c r="H108" s="2" t="s">
        <v>72</v>
      </c>
      <c r="I108" s="2" t="str">
        <f>IFERROR(__xludf.DUMMYFUNCTION("GOOGLETRANSLATE(C108,""fr"",""en"")"),"Flee Neoliane Mutuelle Santé ... The general conditions are not precise. I thought as many other mutuals receive a lump sum on the accommodation of my spa treatment unfortunately nothing has been paid for. They highlight ambiguous texts in their condition"&amp;". The prices are therefore too high compared to the services offered I will So look for a more serious mutual.")</f>
        <v>Flee Neoliane Mutuelle Santé ... The general conditions are not precise. I thought as many other mutuals receive a lump sum on the accommodation of my spa treatment unfortunately nothing has been paid for. They highlight ambiguous texts in their condition. The prices are therefore too high compared to the services offered I will So look for a more serious mutual.</v>
      </c>
    </row>
    <row r="109" ht="15.75" customHeight="1">
      <c r="A109" s="2">
        <v>2.0</v>
      </c>
      <c r="B109" s="2" t="s">
        <v>407</v>
      </c>
      <c r="C109" s="2" t="s">
        <v>408</v>
      </c>
      <c r="D109" s="2" t="s">
        <v>220</v>
      </c>
      <c r="E109" s="2" t="s">
        <v>35</v>
      </c>
      <c r="F109" s="2" t="s">
        <v>15</v>
      </c>
      <c r="G109" s="2" t="s">
        <v>409</v>
      </c>
      <c r="H109" s="2" t="s">
        <v>166</v>
      </c>
      <c r="I109" s="2" t="str">
        <f>IFERROR(__xludf.DUMMYFUNCTION("GOOGLETRANSLATE(C109,""fr"",""en"")"),"Very often problems in live reimbursements to the insured
For some never settled completely
Never explanations given
Despite multiple and varied reminders (email, mail, broker)
You can't contact anyone
2 times at Cegema = 2 times not satisfied
Secon"&amp;"d time during the covid, I can understand, but a dispute in early 2019 tjr not settled
I don't know if it's:
Involuntary neglect
Or organized negligence so as not to fully respond to the guarantees of the contract
")</f>
        <v>Very often problems in live reimbursements to the insured
For some never settled completely
Never explanations given
Despite multiple and varied reminders (email, mail, broker)
You can't contact anyone
2 times at Cegema = 2 times not satisfied
Second time during the covid, I can understand, but a dispute in early 2019 tjr not settled
I don't know if it's:
Involuntary neglect
Or organized negligence so as not to fully respond to the guarantees of the contract
</v>
      </c>
    </row>
    <row r="110" ht="15.75" customHeight="1">
      <c r="A110" s="2">
        <v>4.0</v>
      </c>
      <c r="B110" s="2" t="s">
        <v>410</v>
      </c>
      <c r="C110" s="2" t="s">
        <v>411</v>
      </c>
      <c r="D110" s="2" t="s">
        <v>224</v>
      </c>
      <c r="E110" s="2" t="s">
        <v>35</v>
      </c>
      <c r="F110" s="2" t="s">
        <v>15</v>
      </c>
      <c r="G110" s="2" t="s">
        <v>412</v>
      </c>
      <c r="H110" s="2" t="s">
        <v>37</v>
      </c>
      <c r="I110" s="2" t="str">
        <f>IFERROR(__xludf.DUMMYFUNCTION("GOOGLETRANSLATE(C110,""fr"",""en"")"),"Satisfied with new conditions .................................")</f>
        <v>Satisfied with new conditions .................................</v>
      </c>
    </row>
    <row r="111" ht="15.75" customHeight="1">
      <c r="A111" s="2">
        <v>1.0</v>
      </c>
      <c r="B111" s="2" t="s">
        <v>413</v>
      </c>
      <c r="C111" s="2" t="s">
        <v>414</v>
      </c>
      <c r="D111" s="2" t="s">
        <v>19</v>
      </c>
      <c r="E111" s="2" t="s">
        <v>14</v>
      </c>
      <c r="F111" s="2" t="s">
        <v>15</v>
      </c>
      <c r="G111" s="2" t="s">
        <v>415</v>
      </c>
      <c r="H111" s="2" t="s">
        <v>108</v>
      </c>
      <c r="I111" s="2" t="str">
        <f>IFERROR(__xludf.DUMMYFUNCTION("GOOGLETRANSLATE(C111,""fr"",""en"")"),"Auto rebate continued confinement")</f>
        <v>Auto rebate continued confinement</v>
      </c>
    </row>
    <row r="112" ht="15.75" customHeight="1">
      <c r="A112" s="2">
        <v>2.0</v>
      </c>
      <c r="B112" s="2" t="s">
        <v>416</v>
      </c>
      <c r="C112" s="2" t="s">
        <v>417</v>
      </c>
      <c r="D112" s="2" t="s">
        <v>19</v>
      </c>
      <c r="E112" s="2" t="s">
        <v>85</v>
      </c>
      <c r="F112" s="2" t="s">
        <v>15</v>
      </c>
      <c r="G112" s="2" t="s">
        <v>418</v>
      </c>
      <c r="H112" s="2" t="s">
        <v>21</v>
      </c>
      <c r="I112" s="2" t="str">
        <f>IFERROR(__xludf.DUMMYFUNCTION("GOOGLETRANSLATE(C112,""fr"",""en"")"),"To be avoided absolutely in every sense of the word.
Sending email without any response from them.
Unreachable telephone service. I wanted to terminate (registered letter) My home insurance, it took 2 months and he continued to take me ... They tell me "&amp;"that it is normal for the sole purpose of keeping you. Lack of professionalism")</f>
        <v>To be avoided absolutely in every sense of the word.
Sending email without any response from them.
Unreachable telephone service. I wanted to terminate (registered letter) My home insurance, it took 2 months and he continued to take me ... They tell me that it is normal for the sole purpose of keeping you. Lack of professionalism</v>
      </c>
    </row>
    <row r="113" ht="15.75" customHeight="1">
      <c r="A113" s="2">
        <v>2.0</v>
      </c>
      <c r="B113" s="2" t="s">
        <v>419</v>
      </c>
      <c r="C113" s="2" t="s">
        <v>420</v>
      </c>
      <c r="D113" s="2" t="s">
        <v>179</v>
      </c>
      <c r="E113" s="2" t="s">
        <v>14</v>
      </c>
      <c r="F113" s="2" t="s">
        <v>15</v>
      </c>
      <c r="G113" s="2" t="s">
        <v>421</v>
      </c>
      <c r="H113" s="2" t="s">
        <v>422</v>
      </c>
      <c r="I113" s="2" t="str">
        <f>IFERROR(__xludf.DUMMYFUNCTION("GOOGLETRANSLATE(C113,""fr"",""en"")"),"To flee, I spoke to two people on the platform, who were unable to answer my questions, one of which was contemptuous
Everything they are looking for: pigeons")</f>
        <v>To flee, I spoke to two people on the platform, who were unable to answer my questions, one of which was contemptuous
Everything they are looking for: pigeons</v>
      </c>
    </row>
    <row r="114" ht="15.75" customHeight="1">
      <c r="A114" s="2">
        <v>5.0</v>
      </c>
      <c r="B114" s="2" t="s">
        <v>423</v>
      </c>
      <c r="C114" s="2" t="s">
        <v>424</v>
      </c>
      <c r="D114" s="2" t="s">
        <v>43</v>
      </c>
      <c r="E114" s="2" t="s">
        <v>14</v>
      </c>
      <c r="F114" s="2" t="s">
        <v>15</v>
      </c>
      <c r="G114" s="2" t="s">
        <v>425</v>
      </c>
      <c r="H114" s="2" t="s">
        <v>166</v>
      </c>
      <c r="I114" s="2" t="str">
        <f>IFERROR(__xludf.DUMMYFUNCTION("GOOGLETRANSLATE(C114,""fr"",""en"")"),"I just subscribed to it and even on the phone, the lady was adorable so not disappointed. In terms of price it is really very affordable but also very detail.")</f>
        <v>I just subscribed to it and even on the phone, the lady was adorable so not disappointed. In terms of price it is really very affordable but also very detail.</v>
      </c>
    </row>
    <row r="115" ht="15.75" customHeight="1">
      <c r="A115" s="2">
        <v>3.0</v>
      </c>
      <c r="B115" s="2" t="s">
        <v>426</v>
      </c>
      <c r="C115" s="2" t="s">
        <v>427</v>
      </c>
      <c r="D115" s="2" t="s">
        <v>13</v>
      </c>
      <c r="E115" s="2" t="s">
        <v>14</v>
      </c>
      <c r="F115" s="2" t="s">
        <v>15</v>
      </c>
      <c r="G115" s="2" t="s">
        <v>428</v>
      </c>
      <c r="H115" s="2" t="s">
        <v>99</v>
      </c>
      <c r="I115" s="2" t="str">
        <f>IFERROR(__xludf.DUMMYFUNCTION("GOOGLETRANSLATE(C115,""fr"",""en"")"),"RAS. Fast and easy on the internet. For the moment satisfied. The prices although the cheapest are always too expensive. The Multidays offer is interesting.")</f>
        <v>RAS. Fast and easy on the internet. For the moment satisfied. The prices although the cheapest are always too expensive. The Multidays offer is interesting.</v>
      </c>
    </row>
    <row r="116" ht="15.75" customHeight="1">
      <c r="A116" s="2">
        <v>2.0</v>
      </c>
      <c r="B116" s="2" t="s">
        <v>429</v>
      </c>
      <c r="C116" s="2" t="s">
        <v>430</v>
      </c>
      <c r="D116" s="2" t="s">
        <v>156</v>
      </c>
      <c r="E116" s="2" t="s">
        <v>14</v>
      </c>
      <c r="F116" s="2" t="s">
        <v>15</v>
      </c>
      <c r="G116" s="2" t="s">
        <v>431</v>
      </c>
      <c r="H116" s="2" t="s">
        <v>16</v>
      </c>
      <c r="I116" s="2" t="str">
        <f>IFERROR(__xludf.DUMMYFUNCTION("GOOGLETRANSLATE(C116,""fr"",""en"")"),"I am not happy, the first year we are given 21,000 euros discount for us apaté, then we are given these 200 euros it is shameful, while with containment we have not had the right to move as we wanted I change as soon as I can")</f>
        <v>I am not happy, the first year we are given 21,000 euros discount for us apaté, then we are given these 200 euros it is shameful, while with containment we have not had the right to move as we wanted I change as soon as I can</v>
      </c>
    </row>
    <row r="117" ht="15.75" customHeight="1">
      <c r="A117" s="2">
        <v>4.0</v>
      </c>
      <c r="B117" s="2" t="s">
        <v>432</v>
      </c>
      <c r="C117" s="2" t="s">
        <v>433</v>
      </c>
      <c r="D117" s="2" t="s">
        <v>55</v>
      </c>
      <c r="E117" s="2" t="s">
        <v>56</v>
      </c>
      <c r="F117" s="2" t="s">
        <v>15</v>
      </c>
      <c r="G117" s="2" t="s">
        <v>398</v>
      </c>
      <c r="H117" s="2" t="s">
        <v>192</v>
      </c>
      <c r="I117" s="2" t="str">
        <f>IFERROR(__xludf.DUMMYFUNCTION("GOOGLETRANSLATE(C117,""fr"",""en"")"),"Satisfied with the price and happy with the services offered. I’m waiting to see the answers provided when I need it. But for the moment, value for money top")</f>
        <v>Satisfied with the price and happy with the services offered. I’m waiting to see the answers provided when I need it. But for the moment, value for money top</v>
      </c>
    </row>
    <row r="118" ht="15.75" customHeight="1">
      <c r="A118" s="2">
        <v>1.0</v>
      </c>
      <c r="B118" s="2" t="s">
        <v>434</v>
      </c>
      <c r="C118" s="2" t="s">
        <v>435</v>
      </c>
      <c r="D118" s="2" t="s">
        <v>436</v>
      </c>
      <c r="E118" s="2" t="s">
        <v>317</v>
      </c>
      <c r="F118" s="2" t="s">
        <v>15</v>
      </c>
      <c r="G118" s="2" t="s">
        <v>437</v>
      </c>
      <c r="H118" s="2" t="s">
        <v>438</v>
      </c>
      <c r="I118" s="2" t="str">
        <f>IFERROR(__xludf.DUMMYFUNCTION("GOOGLETRANSLATE(C118,""fr"",""en"")"),"In work stoppage for 3 months ... Swisslife Clean to give me an answer on my care! Result no care and cancellation of my contract because I forgot to note an ATCD which has nothing to do with my stop and which is nothing!
Run away !! Run away !! We think"&amp;" we take a foresight in case but it is useless !! They always find the little beast so as not to take care of you! Strongly insurance!")</f>
        <v>In work stoppage for 3 months ... Swisslife Clean to give me an answer on my care! Result no care and cancellation of my contract because I forgot to note an ATCD which has nothing to do with my stop and which is nothing!
Run away !! Run away !! We think we take a foresight in case but it is useless !! They always find the little beast so as not to take care of you! Strongly insurance!</v>
      </c>
    </row>
    <row r="119" ht="15.75" customHeight="1">
      <c r="A119" s="2">
        <v>3.0</v>
      </c>
      <c r="B119" s="2" t="s">
        <v>439</v>
      </c>
      <c r="C119" s="2" t="s">
        <v>440</v>
      </c>
      <c r="D119" s="2" t="s">
        <v>179</v>
      </c>
      <c r="E119" s="2" t="s">
        <v>14</v>
      </c>
      <c r="F119" s="2" t="s">
        <v>15</v>
      </c>
      <c r="G119" s="2" t="s">
        <v>441</v>
      </c>
      <c r="H119" s="2" t="s">
        <v>442</v>
      </c>
      <c r="I119" s="2" t="str">
        <f>IFERROR(__xludf.DUMMYFUNCTION("GOOGLETRANSLATE(C119,""fr"",""en"")"),"7 years all risks without accident bonus -50 + 2016 Abandoned wing reimbursement cause concrete terminal, 2018 offense of leakage of a biker who damages my door, 2019 fired risk insurance at risk, pariah, circulate !!!!!")</f>
        <v>7 years all risks without accident bonus -50 + 2016 Abandoned wing reimbursement cause concrete terminal, 2018 offense of leakage of a biker who damages my door, 2019 fired risk insurance at risk, pariah, circulate !!!!!</v>
      </c>
    </row>
    <row r="120" ht="15.75" customHeight="1">
      <c r="A120" s="2">
        <v>3.0</v>
      </c>
      <c r="B120" s="2" t="s">
        <v>443</v>
      </c>
      <c r="C120" s="2" t="s">
        <v>444</v>
      </c>
      <c r="D120" s="2" t="s">
        <v>13</v>
      </c>
      <c r="E120" s="2" t="s">
        <v>14</v>
      </c>
      <c r="F120" s="2" t="s">
        <v>15</v>
      </c>
      <c r="G120" s="2" t="s">
        <v>445</v>
      </c>
      <c r="H120" s="2" t="s">
        <v>99</v>
      </c>
      <c r="I120" s="2" t="str">
        <f>IFERROR(__xludf.DUMMYFUNCTION("GOOGLETRANSLATE(C120,""fr"",""en"")"),"To see over time the level of warranty in the event of a dispute in the future see customer service the ease of the application and the site customer relations etc")</f>
        <v>To see over time the level of warranty in the event of a dispute in the future see customer service the ease of the application and the site customer relations etc</v>
      </c>
    </row>
    <row r="121" ht="15.75" customHeight="1">
      <c r="A121" s="2">
        <v>5.0</v>
      </c>
      <c r="B121" s="2" t="s">
        <v>446</v>
      </c>
      <c r="C121" s="2" t="s">
        <v>447</v>
      </c>
      <c r="D121" s="2" t="s">
        <v>448</v>
      </c>
      <c r="E121" s="2" t="s">
        <v>112</v>
      </c>
      <c r="F121" s="2" t="s">
        <v>15</v>
      </c>
      <c r="G121" s="2" t="s">
        <v>251</v>
      </c>
      <c r="H121" s="2" t="s">
        <v>99</v>
      </c>
      <c r="I121" s="2" t="str">
        <f>IFERROR(__xludf.DUMMYFUNCTION("GOOGLETRANSLATE(C121,""fr"",""en"")"),"You have to wait to see the processing of the file with my bank but for the moment the service is at the top. We ask our opinion that half the way.")</f>
        <v>You have to wait to see the processing of the file with my bank but for the moment the service is at the top. We ask our opinion that half the way.</v>
      </c>
    </row>
    <row r="122" ht="15.75" customHeight="1">
      <c r="A122" s="2">
        <v>1.0</v>
      </c>
      <c r="B122" s="2" t="s">
        <v>449</v>
      </c>
      <c r="C122" s="2" t="s">
        <v>450</v>
      </c>
      <c r="D122" s="2" t="s">
        <v>19</v>
      </c>
      <c r="E122" s="2" t="s">
        <v>85</v>
      </c>
      <c r="F122" s="2" t="s">
        <v>15</v>
      </c>
      <c r="G122" s="2" t="s">
        <v>451</v>
      </c>
      <c r="H122" s="2" t="s">
        <v>293</v>
      </c>
      <c r="I122" s="2" t="str">
        <f>IFERROR(__xludf.DUMMYFUNCTION("GOOGLETRANSLATE(C122,""fr"",""en"")"),"Discounted work even when you are in your law!
The legal protection service is absolutely not up to the task: undervaluation of damage, incompetence and bad faith, because even if they are for example. Unable to decide on the fact that a wall is carrying"&amp;" or not that does not prevent them from making estimates well below the price as to the damage suffered. It is then impossible to find a mason working at this price.
And, moreover, the tone is deeply unpleasant and commonly if you commit the imprudence t"&amp;"o challenge.
It is clear that it is better to change insurance as soon as possible.
I speak knowingly since I have been there for over ten years. They really have a funny way to reward loyalty.
")</f>
        <v>Discounted work even when you are in your law!
The legal protection service is absolutely not up to the task: undervaluation of damage, incompetence and bad faith, because even if they are for example. Unable to decide on the fact that a wall is carrying or not that does not prevent them from making estimates well below the price as to the damage suffered. It is then impossible to find a mason working at this price.
And, moreover, the tone is deeply unpleasant and commonly if you commit the imprudence to challenge.
It is clear that it is better to change insurance as soon as possible.
I speak knowingly since I have been there for over ten years. They really have a funny way to reward loyalty.
</v>
      </c>
    </row>
    <row r="123" ht="15.75" customHeight="1">
      <c r="A123" s="2">
        <v>1.0</v>
      </c>
      <c r="B123" s="2" t="s">
        <v>452</v>
      </c>
      <c r="C123" s="2" t="s">
        <v>453</v>
      </c>
      <c r="D123" s="2" t="s">
        <v>224</v>
      </c>
      <c r="E123" s="2" t="s">
        <v>35</v>
      </c>
      <c r="F123" s="2" t="s">
        <v>15</v>
      </c>
      <c r="G123" s="2" t="s">
        <v>454</v>
      </c>
      <c r="H123" s="2" t="s">
        <v>135</v>
      </c>
      <c r="I123" s="2" t="str">
        <f>IFERROR(__xludf.DUMMYFUNCTION("GOOGLETRANSLATE(C123,""fr"",""en"")"),"2 contracts subscribed improperly by broker on the phone on a aged person. One is being resilled. The other is always in progress because Neoliane does not take into account the situation ...")</f>
        <v>2 contracts subscribed improperly by broker on the phone on a aged person. One is being resilled. The other is always in progress because Neoliane does not take into account the situation ...</v>
      </c>
    </row>
    <row r="124" ht="15.75" customHeight="1">
      <c r="A124" s="2">
        <v>1.0</v>
      </c>
      <c r="B124" s="2" t="s">
        <v>455</v>
      </c>
      <c r="C124" s="2" t="s">
        <v>456</v>
      </c>
      <c r="D124" s="2" t="s">
        <v>352</v>
      </c>
      <c r="E124" s="2" t="s">
        <v>14</v>
      </c>
      <c r="F124" s="2" t="s">
        <v>15</v>
      </c>
      <c r="G124" s="2" t="s">
        <v>197</v>
      </c>
      <c r="H124" s="2" t="s">
        <v>197</v>
      </c>
      <c r="I124" s="2" t="str">
        <f>IFERROR(__xludf.DUMMYFUNCTION("GOOGLETRANSLATE(C124,""fr"",""en"")"),"Insurance to be avoided at all costs zero hanging accidents for years at home.
We have an old vehicle to patch up right and left but passed to the CT without worries.
My wife hung the front bumper.
Supported by the bumper but not the fire before the le"&amp;"ft, so -called that it was previous.
While the two worked very well before.
According to the advice of the amateur expert, the fire problem is previous I have never seen an expert and insurance of so bad times.
Alone to do is block the sample as they b"&amp;"locked my file.
Flee this insurance")</f>
        <v>Insurance to be avoided at all costs zero hanging accidents for years at home.
We have an old vehicle to patch up right and left but passed to the CT without worries.
My wife hung the front bumper.
Supported by the bumper but not the fire before the left, so -called that it was previous.
While the two worked very well before.
According to the advice of the amateur expert, the fire problem is previous I have never seen an expert and insurance of so bad times.
Alone to do is block the sample as they blocked my file.
Flee this insurance</v>
      </c>
    </row>
    <row r="125" ht="15.75" customHeight="1">
      <c r="A125" s="2">
        <v>3.0</v>
      </c>
      <c r="B125" s="2" t="s">
        <v>457</v>
      </c>
      <c r="C125" s="2" t="s">
        <v>458</v>
      </c>
      <c r="D125" s="2" t="s">
        <v>13</v>
      </c>
      <c r="E125" s="2" t="s">
        <v>14</v>
      </c>
      <c r="F125" s="2" t="s">
        <v>15</v>
      </c>
      <c r="G125" s="2" t="s">
        <v>459</v>
      </c>
      <c r="H125" s="2" t="s">
        <v>72</v>
      </c>
      <c r="I125" s="2" t="str">
        <f>IFERROR(__xludf.DUMMYFUNCTION("GOOGLETRANSLATE(C125,""fr"",""en"")"),"Difting hard to this concert on the application but I managed to do it via the internet, I hope to be happy with this self -advised insurance by my little brother seen the actral prices compare to axa")</f>
        <v>Difting hard to this concert on the application but I managed to do it via the internet, I hope to be happy with this self -advised insurance by my little brother seen the actral prices compare to axa</v>
      </c>
    </row>
    <row r="126" ht="15.75" customHeight="1">
      <c r="A126" s="2">
        <v>1.0</v>
      </c>
      <c r="B126" s="2" t="s">
        <v>460</v>
      </c>
      <c r="C126" s="2" t="s">
        <v>461</v>
      </c>
      <c r="D126" s="2" t="s">
        <v>156</v>
      </c>
      <c r="E126" s="2" t="s">
        <v>85</v>
      </c>
      <c r="F126" s="2" t="s">
        <v>15</v>
      </c>
      <c r="G126" s="2" t="s">
        <v>462</v>
      </c>
      <c r="H126" s="2" t="s">
        <v>319</v>
      </c>
      <c r="I126" s="2" t="str">
        <f>IFERROR(__xludf.DUMMYFUNCTION("GOOGLETRANSLATE(C126,""fr"",""en"")"),"Attention !!! Put a minimum in precious objects
My daughter was robbed
She had put 0 on the maaf council
None of the little jewels at a few tens of euros is reimbursed
Bravo the maaf ,,,,")</f>
        <v>Attention !!! Put a minimum in precious objects
My daughter was robbed
She had put 0 on the maaf council
None of the little jewels at a few tens of euros is reimbursed
Bravo the maaf ,,,,</v>
      </c>
    </row>
    <row r="127" ht="15.75" customHeight="1">
      <c r="A127" s="2">
        <v>1.0</v>
      </c>
      <c r="B127" s="2" t="s">
        <v>463</v>
      </c>
      <c r="C127" s="2" t="s">
        <v>464</v>
      </c>
      <c r="D127" s="2" t="s">
        <v>392</v>
      </c>
      <c r="E127" s="2" t="s">
        <v>317</v>
      </c>
      <c r="F127" s="2" t="s">
        <v>15</v>
      </c>
      <c r="G127" s="2" t="s">
        <v>465</v>
      </c>
      <c r="H127" s="2" t="s">
        <v>158</v>
      </c>
      <c r="I127" s="2" t="str">
        <f>IFERROR(__xludf.DUMMYFUNCTION("GOOGLETRANSLATE(C127,""fr"",""en"")"),"Really to just flee liars ... A letter is said to be gone for more than two weeks and tell me that it's very long via La Poste. It takes several weeks with La Poste but we have sent you the mail. ... ????? If that's not taking people for C ... I don't kno"&amp;"w then.")</f>
        <v>Really to just flee liars ... A letter is said to be gone for more than two weeks and tell me that it's very long via La Poste. It takes several weeks with La Poste but we have sent you the mail. ... ????? If that's not taking people for C ... I don't know then.</v>
      </c>
    </row>
    <row r="128" ht="15.75" customHeight="1">
      <c r="A128" s="2">
        <v>4.0</v>
      </c>
      <c r="B128" s="2" t="s">
        <v>466</v>
      </c>
      <c r="C128" s="2" t="s">
        <v>467</v>
      </c>
      <c r="D128" s="2" t="s">
        <v>55</v>
      </c>
      <c r="E128" s="2" t="s">
        <v>56</v>
      </c>
      <c r="F128" s="2" t="s">
        <v>15</v>
      </c>
      <c r="G128" s="2" t="s">
        <v>468</v>
      </c>
      <c r="H128" s="2" t="s">
        <v>166</v>
      </c>
      <c r="I128" s="2" t="str">
        <f>IFERROR(__xludf.DUMMYFUNCTION("GOOGLETRANSLATE(C128,""fr"",""en"")"),"Fast and efficient customer service. Very competitive price, hoping not to need you in the years to come. :)")</f>
        <v>Fast and efficient customer service. Very competitive price, hoping not to need you in the years to come. :)</v>
      </c>
    </row>
    <row r="129" ht="15.75" customHeight="1">
      <c r="A129" s="2">
        <v>2.0</v>
      </c>
      <c r="B129" s="2" t="s">
        <v>469</v>
      </c>
      <c r="C129" s="2" t="s">
        <v>470</v>
      </c>
      <c r="D129" s="2" t="s">
        <v>365</v>
      </c>
      <c r="E129" s="2" t="s">
        <v>14</v>
      </c>
      <c r="F129" s="2" t="s">
        <v>15</v>
      </c>
      <c r="G129" s="2" t="s">
        <v>471</v>
      </c>
      <c r="H129" s="2" t="s">
        <v>37</v>
      </c>
      <c r="I129" s="2" t="str">
        <f>IFERROR(__xludf.DUMMYFUNCTION("GOOGLETRANSLATE(C129,""fr"",""en"")"),"Member for 30 years; Raised car on 05/19; (non -engaged responsibility) declared VGE therefore non -repairable and ceded to the MAIF. Béne -still of a 20J vehicle rental at the end of which I am still not compensated. No specific date planned for compensa"&amp;"tion ""we will do it"". How will I work 70 km from my home ???")</f>
        <v>Member for 30 years; Raised car on 05/19; (non -engaged responsibility) declared VGE therefore non -repairable and ceded to the MAIF. Béne -still of a 20J vehicle rental at the end of which I am still not compensated. No specific date planned for compensation "we will do it". How will I work 70 km from my home ???</v>
      </c>
    </row>
    <row r="130" ht="15.75" customHeight="1">
      <c r="A130" s="2">
        <v>1.0</v>
      </c>
      <c r="B130" s="2" t="s">
        <v>472</v>
      </c>
      <c r="C130" s="2" t="s">
        <v>473</v>
      </c>
      <c r="D130" s="2" t="s">
        <v>143</v>
      </c>
      <c r="E130" s="2" t="s">
        <v>85</v>
      </c>
      <c r="F130" s="2" t="s">
        <v>15</v>
      </c>
      <c r="G130" s="2" t="s">
        <v>474</v>
      </c>
      <c r="H130" s="2" t="s">
        <v>319</v>
      </c>
      <c r="I130" s="2" t="str">
        <f>IFERROR(__xludf.DUMMYFUNCTION("GOOGLETRANSLATE(C130,""fr"",""en"")"),"Insured for 22 years at Crédit Mutuel, in January I declared a disaster of water infiltration by my roof. An expert was selected, but he never came to see the damage. Despite this he, mid-March, gave his opinion to the insurer who hastened to send me a le"&amp;"tter with the result: ""the repair of the roof is an interview"". Who makes fun of you, we pay insurance and when a claim arrives, the insurer takes refuge behind the advice of an expert who has noticed anything and especially who lacks professional consc"&amp;"ience. Well done, the insurer you have no scruples for such methods assurance to avoid")</f>
        <v>Insured for 22 years at Crédit Mutuel, in January I declared a disaster of water infiltration by my roof. An expert was selected, but he never came to see the damage. Despite this he, mid-March, gave his opinion to the insurer who hastened to send me a letter with the result: "the repair of the roof is an interview". Who makes fun of you, we pay insurance and when a claim arrives, the insurer takes refuge behind the advice of an expert who has noticed anything and especially who lacks professional conscience. Well done, the insurer you have no scruples for such methods assurance to avoid</v>
      </c>
    </row>
    <row r="131" ht="15.75" customHeight="1">
      <c r="A131" s="2">
        <v>2.0</v>
      </c>
      <c r="B131" s="2" t="s">
        <v>475</v>
      </c>
      <c r="C131" s="2" t="s">
        <v>476</v>
      </c>
      <c r="D131" s="2" t="s">
        <v>19</v>
      </c>
      <c r="E131" s="2" t="s">
        <v>14</v>
      </c>
      <c r="F131" s="2" t="s">
        <v>15</v>
      </c>
      <c r="G131" s="2" t="s">
        <v>477</v>
      </c>
      <c r="H131" s="2" t="s">
        <v>94</v>
      </c>
      <c r="I131" s="2" t="str">
        <f>IFERROR(__xludf.DUMMYFUNCTION("GOOGLETRANSLATE(C131,""fr"",""en"")"),"Member since 2001 without responsible accident I had a claim in June 2016 before fleeing a vehicle tore my door on a parking space I filed a complaint and provided the fleeting plate without even taking the version of the fuy Macif m awarded all the wrong"&amp;"s fortunately that I had taken photos which prove that at the time of the accident the door did not exceed on the road the Macif returned to its decision and compensated me at 50 % for 3 5 years I am broken and The file is still not closed they tell me to"&amp;" contact me and do not do this commercially this is incomprehensible the request to this insurance relates to a balance of 750 euros when I have all of my contracts at home I think to leave them For all contracts I do not recommend this insurance for whic"&amp;"h only the samples are done without difficulty after having been walked for so long I ask myself To explain my mishap on the net more")</f>
        <v>Member since 2001 without responsible accident I had a claim in June 2016 before fleeing a vehicle tore my door on a parking space I filed a complaint and provided the fleeting plate without even taking the version of the fuy Macif m awarded all the wrongs fortunately that I had taken photos which prove that at the time of the accident the door did not exceed on the road the Macif returned to its decision and compensated me at 50 % for 3 5 years I am broken and The file is still not closed they tell me to contact me and do not do this commercially this is incomprehensible the request to this insurance relates to a balance of 750 euros when I have all of my contracts at home I think to leave them For all contracts I do not recommend this insurance for which only the samples are done without difficulty after having been walked for so long I ask myself To explain my mishap on the net more</v>
      </c>
    </row>
    <row r="132" ht="15.75" customHeight="1">
      <c r="A132" s="2">
        <v>5.0</v>
      </c>
      <c r="B132" s="2" t="s">
        <v>478</v>
      </c>
      <c r="C132" s="2" t="s">
        <v>479</v>
      </c>
      <c r="D132" s="2" t="s">
        <v>13</v>
      </c>
      <c r="E132" s="2" t="s">
        <v>14</v>
      </c>
      <c r="F132" s="2" t="s">
        <v>15</v>
      </c>
      <c r="G132" s="2" t="s">
        <v>480</v>
      </c>
      <c r="H132" s="2" t="s">
        <v>52</v>
      </c>
      <c r="I132" s="2" t="str">
        <f>IFERROR(__xludf.DUMMYFUNCTION("GOOGLETRANSLATE(C132,""fr"",""en"")"),"No claim therefore no opinion on responsiveness or regulations. For the moment, interesting price, fast subscription and a priori good reputation.")</f>
        <v>No claim therefore no opinion on responsiveness or regulations. For the moment, interesting price, fast subscription and a priori good reputation.</v>
      </c>
    </row>
    <row r="133" ht="15.75" customHeight="1">
      <c r="A133" s="2">
        <v>5.0</v>
      </c>
      <c r="B133" s="2" t="s">
        <v>481</v>
      </c>
      <c r="C133" s="2" t="s">
        <v>482</v>
      </c>
      <c r="D133" s="2" t="s">
        <v>43</v>
      </c>
      <c r="E133" s="2" t="s">
        <v>14</v>
      </c>
      <c r="F133" s="2" t="s">
        <v>15</v>
      </c>
      <c r="G133" s="2" t="s">
        <v>331</v>
      </c>
      <c r="H133" s="2" t="s">
        <v>166</v>
      </c>
      <c r="I133" s="2" t="str">
        <f>IFERROR(__xludf.DUMMYFUNCTION("GOOGLETRANSLATE(C133,""fr"",""en"")"),"Hello,
Very practical and quick to inform our information ourselves.
I had recommendations by friends and I think I made a good choice especially for the price.
A good start thank you.
")</f>
        <v>Hello,
Very practical and quick to inform our information ourselves.
I had recommendations by friends and I think I made a good choice especially for the price.
A good start thank you.
</v>
      </c>
    </row>
    <row r="134" ht="15.75" customHeight="1">
      <c r="A134" s="2">
        <v>2.0</v>
      </c>
      <c r="B134" s="2" t="s">
        <v>483</v>
      </c>
      <c r="C134" s="2" t="s">
        <v>484</v>
      </c>
      <c r="D134" s="2" t="s">
        <v>80</v>
      </c>
      <c r="E134" s="2" t="s">
        <v>85</v>
      </c>
      <c r="F134" s="2" t="s">
        <v>15</v>
      </c>
      <c r="G134" s="2" t="s">
        <v>485</v>
      </c>
      <c r="H134" s="2" t="s">
        <v>173</v>
      </c>
      <c r="I134" s="2" t="str">
        <f>IFERROR(__xludf.DUMMYFUNCTION("GOOGLETRANSLATE(C134,""fr"",""en"")"),"Non -existent and disrespectful customer service of customers, unheard of. Despite numerous calls on 09 70 80 90 70, emails sent and also two LRAR shipments ever had any answers. Yet the question is really simple to solve. But as this concerns a reimburse"&amp;"ment, strangely the agents become unusual. I even had answers from the agents on the phone that they can not do anything for me and it is up to me to understand that they have done what they can do. Agents reassure me that there will be Agents who contact"&amp;" me quickly, soon, during the day, immediately (I had the whole version) nevertheless, after 3 months, never had calls. So definitively, AXA does not want to move forward on reimbursement despite that this is our legitimate right !! What to say more about"&amp;" this insurer?!")</f>
        <v>Non -existent and disrespectful customer service of customers, unheard of. Despite numerous calls on 09 70 80 90 70, emails sent and also two LRAR shipments ever had any answers. Yet the question is really simple to solve. But as this concerns a reimbursement, strangely the agents become unusual. I even had answers from the agents on the phone that they can not do anything for me and it is up to me to understand that they have done what they can do. Agents reassure me that there will be Agents who contact me quickly, soon, during the day, immediately (I had the whole version) nevertheless, after 3 months, never had calls. So definitively, AXA does not want to move forward on reimbursement despite that this is our legitimate right !! What to say more about this insurer?!</v>
      </c>
    </row>
    <row r="135" ht="15.75" customHeight="1">
      <c r="A135" s="2">
        <v>1.0</v>
      </c>
      <c r="B135" s="2" t="s">
        <v>486</v>
      </c>
      <c r="C135" s="2" t="s">
        <v>487</v>
      </c>
      <c r="D135" s="2" t="s">
        <v>34</v>
      </c>
      <c r="E135" s="2" t="s">
        <v>35</v>
      </c>
      <c r="F135" s="2" t="s">
        <v>15</v>
      </c>
      <c r="G135" s="2" t="s">
        <v>488</v>
      </c>
      <c r="H135" s="2" t="s">
        <v>162</v>
      </c>
      <c r="I135" s="2" t="str">
        <f>IFERROR(__xludf.DUMMYFUNCTION("GOOGLETRANSLATE(C135,""fr"",""en"")"),"To flee !!! Practices bordering on legality. A nonexistent ethics: just do a number by selling contracts. Is not concerned with the service to be rendered to the customer (the subscription is however deducted even if the non -reimbursed services ...)")</f>
        <v>To flee !!! Practices bordering on legality. A nonexistent ethics: just do a number by selling contracts. Is not concerned with the service to be rendered to the customer (the subscription is however deducted even if the non -reimbursed services ...)</v>
      </c>
    </row>
    <row r="136" ht="15.75" customHeight="1">
      <c r="A136" s="2">
        <v>4.0</v>
      </c>
      <c r="B136" s="2" t="s">
        <v>489</v>
      </c>
      <c r="C136" s="2" t="s">
        <v>490</v>
      </c>
      <c r="D136" s="2" t="s">
        <v>43</v>
      </c>
      <c r="E136" s="2" t="s">
        <v>14</v>
      </c>
      <c r="F136" s="2" t="s">
        <v>15</v>
      </c>
      <c r="G136" s="2" t="s">
        <v>491</v>
      </c>
      <c r="H136" s="2" t="s">
        <v>99</v>
      </c>
      <c r="I136" s="2" t="str">
        <f>IFERROR(__xludf.DUMMYFUNCTION("GOOGLETRANSLATE(C136,""fr"",""en"")"),"Good value for money with a quick reaction to telephone calls while simplifying administrative procedures with a minimum of paperwork.")</f>
        <v>Good value for money with a quick reaction to telephone calls while simplifying administrative procedures with a minimum of paperwork.</v>
      </c>
    </row>
    <row r="137" ht="15.75" customHeight="1">
      <c r="A137" s="2">
        <v>2.0</v>
      </c>
      <c r="B137" s="2" t="s">
        <v>492</v>
      </c>
      <c r="C137" s="2" t="s">
        <v>493</v>
      </c>
      <c r="D137" s="2" t="s">
        <v>352</v>
      </c>
      <c r="E137" s="2" t="s">
        <v>85</v>
      </c>
      <c r="F137" s="2" t="s">
        <v>15</v>
      </c>
      <c r="G137" s="2" t="s">
        <v>494</v>
      </c>
      <c r="H137" s="2" t="s">
        <v>495</v>
      </c>
      <c r="I137" s="2" t="str">
        <f>IFERROR(__xludf.DUMMYFUNCTION("GOOGLETRANSLATE(C137,""fr"",""en"")"),"Saturday 16/11 at 8 p.m., I contacted GMF Assistance for the opening of my front door. My garage door was blocked and a key had remained inside on the lock of my door. Despite multiple telephone reminders, assistance was unable to find a convenience store"&amp;". The reason mentioned: weekend and late hour. The next day, Sunday 17 at 8:15 am, the service called me to confirm that the problem would certainly not be resolved today.")</f>
        <v>Saturday 16/11 at 8 p.m., I contacted GMF Assistance for the opening of my front door. My garage door was blocked and a key had remained inside on the lock of my door. Despite multiple telephone reminders, assistance was unable to find a convenience store. The reason mentioned: weekend and late hour. The next day, Sunday 17 at 8:15 am, the service called me to confirm that the problem would certainly not be resolved today.</v>
      </c>
    </row>
    <row r="138" ht="15.75" customHeight="1">
      <c r="A138" s="2">
        <v>5.0</v>
      </c>
      <c r="B138" s="2" t="s">
        <v>496</v>
      </c>
      <c r="C138" s="2" t="s">
        <v>497</v>
      </c>
      <c r="D138" s="2" t="s">
        <v>13</v>
      </c>
      <c r="E138" s="2" t="s">
        <v>14</v>
      </c>
      <c r="F138" s="2" t="s">
        <v>15</v>
      </c>
      <c r="G138" s="2" t="s">
        <v>498</v>
      </c>
      <c r="H138" s="2" t="s">
        <v>99</v>
      </c>
      <c r="I138" s="2" t="str">
        <f>IFERROR(__xludf.DUMMYFUNCTION("GOOGLETRANSLATE(C138,""fr"",""en"")"),"Satisfaction of the quote that was offered to me. I have subscribed to a new contract because the drive box of my vehicle no longer worked. Passage at an interesting price.")</f>
        <v>Satisfaction of the quote that was offered to me. I have subscribed to a new contract because the drive box of my vehicle no longer worked. Passage at an interesting price.</v>
      </c>
    </row>
    <row r="139" ht="15.75" customHeight="1">
      <c r="A139" s="2">
        <v>3.0</v>
      </c>
      <c r="B139" s="2" t="s">
        <v>499</v>
      </c>
      <c r="C139" s="2" t="s">
        <v>500</v>
      </c>
      <c r="D139" s="2" t="s">
        <v>55</v>
      </c>
      <c r="E139" s="2" t="s">
        <v>56</v>
      </c>
      <c r="F139" s="2" t="s">
        <v>15</v>
      </c>
      <c r="G139" s="2" t="s">
        <v>501</v>
      </c>
      <c r="H139" s="2" t="s">
        <v>192</v>
      </c>
      <c r="I139" s="2" t="str">
        <f>IFERROR(__xludf.DUMMYFUNCTION("GOOGLETRANSLATE(C139,""fr"",""en"")"),"I am satisfied with the service given, good listening on the site and good writing of the motorcycle quote
Advise listening!
Thank you Johan Zarc0#05 for the ad!")</f>
        <v>I am satisfied with the service given, good listening on the site and good writing of the motorcycle quote
Advise listening!
Thank you Johan Zarc0#05 for the ad!</v>
      </c>
    </row>
    <row r="140" ht="15.75" customHeight="1">
      <c r="A140" s="2">
        <v>4.0</v>
      </c>
      <c r="B140" s="2" t="s">
        <v>502</v>
      </c>
      <c r="C140" s="2" t="s">
        <v>503</v>
      </c>
      <c r="D140" s="2" t="s">
        <v>43</v>
      </c>
      <c r="E140" s="2" t="s">
        <v>14</v>
      </c>
      <c r="F140" s="2" t="s">
        <v>15</v>
      </c>
      <c r="G140" s="2" t="s">
        <v>398</v>
      </c>
      <c r="H140" s="2" t="s">
        <v>192</v>
      </c>
      <c r="I140" s="2" t="str">
        <f>IFERROR(__xludf.DUMMYFUNCTION("GOOGLETRANSLATE(C140,""fr"",""en"")"),"Friendly welcome, well advised, commercial gesture, very just a shame that there is not a € 0 deductible contract either at the start of the contract or after 2 years without incident or accident.")</f>
        <v>Friendly welcome, well advised, commercial gesture, very just a shame that there is not a € 0 deductible contract either at the start of the contract or after 2 years without incident or accident.</v>
      </c>
    </row>
    <row r="141" ht="15.75" customHeight="1">
      <c r="A141" s="2">
        <v>2.0</v>
      </c>
      <c r="B141" s="2" t="s">
        <v>504</v>
      </c>
      <c r="C141" s="2" t="s">
        <v>505</v>
      </c>
      <c r="D141" s="2" t="s">
        <v>365</v>
      </c>
      <c r="E141" s="2" t="s">
        <v>85</v>
      </c>
      <c r="F141" s="2" t="s">
        <v>15</v>
      </c>
      <c r="G141" s="2" t="s">
        <v>506</v>
      </c>
      <c r="H141" s="2" t="s">
        <v>229</v>
      </c>
      <c r="I141" s="2" t="str">
        <f>IFERROR(__xludf.DUMMYFUNCTION("GOOGLETRANSLATE(C141,""fr"",""en"")"),"Huge disappointment after 25 years of a very satisfactory relationship:
We have a 2 -year -old old water damage. A year ago, the MAIF gave us the green light to carry out the work after we asked for the intervention of their partner entrepreneurs.
When "&amp;"making an appointment with the entrepreneur at the end of August 2016 (we waited for the walls to dry), the entrepreneur tells us to disagree with the Maif on the amount of his work quote: the expert Maif estimates the Work at 2,200 euros, when partner en"&amp;"trepreneurs estimate them at 2900 euros.
Since that date, we have it with the Maif who tells us that we can no longer join his expert, nor their regional expert (to whom the file has been climbed).
We have provided, in the meantime, a detailed descripti"&amp;"on at the MAIF, and had a quote carried out to a third-party craftsman (hoping to have the work carried out by ourselves): the craftsman asks us for 4,500 euros (sic); The work consists in repainting 95 m2, including 15 m2 to repair and coat.
I relaunch "&amp;"the MAIF almost every week and always get the same embarrassed answer of the advisers: 'Ha yes, indeed, I understand. We treat your file as well as possible, but unfortunately we cannot reach the experts'.
It is an E-N-O-R-M-E disappointment. I have been"&amp;" a maif customer for 25 years. My parents have been so for 45 years. I had never had to complain about Maif (on the contrary).
But there, it is indigestion: we have lived for 2 years, at 5 with our 3 children, in an unhealthy room, and the maif leaves us"&amp;" to our sorrows despite our very detailed reminders and descriptions (photos ...).")</f>
        <v>Huge disappointment after 25 years of a very satisfactory relationship:
We have a 2 -year -old old water damage. A year ago, the MAIF gave us the green light to carry out the work after we asked for the intervention of their partner entrepreneurs.
When making an appointment with the entrepreneur at the end of August 2016 (we waited for the walls to dry), the entrepreneur tells us to disagree with the Maif on the amount of his work quote: the expert Maif estimates the Work at 2,200 euros, when partner entrepreneurs estimate them at 2900 euros.
Since that date, we have it with the Maif who tells us that we can no longer join his expert, nor their regional expert (to whom the file has been climbed).
We have provided, in the meantime, a detailed description at the MAIF, and had a quote carried out to a third-party craftsman (hoping to have the work carried out by ourselves): the craftsman asks us for 4,500 euros (sic); The work consists in repainting 95 m2, including 15 m2 to repair and coat.
I relaunch the MAIF almost every week and always get the same embarrassed answer of the advisers: 'Ha yes, indeed, I understand. We treat your file as well as possible, but unfortunately we cannot reach the experts'.
It is an E-N-O-R-M-E disappointment. I have been a maif customer for 25 years. My parents have been so for 45 years. I had never had to complain about Maif (on the contrary).
But there, it is indigestion: we have lived for 2 years, at 5 with our 3 children, in an unhealthy room, and the maif leaves us to our sorrows despite our very detailed reminders and descriptions (photos ...).</v>
      </c>
    </row>
    <row r="142" ht="15.75" customHeight="1">
      <c r="A142" s="2">
        <v>2.0</v>
      </c>
      <c r="B142" s="2" t="s">
        <v>507</v>
      </c>
      <c r="C142" s="2" t="s">
        <v>508</v>
      </c>
      <c r="D142" s="2" t="s">
        <v>352</v>
      </c>
      <c r="E142" s="2" t="s">
        <v>85</v>
      </c>
      <c r="F142" s="2" t="s">
        <v>15</v>
      </c>
      <c r="G142" s="2" t="s">
        <v>509</v>
      </c>
      <c r="H142" s="2" t="s">
        <v>201</v>
      </c>
      <c r="I142" s="2" t="str">
        <f>IFERROR(__xludf.DUMMYFUNCTION("GOOGLETRANSLATE(C142,""fr"",""en"")"),"I suffered a damage from the water of my neighbor above, damaging the ceiling of the bathroom and the GMF does not want to pay despite all the options taken in my contract.")</f>
        <v>I suffered a damage from the water of my neighbor above, damaging the ceiling of the bathroom and the GMF does not want to pay despite all the options taken in my contract.</v>
      </c>
    </row>
    <row r="143" ht="15.75" customHeight="1">
      <c r="A143" s="2">
        <v>3.0</v>
      </c>
      <c r="B143" s="2" t="s">
        <v>510</v>
      </c>
      <c r="C143" s="2" t="s">
        <v>511</v>
      </c>
      <c r="D143" s="2" t="s">
        <v>392</v>
      </c>
      <c r="E143" s="2" t="s">
        <v>317</v>
      </c>
      <c r="F143" s="2" t="s">
        <v>15</v>
      </c>
      <c r="G143" s="2" t="s">
        <v>512</v>
      </c>
      <c r="H143" s="2" t="s">
        <v>319</v>
      </c>
      <c r="I143" s="2" t="str">
        <f>IFERROR(__xludf.DUMMYFUNCTION("GOOGLETRANSLATE(C143,""fr"",""en"")"),"It is a subsidiary of the Caisse d'Epargne. Difficult to do more zero. No need to send simple letters, they are automatically crushed. When on the phone, even with their 4 identifiers: file number, benefit number, identifier, contract number, they do not "&amp;"find you, they did not seem to be computer and remained with sheets Manuals. In short, real no draws like I have rarely found.")</f>
        <v>It is a subsidiary of the Caisse d'Epargne. Difficult to do more zero. No need to send simple letters, they are automatically crushed. When on the phone, even with their 4 identifiers: file number, benefit number, identifier, contract number, they do not find you, they did not seem to be computer and remained with sheets Manuals. In short, real no draws like I have rarely found.</v>
      </c>
    </row>
    <row r="144" ht="15.75" customHeight="1">
      <c r="A144" s="2">
        <v>2.0</v>
      </c>
      <c r="B144" s="2" t="s">
        <v>513</v>
      </c>
      <c r="C144" s="2" t="s">
        <v>514</v>
      </c>
      <c r="D144" s="2" t="s">
        <v>97</v>
      </c>
      <c r="E144" s="2" t="s">
        <v>56</v>
      </c>
      <c r="F144" s="2" t="s">
        <v>15</v>
      </c>
      <c r="G144" s="2" t="s">
        <v>515</v>
      </c>
      <c r="H144" s="2" t="s">
        <v>103</v>
      </c>
      <c r="I144" s="2" t="str">
        <f>IFERROR(__xludf.DUMMYFUNCTION("GOOGLETRANSLATE(C144,""fr"",""en"")"),"Sinister not responsible since August 28, 2019 with a Spanish driver. Insured to the third party I expect that I am compensated to repair my car which mainly has the touched all the front left and HS rim. No news since I was told to wait but difficult to "&amp;"go to work without a car .... need my car as soon as possible")</f>
        <v>Sinister not responsible since August 28, 2019 with a Spanish driver. Insured to the third party I expect that I am compensated to repair my car which mainly has the touched all the front left and HS rim. No news since I was told to wait but difficult to go to work without a car .... need my car as soon as possible</v>
      </c>
    </row>
    <row r="145" ht="15.75" customHeight="1">
      <c r="A145" s="2">
        <v>1.0</v>
      </c>
      <c r="B145" s="2" t="s">
        <v>516</v>
      </c>
      <c r="C145" s="2" t="s">
        <v>517</v>
      </c>
      <c r="D145" s="2" t="s">
        <v>19</v>
      </c>
      <c r="E145" s="2" t="s">
        <v>14</v>
      </c>
      <c r="F145" s="2" t="s">
        <v>15</v>
      </c>
      <c r="G145" s="2" t="s">
        <v>518</v>
      </c>
      <c r="H145" s="2" t="s">
        <v>197</v>
      </c>
      <c r="I145" s="2" t="str">
        <f>IFERROR(__xludf.DUMMYFUNCTION("GOOGLETRANSLATE(C145,""fr"",""en"")"),"Abusive sales technique, puts a provident contract in the auto contract without an explanation. Be very careful or better avoid this insurance")</f>
        <v>Abusive sales technique, puts a provident contract in the auto contract without an explanation. Be very careful or better avoid this insurance</v>
      </c>
    </row>
    <row r="146" ht="15.75" customHeight="1">
      <c r="A146" s="2">
        <v>1.0</v>
      </c>
      <c r="B146" s="2" t="s">
        <v>519</v>
      </c>
      <c r="C146" s="2" t="s">
        <v>520</v>
      </c>
      <c r="D146" s="2" t="s">
        <v>224</v>
      </c>
      <c r="E146" s="2" t="s">
        <v>35</v>
      </c>
      <c r="F146" s="2" t="s">
        <v>15</v>
      </c>
      <c r="G146" s="2" t="s">
        <v>521</v>
      </c>
      <c r="H146" s="2" t="s">
        <v>319</v>
      </c>
      <c r="I146" s="2" t="str">
        <f>IFERROR(__xludf.DUMMYFUNCTION("GOOGLETRANSLATE(C146,""fr"",""en"")"),"See below")</f>
        <v>See below</v>
      </c>
    </row>
    <row r="147" ht="15.75" customHeight="1">
      <c r="A147" s="2">
        <v>1.0</v>
      </c>
      <c r="B147" s="2" t="s">
        <v>522</v>
      </c>
      <c r="C147" s="2" t="s">
        <v>523</v>
      </c>
      <c r="D147" s="2" t="s">
        <v>13</v>
      </c>
      <c r="E147" s="2" t="s">
        <v>14</v>
      </c>
      <c r="F147" s="2" t="s">
        <v>15</v>
      </c>
      <c r="G147" s="2" t="s">
        <v>293</v>
      </c>
      <c r="H147" s="2" t="s">
        <v>293</v>
      </c>
      <c r="I147" s="2" t="str">
        <f>IFERROR(__xludf.DUMMYFUNCTION("GOOGLETRANSLATE(C147,""fr"",""en"")"),"I am very satisfied nevertheless the contract there a few days was 477 € no at 469 so not very satisfied on the contrary ?? good day cordially")</f>
        <v>I am very satisfied nevertheless the contract there a few days was 477 € no at 469 so not very satisfied on the contrary ?? good day cordially</v>
      </c>
    </row>
    <row r="148" ht="15.75" customHeight="1">
      <c r="A148" s="2">
        <v>1.0</v>
      </c>
      <c r="B148" s="2" t="s">
        <v>524</v>
      </c>
      <c r="C148" s="2" t="s">
        <v>525</v>
      </c>
      <c r="D148" s="2" t="s">
        <v>13</v>
      </c>
      <c r="E148" s="2" t="s">
        <v>14</v>
      </c>
      <c r="F148" s="2" t="s">
        <v>15</v>
      </c>
      <c r="G148" s="2" t="s">
        <v>526</v>
      </c>
      <c r="H148" s="2" t="s">
        <v>52</v>
      </c>
      <c r="I148" s="2" t="str">
        <f>IFERROR(__xludf.DUMMYFUNCTION("GOOGLETRANSLATE(C148,""fr"",""en"")"),"The price increased by +20% compared to last year I seriously think of consulting my former insurer.
I do not understand this increase when I did not have an accident and with the 2020 health crisis the insurers made more profit.
Why don't providers do "&amp;"not benefit from Direct Assurance?
Cordially.
Mr DUVAL Cyril")</f>
        <v>The price increased by +20% compared to last year I seriously think of consulting my former insurer.
I do not understand this increase when I did not have an accident and with the 2020 health crisis the insurers made more profit.
Why don't providers do not benefit from Direct Assurance?
Cordially.
Mr DUVAL Cyril</v>
      </c>
    </row>
    <row r="149" ht="15.75" customHeight="1">
      <c r="A149" s="2">
        <v>4.0</v>
      </c>
      <c r="B149" s="2" t="s">
        <v>527</v>
      </c>
      <c r="C149" s="2" t="s">
        <v>528</v>
      </c>
      <c r="D149" s="2" t="s">
        <v>13</v>
      </c>
      <c r="E149" s="2" t="s">
        <v>14</v>
      </c>
      <c r="F149" s="2" t="s">
        <v>15</v>
      </c>
      <c r="G149" s="2" t="s">
        <v>529</v>
      </c>
      <c r="H149" s="2" t="s">
        <v>72</v>
      </c>
      <c r="I149" s="2" t="str">
        <f>IFERROR(__xludf.DUMMYFUNCTION("GOOGLETRANSLATE(C149,""fr"",""en"")"),"Very pleasant damage telephone service that prices for young drivers are raised but I still find my happiness thank you kisses")</f>
        <v>Very pleasant damage telephone service that prices for young drivers are raised but I still find my happiness thank you kisses</v>
      </c>
    </row>
    <row r="150" ht="15.75" customHeight="1">
      <c r="A150" s="2">
        <v>2.0</v>
      </c>
      <c r="B150" s="2" t="s">
        <v>530</v>
      </c>
      <c r="C150" s="2" t="s">
        <v>531</v>
      </c>
      <c r="D150" s="2" t="s">
        <v>179</v>
      </c>
      <c r="E150" s="2" t="s">
        <v>14</v>
      </c>
      <c r="F150" s="2" t="s">
        <v>15</v>
      </c>
      <c r="G150" s="2" t="s">
        <v>532</v>
      </c>
      <c r="H150" s="2" t="s">
        <v>533</v>
      </c>
      <c r="I150" s="2" t="str">
        <f>IFERROR(__xludf.DUMMYFUNCTION("GOOGLETRANSLATE(C150,""fr"",""en"")"),"Correct prices but completely absent customer service. They are unreachable, whatever the time or day of the call.
If you want cheap, go for it. If you want service, drop.")</f>
        <v>Correct prices but completely absent customer service. They are unreachable, whatever the time or day of the call.
If you want cheap, go for it. If you want service, drop.</v>
      </c>
    </row>
    <row r="151" ht="15.75" customHeight="1">
      <c r="A151" s="2">
        <v>4.0</v>
      </c>
      <c r="B151" s="2" t="s">
        <v>534</v>
      </c>
      <c r="C151" s="2" t="s">
        <v>535</v>
      </c>
      <c r="D151" s="2" t="s">
        <v>43</v>
      </c>
      <c r="E151" s="2" t="s">
        <v>14</v>
      </c>
      <c r="F151" s="2" t="s">
        <v>15</v>
      </c>
      <c r="G151" s="2" t="s">
        <v>272</v>
      </c>
      <c r="H151" s="2" t="s">
        <v>272</v>
      </c>
      <c r="I151" s="2" t="str">
        <f>IFERROR(__xludf.DUMMYFUNCTION("GOOGLETRANSLATE(C151,""fr"",""en"")"),"I am satisfied for the moment.
Very simple and effective.
Speed ​​by internet.
Satisfactory prices by sampling.
Thank you and good luck.")</f>
        <v>I am satisfied for the moment.
Very simple and effective.
Speed ​​by internet.
Satisfactory prices by sampling.
Thank you and good luck.</v>
      </c>
    </row>
    <row r="152" ht="15.75" customHeight="1">
      <c r="A152" s="2">
        <v>4.0</v>
      </c>
      <c r="B152" s="2" t="s">
        <v>536</v>
      </c>
      <c r="C152" s="2" t="s">
        <v>537</v>
      </c>
      <c r="D152" s="2" t="s">
        <v>34</v>
      </c>
      <c r="E152" s="2" t="s">
        <v>35</v>
      </c>
      <c r="F152" s="2" t="s">
        <v>15</v>
      </c>
      <c r="G152" s="2" t="s">
        <v>538</v>
      </c>
      <c r="H152" s="2" t="s">
        <v>272</v>
      </c>
      <c r="I152" s="2" t="str">
        <f>IFERROR(__xludf.DUMMYFUNCTION("GOOGLETRANSLATE(C152,""fr"",""en"")"),"Very warm welcome, good understanding of my request and very reactive afterwards, on the other hand I regret the slowness of the reimbursements, because it has been several weeks since I sent the documents.
Thank you to Alimatou")</f>
        <v>Very warm welcome, good understanding of my request and very reactive afterwards, on the other hand I regret the slowness of the reimbursements, because it has been several weeks since I sent the documents.
Thank you to Alimatou</v>
      </c>
    </row>
    <row r="153" ht="15.75" customHeight="1">
      <c r="A153" s="2">
        <v>1.0</v>
      </c>
      <c r="B153" s="2" t="s">
        <v>539</v>
      </c>
      <c r="C153" s="2" t="s">
        <v>540</v>
      </c>
      <c r="D153" s="2" t="s">
        <v>308</v>
      </c>
      <c r="E153" s="2" t="s">
        <v>14</v>
      </c>
      <c r="F153" s="2" t="s">
        <v>15</v>
      </c>
      <c r="G153" s="2" t="s">
        <v>541</v>
      </c>
      <c r="H153" s="2" t="s">
        <v>533</v>
      </c>
      <c r="I153" s="2" t="str">
        <f>IFERROR(__xludf.DUMMYFUNCTION("GOOGLETRANSLATE(C153,""fr"",""en"")"),"The insurance agent is ok
Their IT network between agency bug without stopping (loss of customer data for my part)
and their ""sal ... perie."" website is constantly HS !!!!
it's incredible !!!
I leave this insurer as soon as possible")</f>
        <v>The insurance agent is ok
Their IT network between agency bug without stopping (loss of customer data for my part)
and their "sal ... perie." website is constantly HS !!!!
it's incredible !!!
I leave this insurer as soon as possible</v>
      </c>
    </row>
    <row r="154" ht="15.75" customHeight="1">
      <c r="A154" s="2">
        <v>3.0</v>
      </c>
      <c r="B154" s="2" t="s">
        <v>542</v>
      </c>
      <c r="C154" s="2" t="s">
        <v>543</v>
      </c>
      <c r="D154" s="2" t="s">
        <v>448</v>
      </c>
      <c r="E154" s="2" t="s">
        <v>112</v>
      </c>
      <c r="F154" s="2" t="s">
        <v>15</v>
      </c>
      <c r="G154" s="2" t="s">
        <v>544</v>
      </c>
      <c r="H154" s="2" t="s">
        <v>192</v>
      </c>
      <c r="I154" s="2" t="str">
        <f>IFERROR(__xludf.DUMMYFUNCTION("GOOGLETRANSLATE(C154,""fr"",""en"")"),"I am satisfied with the services, the cost is much cheaper than current insurance.
Thank you
We will see in time what it gives, at least the adhesion is simple.
")</f>
        <v>I am satisfied with the services, the cost is much cheaper than current insurance.
Thank you
We will see in time what it gives, at least the adhesion is simple.
</v>
      </c>
    </row>
    <row r="155" ht="15.75" customHeight="1">
      <c r="A155" s="2">
        <v>4.0</v>
      </c>
      <c r="B155" s="2" t="s">
        <v>545</v>
      </c>
      <c r="C155" s="2" t="s">
        <v>546</v>
      </c>
      <c r="D155" s="2" t="s">
        <v>55</v>
      </c>
      <c r="E155" s="2" t="s">
        <v>56</v>
      </c>
      <c r="F155" s="2" t="s">
        <v>15</v>
      </c>
      <c r="G155" s="2" t="s">
        <v>547</v>
      </c>
      <c r="H155" s="2" t="s">
        <v>272</v>
      </c>
      <c r="I155" s="2" t="str">
        <f>IFERROR(__xludf.DUMMYFUNCTION("GOOGLETRANSLATE(C155,""fr"",""en"")"),"I am satisfied, very easy to use.
The cheapest insurance among many others.
Very responsive and very correct price level.
I reconcile.")</f>
        <v>I am satisfied, very easy to use.
The cheapest insurance among many others.
Very responsive and very correct price level.
I reconcile.</v>
      </c>
    </row>
    <row r="156" ht="15.75" customHeight="1">
      <c r="A156" s="2">
        <v>2.0</v>
      </c>
      <c r="B156" s="2" t="s">
        <v>548</v>
      </c>
      <c r="C156" s="2" t="s">
        <v>549</v>
      </c>
      <c r="D156" s="2" t="s">
        <v>13</v>
      </c>
      <c r="E156" s="2" t="s">
        <v>14</v>
      </c>
      <c r="F156" s="2" t="s">
        <v>15</v>
      </c>
      <c r="G156" s="2" t="s">
        <v>550</v>
      </c>
      <c r="H156" s="2" t="s">
        <v>52</v>
      </c>
      <c r="I156" s="2" t="str">
        <f>IFERROR(__xludf.DUMMYFUNCTION("GOOGLETRANSLATE(C156,""fr"",""en"")"),"Hello ,
I am not satisfied with the price of home insurance which continues to increase from year to year
I will see what the competition offers me
Cordially
Richard Kranenwitter
")</f>
        <v>Hello ,
I am not satisfied with the price of home insurance which continues to increase from year to year
I will see what the competition offers me
Cordially
Richard Kranenwitter
</v>
      </c>
    </row>
    <row r="157" ht="15.75" customHeight="1">
      <c r="A157" s="2">
        <v>2.0</v>
      </c>
      <c r="B157" s="2" t="s">
        <v>551</v>
      </c>
      <c r="C157" s="2" t="s">
        <v>552</v>
      </c>
      <c r="D157" s="2" t="s">
        <v>308</v>
      </c>
      <c r="E157" s="2" t="s">
        <v>14</v>
      </c>
      <c r="F157" s="2" t="s">
        <v>15</v>
      </c>
      <c r="G157" s="2" t="s">
        <v>553</v>
      </c>
      <c r="H157" s="2" t="s">
        <v>123</v>
      </c>
      <c r="I157" s="2" t="str">
        <f>IFERROR(__xludf.DUMMYFUNCTION("GOOGLETRANSLATE(C157,""fr"",""en"")"),"Poor quality customer service. Impossible to terminate, people does not answer the phone or by email. On the other hand, when you have to take money a lot of communications ...
Before leaving this opinion I even tried to contact the email which is saying"&amp;" manages the incidents ""dialogweb@allianz.fr"". I think it must be a phony address because there again no one responds.
I think you have warned, he has other much more professional insurers.")</f>
        <v>Poor quality customer service. Impossible to terminate, people does not answer the phone or by email. On the other hand, when you have to take money a lot of communications ...
Before leaving this opinion I even tried to contact the email which is saying manages the incidents "dialogweb@allianz.fr". I think it must be a phony address because there again no one responds.
I think you have warned, he has other much more professional insurers.</v>
      </c>
    </row>
    <row r="158" ht="15.75" customHeight="1">
      <c r="A158" s="2">
        <v>1.0</v>
      </c>
      <c r="B158" s="2" t="s">
        <v>554</v>
      </c>
      <c r="C158" s="2" t="s">
        <v>555</v>
      </c>
      <c r="D158" s="2" t="s">
        <v>195</v>
      </c>
      <c r="E158" s="2" t="s">
        <v>25</v>
      </c>
      <c r="F158" s="2" t="s">
        <v>15</v>
      </c>
      <c r="G158" s="2" t="s">
        <v>556</v>
      </c>
      <c r="H158" s="2" t="s">
        <v>94</v>
      </c>
      <c r="I158" s="2" t="str">
        <f>IFERROR(__xludf.DUMMYFUNCTION("GOOGLETRANSLATE(C158,""fr"",""en"")"),"Since March 2019, I have been waiting for the payment of life insurance of my deceased mom. We are 3.01.2020. All documents requested have been sent several times. No answer not even to the recommended letters. Paris no longer responds. The local correspo"&amp;"ndent has not existed for 3 years. There is no one left to inform us and process the request. What is going on? It's very worrying.")</f>
        <v>Since March 2019, I have been waiting for the payment of life insurance of my deceased mom. We are 3.01.2020. All documents requested have been sent several times. No answer not even to the recommended letters. Paris no longer responds. The local correspondent has not existed for 3 years. There is no one left to inform us and process the request. What is going on? It's very worrying.</v>
      </c>
    </row>
    <row r="159" ht="15.75" customHeight="1">
      <c r="A159" s="2">
        <v>1.0</v>
      </c>
      <c r="B159" s="2" t="s">
        <v>557</v>
      </c>
      <c r="C159" s="2" t="s">
        <v>558</v>
      </c>
      <c r="D159" s="2" t="s">
        <v>559</v>
      </c>
      <c r="E159" s="2" t="s">
        <v>317</v>
      </c>
      <c r="F159" s="2" t="s">
        <v>15</v>
      </c>
      <c r="G159" s="2" t="s">
        <v>560</v>
      </c>
      <c r="H159" s="2" t="s">
        <v>192</v>
      </c>
      <c r="I159" s="2" t="str">
        <f>IFERROR(__xludf.DUMMYFUNCTION("GOOGLETRANSLATE(C159,""fr"",""en"")"),"0/20 Shame on the provident interim avoid it !!!! a shame has been 8 months that I await my salary maintenance each time I call it a problem so the date and push this tired provident today Tell me that he forgets me and that the complaint service will put"&amp;" 9semaine to compensate him !!! A sick thing I am bursting the bailiffs, invoice ect .. and eu have fun with us danarqueur band !!!! Mr who answers the phone television speaks well but he and unpleasant does not let people express himself for him it is a "&amp;"robot I answer then bye he takes the people high I never saw his !!! I will file a complaint if others want to create a collective action so that our file is quickly deprived in court not having too much waiting. Really Decuuuuuu annoying, he hides behind"&amp;" their only defense the corona lolll in the years passing the corona was just in your company given the negative opinions of people. I am losing everything because of this foresight!")</f>
        <v>0/20 Shame on the provident interim avoid it !!!! a shame has been 8 months that I await my salary maintenance each time I call it a problem so the date and push this tired provident today Tell me that he forgets me and that the complaint service will put 9semaine to compensate him !!! A sick thing I am bursting the bailiffs, invoice ect .. and eu have fun with us danarqueur band !!!! Mr who answers the phone television speaks well but he and unpleasant does not let people express himself for him it is a robot I answer then bye he takes the people high I never saw his !!! I will file a complaint if others want to create a collective action so that our file is quickly deprived in court not having too much waiting. Really Decuuuuuu annoying, he hides behind their only defense the corona lolll in the years passing the corona was just in your company given the negative opinions of people. I am losing everything because of this foresight!</v>
      </c>
    </row>
    <row r="160" ht="15.75" customHeight="1">
      <c r="A160" s="2">
        <v>2.0</v>
      </c>
      <c r="B160" s="2" t="s">
        <v>561</v>
      </c>
      <c r="C160" s="2" t="s">
        <v>562</v>
      </c>
      <c r="D160" s="2" t="s">
        <v>43</v>
      </c>
      <c r="E160" s="2" t="s">
        <v>14</v>
      </c>
      <c r="F160" s="2" t="s">
        <v>15</v>
      </c>
      <c r="G160" s="2" t="s">
        <v>563</v>
      </c>
      <c r="H160" s="2" t="s">
        <v>68</v>
      </c>
      <c r="I160" s="2" t="str">
        <f>IFERROR(__xludf.DUMMYFUNCTION("GOOGLETRANSLATE(C160,""fr"",""en"")"),"satisfied with the welcome the prices a little high but in view of the situation of my son I had no other choice, so I cannot realize in relation to a so -called normal contract")</f>
        <v>satisfied with the welcome the prices a little high but in view of the situation of my son I had no other choice, so I cannot realize in relation to a so -called normal contract</v>
      </c>
    </row>
    <row r="161" ht="15.75" customHeight="1">
      <c r="A161" s="2">
        <v>3.0</v>
      </c>
      <c r="B161" s="2" t="s">
        <v>564</v>
      </c>
      <c r="C161" s="2" t="s">
        <v>565</v>
      </c>
      <c r="D161" s="2" t="s">
        <v>43</v>
      </c>
      <c r="E161" s="2" t="s">
        <v>14</v>
      </c>
      <c r="F161" s="2" t="s">
        <v>15</v>
      </c>
      <c r="G161" s="2" t="s">
        <v>566</v>
      </c>
      <c r="H161" s="2" t="s">
        <v>135</v>
      </c>
      <c r="I161" s="2" t="str">
        <f>IFERROR(__xludf.DUMMYFUNCTION("GOOGLETRANSLATE(C161,""fr"",""en"")"),"Very good insurance, always well advised. The price is correct. The site is very well done, to send documents it is very simple.")</f>
        <v>Very good insurance, always well advised. The price is correct. The site is very well done, to send documents it is very simple.</v>
      </c>
    </row>
    <row r="162" ht="15.75" customHeight="1">
      <c r="A162" s="2">
        <v>4.0</v>
      </c>
      <c r="B162" s="2" t="s">
        <v>567</v>
      </c>
      <c r="C162" s="2" t="s">
        <v>568</v>
      </c>
      <c r="D162" s="2" t="s">
        <v>43</v>
      </c>
      <c r="E162" s="2" t="s">
        <v>14</v>
      </c>
      <c r="F162" s="2" t="s">
        <v>15</v>
      </c>
      <c r="G162" s="2" t="s">
        <v>569</v>
      </c>
      <c r="H162" s="2" t="s">
        <v>217</v>
      </c>
      <c r="I162" s="2" t="str">
        <f>IFERROR(__xludf.DUMMYFUNCTION("GOOGLETRANSLATE(C162,""fr"",""en"")"),"Very easy to use and very fast insurance. Whether on the internet or by phone and very good value for money very satisfied with this insurance")</f>
        <v>Very easy to use and very fast insurance. Whether on the internet or by phone and very good value for money very satisfied with this insurance</v>
      </c>
    </row>
    <row r="163" ht="15.75" customHeight="1">
      <c r="A163" s="2">
        <v>2.0</v>
      </c>
      <c r="B163" s="2" t="s">
        <v>570</v>
      </c>
      <c r="C163" s="2" t="s">
        <v>571</v>
      </c>
      <c r="D163" s="2" t="s">
        <v>19</v>
      </c>
      <c r="E163" s="2" t="s">
        <v>14</v>
      </c>
      <c r="F163" s="2" t="s">
        <v>15</v>
      </c>
      <c r="G163" s="2" t="s">
        <v>572</v>
      </c>
      <c r="H163" s="2" t="s">
        <v>82</v>
      </c>
      <c r="I163" s="2" t="str">
        <f>IFERROR(__xludf.DUMMYFUNCTION("GOOGLETRANSLATE(C163,""fr"",""en"")"),"What can I say except that I have a 50% bonus for 3 years, is 2 vehicles insure at EU, so for the 2 vehicles I had the right to 9 euros to accumulate for the 2 ...... 2018/2019 Voila ....")</f>
        <v>What can I say except that I have a 50% bonus for 3 years, is 2 vehicles insure at EU, so for the 2 vehicles I had the right to 9 euros to accumulate for the 2 ...... 2018/2019 Voila ....</v>
      </c>
    </row>
    <row r="164" ht="15.75" customHeight="1">
      <c r="A164" s="2">
        <v>2.0</v>
      </c>
      <c r="B164" s="2" t="s">
        <v>573</v>
      </c>
      <c r="C164" s="2" t="s">
        <v>574</v>
      </c>
      <c r="D164" s="2" t="s">
        <v>13</v>
      </c>
      <c r="E164" s="2" t="s">
        <v>14</v>
      </c>
      <c r="F164" s="2" t="s">
        <v>15</v>
      </c>
      <c r="G164" s="2" t="s">
        <v>575</v>
      </c>
      <c r="H164" s="2" t="s">
        <v>576</v>
      </c>
      <c r="I164" s="2" t="str">
        <f>IFERROR(__xludf.DUMMYFUNCTION("GOOGLETRANSLATE(C164,""fr"",""en"")"),"Listening, responsive, correct prices.
To take insurance is relatively simple by internet, then stimulates by phone and contract in progress but to terminate, contact on their site is not enough, the telephonic contact either and the email live either, y"&amp;"ou have to send A registered letter, however, the email has the same legal values ​​but to write a letter for the environment of the planet, delivered a or even 2 times then for acknowledgment of reception before of course to have moved to the post to val"&amp;"idate the mail")</f>
        <v>Listening, responsive, correct prices.
To take insurance is relatively simple by internet, then stimulates by phone and contract in progress but to terminate, contact on their site is not enough, the telephonic contact either and the email live either, you have to send A registered letter, however, the email has the same legal values ​​but to write a letter for the environment of the planet, delivered a or even 2 times then for acknowledgment of reception before of course to have moved to the post to validate the mail</v>
      </c>
    </row>
    <row r="165" ht="15.75" customHeight="1">
      <c r="A165" s="2">
        <v>2.0</v>
      </c>
      <c r="B165" s="2" t="s">
        <v>577</v>
      </c>
      <c r="C165" s="2" t="s">
        <v>578</v>
      </c>
      <c r="D165" s="2" t="s">
        <v>278</v>
      </c>
      <c r="E165" s="2" t="s">
        <v>85</v>
      </c>
      <c r="F165" s="2" t="s">
        <v>15</v>
      </c>
      <c r="G165" s="2" t="s">
        <v>579</v>
      </c>
      <c r="H165" s="2" t="s">
        <v>580</v>
      </c>
      <c r="I165" s="2" t="str">
        <f>IFERROR(__xludf.DUMMYFUNCTION("GOOGLETRANSLATE(C165,""fr"",""en"")"),"Request for a commercial gesture for a home that I have not lived in for more than a year, customer service does not want to know anything, and threatens me with contentious recovery for less than 40 euros, certainly the prices are not bad but none Servic"&amp;"e at the Matmut")</f>
        <v>Request for a commercial gesture for a home that I have not lived in for more than a year, customer service does not want to know anything, and threatens me with contentious recovery for less than 40 euros, certainly the prices are not bad but none Service at the Matmut</v>
      </c>
    </row>
    <row r="166" ht="15.75" customHeight="1">
      <c r="A166" s="2">
        <v>5.0</v>
      </c>
      <c r="B166" s="2" t="s">
        <v>581</v>
      </c>
      <c r="C166" s="2" t="s">
        <v>582</v>
      </c>
      <c r="D166" s="2" t="s">
        <v>43</v>
      </c>
      <c r="E166" s="2" t="s">
        <v>14</v>
      </c>
      <c r="F166" s="2" t="s">
        <v>15</v>
      </c>
      <c r="G166" s="2" t="s">
        <v>583</v>
      </c>
      <c r="H166" s="2" t="s">
        <v>192</v>
      </c>
      <c r="I166" s="2" t="str">
        <f>IFERROR(__xludf.DUMMYFUNCTION("GOOGLETRANSLATE(C166,""fr"",""en"")"),"Practical and affordable service for an inexperienced, attractive prices, efficient and competent telephone service. Setisfaction to be confirmed or not use;")</f>
        <v>Practical and affordable service for an inexperienced, attractive prices, efficient and competent telephone service. Setisfaction to be confirmed or not use;</v>
      </c>
    </row>
    <row r="167" ht="15.75" customHeight="1">
      <c r="A167" s="2">
        <v>4.0</v>
      </c>
      <c r="B167" s="2" t="s">
        <v>584</v>
      </c>
      <c r="C167" s="2" t="s">
        <v>585</v>
      </c>
      <c r="D167" s="2" t="s">
        <v>352</v>
      </c>
      <c r="E167" s="2" t="s">
        <v>14</v>
      </c>
      <c r="F167" s="2" t="s">
        <v>15</v>
      </c>
      <c r="G167" s="2" t="s">
        <v>586</v>
      </c>
      <c r="H167" s="2" t="s">
        <v>72</v>
      </c>
      <c r="I167" s="2" t="str">
        <f>IFERROR(__xludf.DUMMYFUNCTION("GOOGLETRANSLATE(C167,""fr"",""en"")"),"Very good listen. Support for adapted and fast requests. Reasonable rates. Society for several years and no regret. Very professional company.")</f>
        <v>Very good listen. Support for adapted and fast requests. Reasonable rates. Society for several years and no regret. Very professional company.</v>
      </c>
    </row>
    <row r="168" ht="15.75" customHeight="1">
      <c r="A168" s="2">
        <v>4.0</v>
      </c>
      <c r="B168" s="2" t="s">
        <v>587</v>
      </c>
      <c r="C168" s="2" t="s">
        <v>588</v>
      </c>
      <c r="D168" s="2" t="s">
        <v>43</v>
      </c>
      <c r="E168" s="2" t="s">
        <v>14</v>
      </c>
      <c r="F168" s="2" t="s">
        <v>15</v>
      </c>
      <c r="G168" s="2" t="s">
        <v>216</v>
      </c>
      <c r="H168" s="2" t="s">
        <v>217</v>
      </c>
      <c r="I168" s="2" t="str">
        <f>IFERROR(__xludf.DUMMYFUNCTION("GOOGLETRANSLATE(C168,""fr"",""en"")"),"I am satisfied with the service and the reception that I have been able to receive everything I asked for or to be achieved and my contract was achieved with what I wanted")</f>
        <v>I am satisfied with the service and the reception that I have been able to receive everything I asked for or to be achieved and my contract was achieved with what I wanted</v>
      </c>
    </row>
    <row r="169" ht="15.75" customHeight="1">
      <c r="A169" s="2">
        <v>3.0</v>
      </c>
      <c r="B169" s="2" t="s">
        <v>589</v>
      </c>
      <c r="C169" s="2" t="s">
        <v>590</v>
      </c>
      <c r="D169" s="2" t="s">
        <v>43</v>
      </c>
      <c r="E169" s="2" t="s">
        <v>14</v>
      </c>
      <c r="F169" s="2" t="s">
        <v>15</v>
      </c>
      <c r="G169" s="2" t="s">
        <v>591</v>
      </c>
      <c r="H169" s="2" t="s">
        <v>185</v>
      </c>
      <c r="I169" s="2" t="str">
        <f>IFERROR(__xludf.DUMMYFUNCTION("GOOGLETRANSLATE(C169,""fr"",""en"")"),"I had a non -responsible disaster in February. The person responsible for the accident was not insured. After expertise, my car was classified irreparable. To date, I have still not been reimbursed by the Estimated value olive assurance of my car. I need "&amp;"this money to be able to buy a new car. They have been taking me by boat for weeks by telling me that the transfer will be made very soon but I still see nothing coming, despite their GTC which stipulate that we must be compensated within 15 days. I speci"&amp;"fy that they received on my part all the documents of the sale of my vehicle duly completed in early April.
I see only one solution now: to bring in a large association of consumers to which I am subscribed.
I am extremely disappointed with the way they"&amp;" treat their good drivers, who are doubly victims of the irresponsible who roll on the road and the lack of professionalism of this insurance.")</f>
        <v>I had a non -responsible disaster in February. The person responsible for the accident was not insured. After expertise, my car was classified irreparable. To date, I have still not been reimbursed by the Estimated value olive assurance of my car. I need this money to be able to buy a new car. They have been taking me by boat for weeks by telling me that the transfer will be made very soon but I still see nothing coming, despite their GTC which stipulate that we must be compensated within 15 days. I specify that they received on my part all the documents of the sale of my vehicle duly completed in early April.
I see only one solution now: to bring in a large association of consumers to which I am subscribed.
I am extremely disappointed with the way they treat their good drivers, who are doubly victims of the irresponsible who roll on the road and the lack of professionalism of this insurance.</v>
      </c>
    </row>
    <row r="170" ht="15.75" customHeight="1">
      <c r="A170" s="2">
        <v>4.0</v>
      </c>
      <c r="B170" s="2" t="s">
        <v>592</v>
      </c>
      <c r="C170" s="2" t="s">
        <v>593</v>
      </c>
      <c r="D170" s="2" t="s">
        <v>13</v>
      </c>
      <c r="E170" s="2" t="s">
        <v>14</v>
      </c>
      <c r="F170" s="2" t="s">
        <v>15</v>
      </c>
      <c r="G170" s="2" t="s">
        <v>594</v>
      </c>
      <c r="H170" s="2" t="s">
        <v>52</v>
      </c>
      <c r="I170" s="2" t="str">
        <f>IFERROR(__xludf.DUMMYFUNCTION("GOOGLETRANSLATE(C170,""fr"",""en"")"),"Fast, clear and simple membership everything can be done directly online so saving time no extension speech, no need to move, price more than correct")</f>
        <v>Fast, clear and simple membership everything can be done directly online so saving time no extension speech, no need to move, price more than correct</v>
      </c>
    </row>
    <row r="171" ht="15.75" customHeight="1">
      <c r="A171" s="2">
        <v>3.0</v>
      </c>
      <c r="B171" s="2" t="s">
        <v>595</v>
      </c>
      <c r="C171" s="2" t="s">
        <v>596</v>
      </c>
      <c r="D171" s="2" t="s">
        <v>597</v>
      </c>
      <c r="E171" s="2" t="s">
        <v>85</v>
      </c>
      <c r="F171" s="2" t="s">
        <v>15</v>
      </c>
      <c r="G171" s="2" t="s">
        <v>598</v>
      </c>
      <c r="H171" s="2" t="s">
        <v>146</v>
      </c>
      <c r="I171" s="2" t="str">
        <f>IFERROR(__xludf.DUMMYFUNCTION("GOOGLETRANSLATE(C171,""fr"",""en"")"),"Good evening my dog ​​is made attacked by another dog we are victims in history this was confirmed by the gendarmerie the next day we declare to Sogessur done them they balladed to us for 2 months to tell us that the insurance would not take anything into"&amp;" account (veto fees 240 euros). They did not even make contact with the opposing party I know them and I have inquired. They do not answer emails and on the phone he welcomes you with contempt ... very disappointed")</f>
        <v>Good evening my dog ​​is made attacked by another dog we are victims in history this was confirmed by the gendarmerie the next day we declare to Sogessur done them they balladed to us for 2 months to tell us that the insurance would not take anything into account (veto fees 240 euros). They did not even make contact with the opposing party I know them and I have inquired. They do not answer emails and on the phone he welcomes you with contempt ... very disappointed</v>
      </c>
    </row>
    <row r="172" ht="15.75" customHeight="1">
      <c r="A172" s="2">
        <v>5.0</v>
      </c>
      <c r="B172" s="2" t="s">
        <v>599</v>
      </c>
      <c r="C172" s="2" t="s">
        <v>600</v>
      </c>
      <c r="D172" s="2" t="s">
        <v>116</v>
      </c>
      <c r="E172" s="2" t="s">
        <v>35</v>
      </c>
      <c r="F172" s="2" t="s">
        <v>15</v>
      </c>
      <c r="G172" s="2" t="s">
        <v>601</v>
      </c>
      <c r="H172" s="2" t="s">
        <v>45</v>
      </c>
      <c r="I172" s="2" t="str">
        <f>IFERROR(__xludf.DUMMYFUNCTION("GOOGLETRANSLATE(C172,""fr"",""en"")"),"Reliable mutual (I have been a member for almost 40 years), and who has kept united values. In addition, contributions are proportional to the salary, which is fairer.")</f>
        <v>Reliable mutual (I have been a member for almost 40 years), and who has kept united values. In addition, contributions are proportional to the salary, which is fairer.</v>
      </c>
    </row>
    <row r="173" ht="15.75" customHeight="1">
      <c r="A173" s="2">
        <v>4.0</v>
      </c>
      <c r="B173" s="2" t="s">
        <v>602</v>
      </c>
      <c r="C173" s="2" t="s">
        <v>603</v>
      </c>
      <c r="D173" s="2" t="s">
        <v>13</v>
      </c>
      <c r="E173" s="2" t="s">
        <v>14</v>
      </c>
      <c r="F173" s="2" t="s">
        <v>15</v>
      </c>
      <c r="G173" s="2" t="s">
        <v>138</v>
      </c>
      <c r="H173" s="2" t="s">
        <v>72</v>
      </c>
      <c r="I173" s="2" t="str">
        <f>IFERROR(__xludf.DUMMYFUNCTION("GOOGLETRANSLATE(C173,""fr"",""en"")"),"Registration is easy, to be seen over the year if the services are accessible and if a person is easily reachable in the event of a question.
Too bad not to have been able to print my quote, at no time could I do it!")</f>
        <v>Registration is easy, to be seen over the year if the services are accessible and if a person is easily reachable in the event of a question.
Too bad not to have been able to print my quote, at no time could I do it!</v>
      </c>
    </row>
    <row r="174" ht="15.75" customHeight="1">
      <c r="A174" s="2">
        <v>2.0</v>
      </c>
      <c r="B174" s="2" t="s">
        <v>604</v>
      </c>
      <c r="C174" s="2" t="s">
        <v>605</v>
      </c>
      <c r="D174" s="2" t="s">
        <v>55</v>
      </c>
      <c r="E174" s="2" t="s">
        <v>56</v>
      </c>
      <c r="F174" s="2" t="s">
        <v>15</v>
      </c>
      <c r="G174" s="2" t="s">
        <v>606</v>
      </c>
      <c r="H174" s="2" t="s">
        <v>272</v>
      </c>
      <c r="I174" s="2" t="str">
        <f>IFERROR(__xludf.DUMMYFUNCTION("GOOGLETRANSLATE(C174,""fr"",""en"")"),"Satisfied to check my motorcycle bonus I am not sure, and impossible to modify it thank you ......... and I need an insurance certificate thank you")</f>
        <v>Satisfied to check my motorcycle bonus I am not sure, and impossible to modify it thank you ......... and I need an insurance certificate thank you</v>
      </c>
    </row>
    <row r="175" ht="15.75" customHeight="1">
      <c r="A175" s="2">
        <v>5.0</v>
      </c>
      <c r="B175" s="2" t="s">
        <v>607</v>
      </c>
      <c r="C175" s="2" t="s">
        <v>608</v>
      </c>
      <c r="D175" s="2" t="s">
        <v>43</v>
      </c>
      <c r="E175" s="2" t="s">
        <v>14</v>
      </c>
      <c r="F175" s="2" t="s">
        <v>15</v>
      </c>
      <c r="G175" s="2" t="s">
        <v>609</v>
      </c>
      <c r="H175" s="2" t="s">
        <v>217</v>
      </c>
      <c r="I175" s="2" t="str">
        <f>IFERROR(__xludf.DUMMYFUNCTION("GOOGLETRANSLATE(C175,""fr"",""en"")"),"Satisfied with the service and its responsiveness. The request for a change of insurance following a date error could be made in the morning. Exchange efficiency")</f>
        <v>Satisfied with the service and its responsiveness. The request for a change of insurance following a date error could be made in the morning. Exchange efficiency</v>
      </c>
    </row>
    <row r="176" ht="15.75" customHeight="1">
      <c r="A176" s="2">
        <v>1.0</v>
      </c>
      <c r="B176" s="2" t="s">
        <v>610</v>
      </c>
      <c r="C176" s="2" t="s">
        <v>611</v>
      </c>
      <c r="D176" s="2" t="s">
        <v>43</v>
      </c>
      <c r="E176" s="2" t="s">
        <v>14</v>
      </c>
      <c r="F176" s="2" t="s">
        <v>15</v>
      </c>
      <c r="G176" s="2" t="s">
        <v>612</v>
      </c>
      <c r="H176" s="2" t="s">
        <v>371</v>
      </c>
      <c r="I176" s="2" t="str">
        <f>IFERROR(__xludf.DUMMYFUNCTION("GOOGLETRANSLATE(C176,""fr"",""en"")"),"bad insurer
Change of prices compared to the prices indicated in the subscription
relationship with the loyalty service that is too sloppy and without solution
I think I terminated my contract with the 14 days of withdrawal")</f>
        <v>bad insurer
Change of prices compared to the prices indicated in the subscription
relationship with the loyalty service that is too sloppy and without solution
I think I terminated my contract with the 14 days of withdrawal</v>
      </c>
    </row>
    <row r="177" ht="15.75" customHeight="1">
      <c r="A177" s="2">
        <v>4.0</v>
      </c>
      <c r="B177" s="2" t="s">
        <v>613</v>
      </c>
      <c r="C177" s="2" t="s">
        <v>614</v>
      </c>
      <c r="D177" s="2" t="s">
        <v>43</v>
      </c>
      <c r="E177" s="2" t="s">
        <v>14</v>
      </c>
      <c r="F177" s="2" t="s">
        <v>15</v>
      </c>
      <c r="G177" s="2" t="s">
        <v>615</v>
      </c>
      <c r="H177" s="2" t="s">
        <v>217</v>
      </c>
      <c r="I177" s="2" t="str">
        <f>IFERROR(__xludf.DUMMYFUNCTION("GOOGLETRANSLATE(C177,""fr"",""en"")"),"I am satisfied with the signed contract. The advisor was very professional and listening to me but I do not find the explanations for the electronic signature very clear.")</f>
        <v>I am satisfied with the signed contract. The advisor was very professional and listening to me but I do not find the explanations for the electronic signature very clear.</v>
      </c>
    </row>
    <row r="178" ht="15.75" customHeight="1">
      <c r="A178" s="2">
        <v>3.0</v>
      </c>
      <c r="B178" s="2" t="s">
        <v>616</v>
      </c>
      <c r="C178" s="2" t="s">
        <v>617</v>
      </c>
      <c r="D178" s="2" t="s">
        <v>106</v>
      </c>
      <c r="E178" s="2" t="s">
        <v>85</v>
      </c>
      <c r="F178" s="2" t="s">
        <v>15</v>
      </c>
      <c r="G178" s="2" t="s">
        <v>618</v>
      </c>
      <c r="H178" s="2" t="s">
        <v>619</v>
      </c>
      <c r="I178" s="2" t="str">
        <f>IFERROR(__xludf.DUMMYFUNCTION("GOOGLETRANSLATE(C178,""fr"",""en"")"),"its going to say.")</f>
        <v>its going to say.</v>
      </c>
    </row>
    <row r="179" ht="15.75" customHeight="1">
      <c r="A179" s="2">
        <v>5.0</v>
      </c>
      <c r="B179" s="2" t="s">
        <v>620</v>
      </c>
      <c r="C179" s="2" t="s">
        <v>621</v>
      </c>
      <c r="D179" s="2" t="s">
        <v>43</v>
      </c>
      <c r="E179" s="2" t="s">
        <v>14</v>
      </c>
      <c r="F179" s="2" t="s">
        <v>15</v>
      </c>
      <c r="G179" s="2" t="s">
        <v>216</v>
      </c>
      <c r="H179" s="2" t="s">
        <v>217</v>
      </c>
      <c r="I179" s="2" t="str">
        <f>IFERROR(__xludf.DUMMYFUNCTION("GOOGLETRANSLATE(C179,""fr"",""en"")"),"I am satisfied with the service and the price.
Very good customer service on the phone I will recommend around me")</f>
        <v>I am satisfied with the service and the price.
Very good customer service on the phone I will recommend around me</v>
      </c>
    </row>
    <row r="180" ht="15.75" customHeight="1">
      <c r="A180" s="2">
        <v>1.0</v>
      </c>
      <c r="B180" s="2" t="s">
        <v>622</v>
      </c>
      <c r="C180" s="2" t="s">
        <v>623</v>
      </c>
      <c r="D180" s="2" t="s">
        <v>338</v>
      </c>
      <c r="E180" s="2" t="s">
        <v>144</v>
      </c>
      <c r="F180" s="2" t="s">
        <v>15</v>
      </c>
      <c r="G180" s="2" t="s">
        <v>624</v>
      </c>
      <c r="H180" s="2" t="s">
        <v>146</v>
      </c>
      <c r="I180" s="2" t="str">
        <f>IFERROR(__xludf.DUMMYFUNCTION("GOOGLETRANSLATE(C180,""fr"",""en"")"),"Very unhappy with customer service! .mon cat has health concerns and I discovered at the same time that the offers have evolved and I was not contacted!
I checked and never received the email communicating these offers but the answer: it is up to the app"&amp;"licant to prove that it is true!
It's up to me to take the more approach?
5 years that I am the stuffing turkey to hear the advisor say: I cannot make you commercial offer and hides behind the argument we are the leader!
A shame !
No commercial gestur"&amp;"e while I pay for a less well service, no recognition of loyalty after 5 years.
My renewal is at the end of the month, I don't think I stay at this price with an obsolete offer and no commercial gesture on their part!
It's good when there are problems, "&amp;"that there is no one left! And change your advisers who only have institutional speeches and no room for maneuvers to retain us!")</f>
        <v>Very unhappy with customer service! .mon cat has health concerns and I discovered at the same time that the offers have evolved and I was not contacted!
I checked and never received the email communicating these offers but the answer: it is up to the applicant to prove that it is true!
It's up to me to take the more approach?
5 years that I am the stuffing turkey to hear the advisor say: I cannot make you commercial offer and hides behind the argument we are the leader!
A shame !
No commercial gesture while I pay for a less well service, no recognition of loyalty after 5 years.
My renewal is at the end of the month, I don't think I stay at this price with an obsolete offer and no commercial gesture on their part!
It's good when there are problems, that there is no one left! And change your advisers who only have institutional speeches and no room for maneuvers to retain us!</v>
      </c>
    </row>
    <row r="181" ht="15.75" customHeight="1">
      <c r="A181" s="2">
        <v>1.0</v>
      </c>
      <c r="B181" s="2" t="s">
        <v>625</v>
      </c>
      <c r="C181" s="2" t="s">
        <v>626</v>
      </c>
      <c r="D181" s="2" t="s">
        <v>80</v>
      </c>
      <c r="E181" s="2" t="s">
        <v>14</v>
      </c>
      <c r="F181" s="2" t="s">
        <v>15</v>
      </c>
      <c r="G181" s="2" t="s">
        <v>627</v>
      </c>
      <c r="H181" s="2" t="s">
        <v>283</v>
      </c>
      <c r="I181" s="2" t="str">
        <f>IFERROR(__xludf.DUMMYFUNCTION("GOOGLETRANSLATE(C181,""fr"",""en"")"),"Unbelievable ! Non -responsible sinister, towing of the non -rolling vehicle after 4 hours of waiting, no loan vehicle then 8 days waiting for one that it is transferred to an ""approved garage"" which is actually a car break, in short abandonment managem"&amp;"ent with No consideration of peripheral p roblemies to manage.")</f>
        <v>Unbelievable ! Non -responsible sinister, towing of the non -rolling vehicle after 4 hours of waiting, no loan vehicle then 8 days waiting for one that it is transferred to an "approved garage" which is actually a car break, in short abandonment management with No consideration of peripheral p roblemies to manage.</v>
      </c>
    </row>
    <row r="182" ht="15.75" customHeight="1">
      <c r="A182" s="2">
        <v>5.0</v>
      </c>
      <c r="B182" s="2" t="s">
        <v>628</v>
      </c>
      <c r="C182" s="2" t="s">
        <v>629</v>
      </c>
      <c r="D182" s="2" t="s">
        <v>43</v>
      </c>
      <c r="E182" s="2" t="s">
        <v>14</v>
      </c>
      <c r="F182" s="2" t="s">
        <v>15</v>
      </c>
      <c r="G182" s="2" t="s">
        <v>630</v>
      </c>
      <c r="H182" s="2" t="s">
        <v>293</v>
      </c>
      <c r="I182" s="2" t="str">
        <f>IFERROR(__xludf.DUMMYFUNCTION("GOOGLETRANSLATE(C182,""fr"",""en"")"),"I am very satisfied with your very smiling and friendly team
The price the services nothing to say
Thank you the olive tree
Well cordially Mrs. UNAL and MR HAN")</f>
        <v>I am very satisfied with your very smiling and friendly team
The price the services nothing to say
Thank you the olive tree
Well cordially Mrs. UNAL and MR HAN</v>
      </c>
    </row>
    <row r="183" ht="15.75" customHeight="1">
      <c r="A183" s="2">
        <v>5.0</v>
      </c>
      <c r="B183" s="2" t="s">
        <v>631</v>
      </c>
      <c r="C183" s="2" t="s">
        <v>632</v>
      </c>
      <c r="D183" s="2" t="s">
        <v>13</v>
      </c>
      <c r="E183" s="2" t="s">
        <v>14</v>
      </c>
      <c r="F183" s="2" t="s">
        <v>15</v>
      </c>
      <c r="G183" s="2" t="s">
        <v>633</v>
      </c>
      <c r="H183" s="2" t="s">
        <v>72</v>
      </c>
      <c r="I183" s="2" t="str">
        <f>IFERROR(__xludf.DUMMYFUNCTION("GOOGLETRANSLATE(C183,""fr"",""en"")"),"I am satisfied with the proposed price and the services which appear in my contract.
I also appreciated the speed of the file assembly. And ease to pay.")</f>
        <v>I am satisfied with the proposed price and the services which appear in my contract.
I also appreciated the speed of the file assembly. And ease to pay.</v>
      </c>
    </row>
    <row r="184" ht="15.75" customHeight="1">
      <c r="A184" s="2">
        <v>1.0</v>
      </c>
      <c r="B184" s="2" t="s">
        <v>634</v>
      </c>
      <c r="C184" s="2" t="s">
        <v>635</v>
      </c>
      <c r="D184" s="2" t="s">
        <v>43</v>
      </c>
      <c r="E184" s="2" t="s">
        <v>14</v>
      </c>
      <c r="F184" s="2" t="s">
        <v>15</v>
      </c>
      <c r="G184" s="2" t="s">
        <v>636</v>
      </c>
      <c r="H184" s="2" t="s">
        <v>108</v>
      </c>
      <c r="I184" s="2" t="str">
        <f>IFERROR(__xludf.DUMMYFUNCTION("GOOGLETRANSLATE(C184,""fr"",""en"")"),"Hello,
Raised car on March 13 and to date still no expertise in achieved while it is planned remotely.
The advisers, although sympathetic, have no solution to bring me apart from the obviously unnecessary calls to the expertise firm. I even had to call "&amp;"him myself to advance the file.
The information given changes from one advisor to another (one cannot call the garage because not approved but the next can, one tells me that we can mandate another expert who will move, the Another tells me that it is im"&amp;"possible, to finally tell me the opposite by email).
Apart from a first call on their part following the declaration of the claim, it was not at any time the olive tree that reminded me despite their promise to make a return.
In view of the other commen"&amp;"ts I now fear to see myself waiting for another 6 months more before a refund of my car if it were to pass wreck ...")</f>
        <v>Hello,
Raised car on March 13 and to date still no expertise in achieved while it is planned remotely.
The advisers, although sympathetic, have no solution to bring me apart from the obviously unnecessary calls to the expertise firm. I even had to call him myself to advance the file.
The information given changes from one advisor to another (one cannot call the garage because not approved but the next can, one tells me that we can mandate another expert who will move, the Another tells me that it is impossible, to finally tell me the opposite by email).
Apart from a first call on their part following the declaration of the claim, it was not at any time the olive tree that reminded me despite their promise to make a return.
In view of the other comments I now fear to see myself waiting for another 6 months more before a refund of my car if it were to pass wreck ...</v>
      </c>
    </row>
    <row r="185" ht="15.75" customHeight="1">
      <c r="A185" s="2">
        <v>4.0</v>
      </c>
      <c r="B185" s="2" t="s">
        <v>637</v>
      </c>
      <c r="C185" s="2" t="s">
        <v>638</v>
      </c>
      <c r="D185" s="2" t="s">
        <v>55</v>
      </c>
      <c r="E185" s="2" t="s">
        <v>56</v>
      </c>
      <c r="F185" s="2" t="s">
        <v>15</v>
      </c>
      <c r="G185" s="2" t="s">
        <v>639</v>
      </c>
      <c r="H185" s="2" t="s">
        <v>166</v>
      </c>
      <c r="I185" s="2" t="str">
        <f>IFERROR(__xludf.DUMMYFUNCTION("GOOGLETRANSLATE(C185,""fr"",""en"")"),"Very good and fast, I have little assured in 10 minutes my 50cc scooter for the day the same. The prices are attractive, more attractive than the others anyway, so I recommend this insurance")</f>
        <v>Very good and fast, I have little assured in 10 minutes my 50cc scooter for the day the same. The prices are attractive, more attractive than the others anyway, so I recommend this insurance</v>
      </c>
    </row>
    <row r="186" ht="15.75" customHeight="1">
      <c r="A186" s="2">
        <v>5.0</v>
      </c>
      <c r="B186" s="2" t="s">
        <v>640</v>
      </c>
      <c r="C186" s="2" t="s">
        <v>641</v>
      </c>
      <c r="D186" s="2" t="s">
        <v>13</v>
      </c>
      <c r="E186" s="2" t="s">
        <v>14</v>
      </c>
      <c r="F186" s="2" t="s">
        <v>15</v>
      </c>
      <c r="G186" s="2" t="s">
        <v>529</v>
      </c>
      <c r="H186" s="2" t="s">
        <v>72</v>
      </c>
      <c r="I186" s="2" t="str">
        <f>IFERROR(__xludf.DUMMYFUNCTION("GOOGLETRANSLATE(C186,""fr"",""en"")"),"Very good value for money, in my opinion should have quick access to customers already in account at home.
Quick sending nothing to report particular.")</f>
        <v>Very good value for money, in my opinion should have quick access to customers already in account at home.
Quick sending nothing to report particular.</v>
      </c>
    </row>
    <row r="187" ht="15.75" customHeight="1">
      <c r="A187" s="2">
        <v>5.0</v>
      </c>
      <c r="B187" s="2" t="s">
        <v>642</v>
      </c>
      <c r="C187" s="2" t="s">
        <v>643</v>
      </c>
      <c r="D187" s="2" t="s">
        <v>352</v>
      </c>
      <c r="E187" s="2" t="s">
        <v>14</v>
      </c>
      <c r="F187" s="2" t="s">
        <v>15</v>
      </c>
      <c r="G187" s="2" t="s">
        <v>72</v>
      </c>
      <c r="H187" s="2" t="s">
        <v>72</v>
      </c>
      <c r="I187" s="2" t="str">
        <f>IFERROR(__xludf.DUMMYFUNCTION("GOOGLETRANSLATE(C187,""fr"",""en"")"),"Very satisfied for over 50 years. No problem.
Always well received whether in an agency or on the phone.
Very responsive staff whatever the subject: insurance, accident etc")</f>
        <v>Very satisfied for over 50 years. No problem.
Always well received whether in an agency or on the phone.
Very responsive staff whatever the subject: insurance, accident etc</v>
      </c>
    </row>
    <row r="188" ht="15.75" customHeight="1">
      <c r="A188" s="2">
        <v>1.0</v>
      </c>
      <c r="B188" s="2" t="s">
        <v>644</v>
      </c>
      <c r="C188" s="2" t="s">
        <v>645</v>
      </c>
      <c r="D188" s="2" t="s">
        <v>13</v>
      </c>
      <c r="E188" s="2" t="s">
        <v>14</v>
      </c>
      <c r="F188" s="2" t="s">
        <v>15</v>
      </c>
      <c r="G188" s="2" t="s">
        <v>646</v>
      </c>
      <c r="H188" s="2" t="s">
        <v>52</v>
      </c>
      <c r="I188" s="2" t="str">
        <f>IFERROR(__xludf.DUMMYFUNCTION("GOOGLETRANSLATE(C188,""fr"",""en"")"),"I find that the management of files in particular claims leaves a little to be desired, for more than a month that I expect for my repairs concerning my vehicles, knowing that everything is in rules on my side at the administrative level.
")</f>
        <v>I find that the management of files in particular claims leaves a little to be desired, for more than a month that I expect for my repairs concerning my vehicles, knowing that everything is in rules on my side at the administrative level.
</v>
      </c>
    </row>
    <row r="189" ht="15.75" customHeight="1">
      <c r="A189" s="2">
        <v>5.0</v>
      </c>
      <c r="B189" s="2" t="s">
        <v>647</v>
      </c>
      <c r="C189" s="2" t="s">
        <v>648</v>
      </c>
      <c r="D189" s="2" t="s">
        <v>13</v>
      </c>
      <c r="E189" s="2" t="s">
        <v>14</v>
      </c>
      <c r="F189" s="2" t="s">
        <v>15</v>
      </c>
      <c r="G189" s="2" t="s">
        <v>649</v>
      </c>
      <c r="H189" s="2" t="s">
        <v>146</v>
      </c>
      <c r="I189" s="2" t="str">
        <f>IFERROR(__xludf.DUMMYFUNCTION("GOOGLETRANSLATE(C189,""fr"",""en"")"),"I am satisfied with the quote
Îl remains to be seen if these are real prices
I would like to have a phone advice
And also how it works in case of a claims")</f>
        <v>I am satisfied with the quote
Îl remains to be seen if these are real prices
I would like to have a phone advice
And also how it works in case of a claims</v>
      </c>
    </row>
    <row r="190" ht="15.75" customHeight="1">
      <c r="A190" s="2">
        <v>3.0</v>
      </c>
      <c r="B190" s="2" t="s">
        <v>650</v>
      </c>
      <c r="C190" s="2" t="s">
        <v>651</v>
      </c>
      <c r="D190" s="2" t="s">
        <v>43</v>
      </c>
      <c r="E190" s="2" t="s">
        <v>14</v>
      </c>
      <c r="F190" s="2" t="s">
        <v>15</v>
      </c>
      <c r="G190" s="2" t="s">
        <v>652</v>
      </c>
      <c r="H190" s="2" t="s">
        <v>619</v>
      </c>
      <c r="I190" s="2" t="str">
        <f>IFERROR(__xludf.DUMMYFUNCTION("GOOGLETRANSLATE(C190,""fr"",""en"")"),"They have the best prices but beware it will be almost 4 weeks that I subscribed to my car insurance at Olivier and they still did not send me the final green card despite several reminders and despite the fact that I sent all the documents that they aske"&amp;"d me. The worst part is that they told me that they had terminated my old car contract from my former insurer when it is false and today I have just received an invoice from this former insurer.")</f>
        <v>They have the best prices but beware it will be almost 4 weeks that I subscribed to my car insurance at Olivier and they still did not send me the final green card despite several reminders and despite the fact that I sent all the documents that they asked me. The worst part is that they told me that they had terminated my old car contract from my former insurer when it is false and today I have just received an invoice from this former insurer.</v>
      </c>
    </row>
    <row r="191" ht="15.75" customHeight="1">
      <c r="A191" s="2">
        <v>4.0</v>
      </c>
      <c r="B191" s="2" t="s">
        <v>653</v>
      </c>
      <c r="C191" s="2" t="s">
        <v>654</v>
      </c>
      <c r="D191" s="2" t="s">
        <v>278</v>
      </c>
      <c r="E191" s="2" t="s">
        <v>14</v>
      </c>
      <c r="F191" s="2" t="s">
        <v>15</v>
      </c>
      <c r="G191" s="2" t="s">
        <v>655</v>
      </c>
      <c r="H191" s="2" t="s">
        <v>150</v>
      </c>
      <c r="I191" s="2" t="str">
        <f>IFERROR(__xludf.DUMMYFUNCTION("GOOGLETRANSLATE(C191,""fr"",""en"")"),"On the other hand, leaving my night post. I can't start. Allo Assistance Matmut. Interlocutor very professional, takes care of the search for a charter. SMS received with coordinates of the speaker. Allo Mr the mechanic. He comes immediately. Sonthful int"&amp;"ervention allows me to come back quickly and do the necessary to replace the battery. Thank you Mamut and particularly the employees of Chalon sur Saone (71). I am satisfied with my contract.")</f>
        <v>On the other hand, leaving my night post. I can't start. Allo Assistance Matmut. Interlocutor very professional, takes care of the search for a charter. SMS received with coordinates of the speaker. Allo Mr the mechanic. He comes immediately. Sonthful intervention allows me to come back quickly and do the necessary to replace the battery. Thank you Mamut and particularly the employees of Chalon sur Saone (71). I am satisfied with my contract.</v>
      </c>
    </row>
    <row r="192" ht="15.75" customHeight="1">
      <c r="A192" s="2">
        <v>1.0</v>
      </c>
      <c r="B192" s="2" t="s">
        <v>656</v>
      </c>
      <c r="C192" s="2" t="s">
        <v>657</v>
      </c>
      <c r="D192" s="2" t="s">
        <v>220</v>
      </c>
      <c r="E192" s="2" t="s">
        <v>35</v>
      </c>
      <c r="F192" s="2" t="s">
        <v>15</v>
      </c>
      <c r="G192" s="2" t="s">
        <v>658</v>
      </c>
      <c r="H192" s="2" t="s">
        <v>52</v>
      </c>
      <c r="I192" s="2" t="str">
        <f>IFERROR(__xludf.DUMMYFUNCTION("GOOGLETRANSLATE(C192,""fr"",""en"")"),"My 74 -year -old mother finds herself with a ""false"" contract. She has never signed, she does not know how to make an electronic signature either. Is this the only one in this case? They refuse to terminate (LRAR received refusing our request). How to d"&amp;"o ???")</f>
        <v>My 74 -year -old mother finds herself with a "false" contract. She has never signed, she does not know how to make an electronic signature either. Is this the only one in this case? They refuse to terminate (LRAR received refusing our request). How to do ???</v>
      </c>
    </row>
    <row r="193" ht="15.75" customHeight="1">
      <c r="A193" s="2">
        <v>2.0</v>
      </c>
      <c r="B193" s="2" t="s">
        <v>659</v>
      </c>
      <c r="C193" s="2" t="s">
        <v>660</v>
      </c>
      <c r="D193" s="2" t="s">
        <v>55</v>
      </c>
      <c r="E193" s="2" t="s">
        <v>56</v>
      </c>
      <c r="F193" s="2" t="s">
        <v>15</v>
      </c>
      <c r="G193" s="2" t="s">
        <v>409</v>
      </c>
      <c r="H193" s="2" t="s">
        <v>166</v>
      </c>
      <c r="I193" s="2" t="str">
        <f>IFERROR(__xludf.DUMMYFUNCTION("GOOGLETRANSLATE(C193,""fr"",""en"")"),"Ras nothing declared a little expensive price to see in the temp more details on the service more service will be a plus given the rapid reponcse price of the quote")</f>
        <v>Ras nothing declared a little expensive price to see in the temp more details on the service more service will be a plus given the rapid reponcse price of the quote</v>
      </c>
    </row>
    <row r="194" ht="15.75" customHeight="1">
      <c r="A194" s="2">
        <v>3.0</v>
      </c>
      <c r="B194" s="2" t="s">
        <v>661</v>
      </c>
      <c r="C194" s="2" t="s">
        <v>662</v>
      </c>
      <c r="D194" s="2" t="s">
        <v>106</v>
      </c>
      <c r="E194" s="2" t="s">
        <v>14</v>
      </c>
      <c r="F194" s="2" t="s">
        <v>15</v>
      </c>
      <c r="G194" s="2" t="s">
        <v>663</v>
      </c>
      <c r="H194" s="2" t="s">
        <v>371</v>
      </c>
      <c r="I194" s="2" t="str">
        <f>IFERROR(__xludf.DUMMYFUNCTION("GOOGLETRANSLATE(C194,""fr"",""en"")"),"Despite a grouping of all our insurance, the price remains very high ..................................... .")</f>
        <v>Despite a grouping of all our insurance, the price remains very high ..................................... .</v>
      </c>
    </row>
    <row r="195" ht="15.75" customHeight="1">
      <c r="A195" s="2">
        <v>4.0</v>
      </c>
      <c r="B195" s="2" t="s">
        <v>664</v>
      </c>
      <c r="C195" s="2" t="s">
        <v>665</v>
      </c>
      <c r="D195" s="2" t="s">
        <v>43</v>
      </c>
      <c r="E195" s="2" t="s">
        <v>14</v>
      </c>
      <c r="F195" s="2" t="s">
        <v>15</v>
      </c>
      <c r="G195" s="2" t="s">
        <v>666</v>
      </c>
      <c r="H195" s="2" t="s">
        <v>135</v>
      </c>
      <c r="I195" s="2" t="str">
        <f>IFERROR(__xludf.DUMMYFUNCTION("GOOGLETRANSLATE(C195,""fr"",""en"")"),"I chose the olive assurance because my brother is a customer at home and I had good commanders")</f>
        <v>I chose the olive assurance because my brother is a customer at home and I had good commanders</v>
      </c>
    </row>
    <row r="196" ht="15.75" customHeight="1">
      <c r="A196" s="2">
        <v>1.0</v>
      </c>
      <c r="B196" s="2" t="s">
        <v>667</v>
      </c>
      <c r="C196" s="2" t="s">
        <v>668</v>
      </c>
      <c r="D196" s="2" t="s">
        <v>183</v>
      </c>
      <c r="E196" s="2" t="s">
        <v>14</v>
      </c>
      <c r="F196" s="2" t="s">
        <v>15</v>
      </c>
      <c r="G196" s="2" t="s">
        <v>669</v>
      </c>
      <c r="H196" s="2" t="s">
        <v>146</v>
      </c>
      <c r="I196" s="2" t="str">
        <f>IFERROR(__xludf.DUMMYFUNCTION("GOOGLETRANSLATE(C196,""fr"",""en"")"),"Save yourself quickly from their sites and if you were pied do not miss the date of time, because despite calls and letters accused receipt, nothing
Annual payment, however
And above all, I conjure you, never provide them with an R.I.B without which tak"&amp;"e and big surprise.")</f>
        <v>Save yourself quickly from their sites and if you were pied do not miss the date of time, because despite calls and letters accused receipt, nothing
Annual payment, however
And above all, I conjure you, never provide them with an R.I.B without which take and big surprise.</v>
      </c>
    </row>
    <row r="197" ht="15.75" customHeight="1">
      <c r="A197" s="2">
        <v>2.0</v>
      </c>
      <c r="B197" s="2" t="s">
        <v>670</v>
      </c>
      <c r="C197" s="2" t="s">
        <v>671</v>
      </c>
      <c r="D197" s="2" t="s">
        <v>13</v>
      </c>
      <c r="E197" s="2" t="s">
        <v>14</v>
      </c>
      <c r="F197" s="2" t="s">
        <v>15</v>
      </c>
      <c r="G197" s="2" t="s">
        <v>672</v>
      </c>
      <c r="H197" s="2" t="s">
        <v>68</v>
      </c>
      <c r="I197" s="2" t="str">
        <f>IFERROR(__xludf.DUMMYFUNCTION("GOOGLETRANSLATE(C197,""fr"",""en"")"),"Absolutely not satisfied with the relentlessness you show. You set out to charge me every year insurance for a vehicle stored in the wreckage which rots in a field around my home")</f>
        <v>Absolutely not satisfied with the relentlessness you show. You set out to charge me every year insurance for a vehicle stored in the wreckage which rots in a field around my home</v>
      </c>
    </row>
    <row r="198" ht="15.75" customHeight="1">
      <c r="A198" s="2">
        <v>5.0</v>
      </c>
      <c r="B198" s="2" t="s">
        <v>673</v>
      </c>
      <c r="C198" s="2" t="s">
        <v>674</v>
      </c>
      <c r="D198" s="2" t="s">
        <v>448</v>
      </c>
      <c r="E198" s="2" t="s">
        <v>112</v>
      </c>
      <c r="F198" s="2" t="s">
        <v>15</v>
      </c>
      <c r="G198" s="2" t="s">
        <v>675</v>
      </c>
      <c r="H198" s="2" t="s">
        <v>68</v>
      </c>
      <c r="I198" s="2" t="str">
        <f>IFERROR(__xludf.DUMMYFUNCTION("GOOGLETRANSLATE(C198,""fr"",""en"")"),"Satisfied.
Well done website.
Fast membership.
Very friendly and professional advisor by phone. Clear explanations.
I recommend.")</f>
        <v>Satisfied.
Well done website.
Fast membership.
Very friendly and professional advisor by phone. Clear explanations.
I recommend.</v>
      </c>
    </row>
    <row r="199" ht="15.75" customHeight="1">
      <c r="A199" s="2">
        <v>5.0</v>
      </c>
      <c r="B199" s="2" t="s">
        <v>676</v>
      </c>
      <c r="C199" s="2" t="s">
        <v>677</v>
      </c>
      <c r="D199" s="2" t="s">
        <v>43</v>
      </c>
      <c r="E199" s="2" t="s">
        <v>14</v>
      </c>
      <c r="F199" s="2" t="s">
        <v>15</v>
      </c>
      <c r="G199" s="2" t="s">
        <v>583</v>
      </c>
      <c r="H199" s="2" t="s">
        <v>192</v>
      </c>
      <c r="I199" s="2" t="str">
        <f>IFERROR(__xludf.DUMMYFUNCTION("GOOGLETRANSLATE(C199,""fr"",""en"")"),"You were super and professional and very good information.
Very welcome telephone, the information is very detail precise and clear, I am delighted thank you.
")</f>
        <v>You were super and professional and very good information.
Very welcome telephone, the information is very detail precise and clear, I am delighted thank you.
</v>
      </c>
    </row>
    <row r="200" ht="15.75" customHeight="1">
      <c r="A200" s="2">
        <v>1.0</v>
      </c>
      <c r="B200" s="2" t="s">
        <v>678</v>
      </c>
      <c r="C200" s="2" t="s">
        <v>679</v>
      </c>
      <c r="D200" s="2" t="s">
        <v>19</v>
      </c>
      <c r="E200" s="2" t="s">
        <v>14</v>
      </c>
      <c r="F200" s="2" t="s">
        <v>15</v>
      </c>
      <c r="G200" s="2" t="s">
        <v>680</v>
      </c>
      <c r="H200" s="2" t="s">
        <v>31</v>
      </c>
      <c r="I200" s="2" t="str">
        <f>IFERROR(__xludf.DUMMYFUNCTION("GOOGLETRANSLATE(C200,""fr"",""en"")"),"I invite the assure to flee the Macif de Montigny the incompetent cormeals lacks maintrise of files and total laxity and total laxity")</f>
        <v>I invite the assure to flee the Macif de Montigny the incompetent cormeals lacks maintrise of files and total laxity and total laxity</v>
      </c>
    </row>
    <row r="201" ht="15.75" customHeight="1">
      <c r="A201" s="2">
        <v>2.0</v>
      </c>
      <c r="B201" s="2" t="s">
        <v>681</v>
      </c>
      <c r="C201" s="2" t="s">
        <v>682</v>
      </c>
      <c r="D201" s="2" t="s">
        <v>436</v>
      </c>
      <c r="E201" s="2" t="s">
        <v>25</v>
      </c>
      <c r="F201" s="2" t="s">
        <v>15</v>
      </c>
      <c r="G201" s="2" t="s">
        <v>683</v>
      </c>
      <c r="H201" s="2" t="s">
        <v>94</v>
      </c>
      <c r="I201" s="2" t="str">
        <f>IFERROR(__xludf.DUMMYFUNCTION("GOOGLETRANSLATE(C201,""fr"",""en"")"),"Life insurance: to date, more than 2 months after a request for arbitration and partial redemption, nothing. no news despite several reminders; funds are still not available")</f>
        <v>Life insurance: to date, more than 2 months after a request for arbitration and partial redemption, nothing. no news despite several reminders; funds are still not available</v>
      </c>
    </row>
    <row r="202" ht="15.75" customHeight="1">
      <c r="A202" s="2">
        <v>4.0</v>
      </c>
      <c r="B202" s="2" t="s">
        <v>684</v>
      </c>
      <c r="C202" s="2" t="s">
        <v>685</v>
      </c>
      <c r="D202" s="2" t="s">
        <v>13</v>
      </c>
      <c r="E202" s="2" t="s">
        <v>14</v>
      </c>
      <c r="F202" s="2" t="s">
        <v>15</v>
      </c>
      <c r="G202" s="2" t="s">
        <v>686</v>
      </c>
      <c r="H202" s="2" t="s">
        <v>72</v>
      </c>
      <c r="I202" s="2" t="str">
        <f>IFERROR(__xludf.DUMMYFUNCTION("GOOGLETRANSLATE(C202,""fr"",""en"")"),"I am satisfied with the service and the quality/price ratio. The price remains as even a little high, but the services are good. The person was attentive.")</f>
        <v>I am satisfied with the service and the quality/price ratio. The price remains as even a little high, but the services are good. The person was attentive.</v>
      </c>
    </row>
    <row r="203" ht="15.75" customHeight="1">
      <c r="A203" s="2">
        <v>5.0</v>
      </c>
      <c r="B203" s="2" t="s">
        <v>687</v>
      </c>
      <c r="C203" s="2" t="s">
        <v>688</v>
      </c>
      <c r="D203" s="2" t="s">
        <v>97</v>
      </c>
      <c r="E203" s="2" t="s">
        <v>56</v>
      </c>
      <c r="F203" s="2" t="s">
        <v>15</v>
      </c>
      <c r="G203" s="2" t="s">
        <v>689</v>
      </c>
      <c r="H203" s="2" t="s">
        <v>99</v>
      </c>
      <c r="I203" s="2" t="str">
        <f>IFERROR(__xludf.DUMMYFUNCTION("GOOGLETRANSLATE(C203,""fr"",""en"")"),"I am very satisfied with the prices offer by AMV the site is very easy to use and I am also very satisfied with the service nothing to complain about.
Jdm
Cdt")</f>
        <v>I am very satisfied with the prices offer by AMV the site is very easy to use and I am also very satisfied with the service nothing to complain about.
Jdm
Cdt</v>
      </c>
    </row>
    <row r="204" ht="15.75" customHeight="1">
      <c r="A204" s="2">
        <v>5.0</v>
      </c>
      <c r="B204" s="2" t="s">
        <v>690</v>
      </c>
      <c r="C204" s="2" t="s">
        <v>691</v>
      </c>
      <c r="D204" s="2" t="s">
        <v>13</v>
      </c>
      <c r="E204" s="2" t="s">
        <v>14</v>
      </c>
      <c r="F204" s="2" t="s">
        <v>15</v>
      </c>
      <c r="G204" s="2" t="s">
        <v>289</v>
      </c>
      <c r="H204" s="2" t="s">
        <v>52</v>
      </c>
      <c r="I204" s="2" t="str">
        <f>IFERROR(__xludf.DUMMYFUNCTION("GOOGLETRANSLATE(C204,""fr"",""en"")"),"I have been satisfied with offers and services. The prices are very competitive and in adequations with my needs. I hope it will remain in the future")</f>
        <v>I have been satisfied with offers and services. The prices are very competitive and in adequations with my needs. I hope it will remain in the future</v>
      </c>
    </row>
    <row r="205" ht="15.75" customHeight="1">
      <c r="A205" s="2">
        <v>1.0</v>
      </c>
      <c r="B205" s="2" t="s">
        <v>692</v>
      </c>
      <c r="C205" s="2" t="s">
        <v>693</v>
      </c>
      <c r="D205" s="2" t="s">
        <v>19</v>
      </c>
      <c r="E205" s="2" t="s">
        <v>14</v>
      </c>
      <c r="F205" s="2" t="s">
        <v>15</v>
      </c>
      <c r="G205" s="2" t="s">
        <v>694</v>
      </c>
      <c r="H205" s="2" t="s">
        <v>173</v>
      </c>
      <c r="I205" s="2" t="str">
        <f>IFERROR(__xludf.DUMMYFUNCTION("GOOGLETRANSLATE(C205,""fr"",""en"")"),"3 years of insurance A hanging in parking is equivalent 1.18 of shameful penalty")</f>
        <v>3 years of insurance A hanging in parking is equivalent 1.18 of shameful penalty</v>
      </c>
    </row>
    <row r="206" ht="15.75" customHeight="1">
      <c r="A206" s="2">
        <v>2.0</v>
      </c>
      <c r="B206" s="2" t="s">
        <v>695</v>
      </c>
      <c r="C206" s="2" t="s">
        <v>696</v>
      </c>
      <c r="D206" s="2" t="s">
        <v>111</v>
      </c>
      <c r="E206" s="2" t="s">
        <v>112</v>
      </c>
      <c r="F206" s="2" t="s">
        <v>15</v>
      </c>
      <c r="G206" s="2" t="s">
        <v>697</v>
      </c>
      <c r="H206" s="2" t="s">
        <v>698</v>
      </c>
      <c r="I206" s="2" t="str">
        <f>IFERROR(__xludf.DUMMYFUNCTION("GOOGLETRANSLATE(C206,""fr"",""en"")"),"For more than 3 weeks, I have been trying to subscribe to this insurance. They took more than 15 days to debit my credit card but without ever sending my contract. No one responds to any of my emails, I sent email in French, in English to more than 10 dif"&amp;"ferent people nothing !!! On the phone I am told that we do not find my file! I never remind me !! If someone april reads this message here contact me !!!!!!")</f>
        <v>For more than 3 weeks, I have been trying to subscribe to this insurance. They took more than 15 days to debit my credit card but without ever sending my contract. No one responds to any of my emails, I sent email in French, in English to more than 10 different people nothing !!! On the phone I am told that we do not find my file! I never remind me !! If someone april reads this message here contact me !!!!!!</v>
      </c>
    </row>
    <row r="207" ht="15.75" customHeight="1">
      <c r="A207" s="2">
        <v>1.0</v>
      </c>
      <c r="B207" s="2" t="s">
        <v>699</v>
      </c>
      <c r="C207" s="2" t="s">
        <v>700</v>
      </c>
      <c r="D207" s="2" t="s">
        <v>24</v>
      </c>
      <c r="E207" s="2" t="s">
        <v>25</v>
      </c>
      <c r="F207" s="2" t="s">
        <v>15</v>
      </c>
      <c r="G207" s="2" t="s">
        <v>701</v>
      </c>
      <c r="H207" s="2" t="s">
        <v>619</v>
      </c>
      <c r="I207" s="2" t="str">
        <f>IFERROR(__xludf.DUMMYFUNCTION("GOOGLETRANSLATE(C207,""fr"",""en"")"),"The insurer does not make the money.
Following an incident we made a research request to AGRA in November 2016. In December receipt of a cardif file for the payment of life insurance of my mother who died in 2011. (after 5 years of silence.) Full file co"&amp;"mplete Departed at the end of December 2016, but still unpaid to date in June 2017. On the phone a person who does not ""know"", a registered letter without response. I am afraid that we are forced to go to court to obtain this payment.
Assures: It is pr"&amp;"udent to withdraw your money before death.")</f>
        <v>The insurer does not make the money.
Following an incident we made a research request to AGRA in November 2016. In December receipt of a cardif file for the payment of life insurance of my mother who died in 2011. (after 5 years of silence.) Full file complete Departed at the end of December 2016, but still unpaid to date in June 2017. On the phone a person who does not "know", a registered letter without response. I am afraid that we are forced to go to court to obtain this payment.
Assures: It is prudent to withdraw your money before death.</v>
      </c>
    </row>
    <row r="208" ht="15.75" customHeight="1">
      <c r="A208" s="2">
        <v>2.0</v>
      </c>
      <c r="B208" s="2" t="s">
        <v>702</v>
      </c>
      <c r="C208" s="2" t="s">
        <v>703</v>
      </c>
      <c r="D208" s="2" t="s">
        <v>278</v>
      </c>
      <c r="E208" s="2" t="s">
        <v>14</v>
      </c>
      <c r="F208" s="2" t="s">
        <v>15</v>
      </c>
      <c r="G208" s="2" t="s">
        <v>704</v>
      </c>
      <c r="H208" s="2" t="s">
        <v>185</v>
      </c>
      <c r="I208" s="2" t="str">
        <f>IFERROR(__xludf.DUMMYFUNCTION("GOOGLETRANSLATE(C208,""fr"",""en"")"),"Windshield invoice sent there 2 months always without
News I find her deplorable I am still awaiting rewarming")</f>
        <v>Windshield invoice sent there 2 months always without
News I find her deplorable I am still awaiting rewarming</v>
      </c>
    </row>
    <row r="209" ht="15.75" customHeight="1">
      <c r="A209" s="2">
        <v>1.0</v>
      </c>
      <c r="B209" s="2" t="s">
        <v>705</v>
      </c>
      <c r="C209" s="2" t="s">
        <v>706</v>
      </c>
      <c r="D209" s="2" t="s">
        <v>224</v>
      </c>
      <c r="E209" s="2" t="s">
        <v>35</v>
      </c>
      <c r="F209" s="2" t="s">
        <v>15</v>
      </c>
      <c r="G209" s="2" t="s">
        <v>480</v>
      </c>
      <c r="H209" s="2" t="s">
        <v>52</v>
      </c>
      <c r="I209" s="2" t="str">
        <f>IFERROR(__xludf.DUMMYFUNCTION("GOOGLETRANSLATE(C209,""fr"",""en"")"),"Abusive canvassing. Impossible to reach staff by phone for support for the other. Even health professionals or do not arrive. The prices are high. To avoid.")</f>
        <v>Abusive canvassing. Impossible to reach staff by phone for support for the other. Even health professionals or do not arrive. The prices are high. To avoid.</v>
      </c>
    </row>
    <row r="210" ht="15.75" customHeight="1">
      <c r="A210" s="2">
        <v>1.0</v>
      </c>
      <c r="B210" s="2" t="s">
        <v>707</v>
      </c>
      <c r="C210" s="2" t="s">
        <v>708</v>
      </c>
      <c r="D210" s="2" t="s">
        <v>308</v>
      </c>
      <c r="E210" s="2" t="s">
        <v>14</v>
      </c>
      <c r="F210" s="2" t="s">
        <v>15</v>
      </c>
      <c r="G210" s="2" t="s">
        <v>709</v>
      </c>
      <c r="H210" s="2" t="s">
        <v>197</v>
      </c>
      <c r="I210" s="2" t="str">
        <f>IFERROR(__xludf.DUMMYFUNCTION("GOOGLETRANSLATE(C210,""fr"",""en"")"),"They make a lot of advertising !!!
It would be better to take care of their customers well and word of mouth would work.
Save yourself, don't take out anything
They are absent in the event of a problem, worse still, they create you !!!!
")</f>
        <v>They make a lot of advertising !!!
It would be better to take care of their customers well and word of mouth would work.
Save yourself, don't take out anything
They are absent in the event of a problem, worse still, they create you !!!!
</v>
      </c>
    </row>
    <row r="211" ht="15.75" customHeight="1">
      <c r="A211" s="2">
        <v>1.0</v>
      </c>
      <c r="B211" s="2" t="s">
        <v>710</v>
      </c>
      <c r="C211" s="2" t="s">
        <v>711</v>
      </c>
      <c r="D211" s="2" t="s">
        <v>365</v>
      </c>
      <c r="E211" s="2" t="s">
        <v>14</v>
      </c>
      <c r="F211" s="2" t="s">
        <v>15</v>
      </c>
      <c r="G211" s="2" t="s">
        <v>712</v>
      </c>
      <c r="H211" s="2" t="s">
        <v>438</v>
      </c>
      <c r="I211" s="2" t="str">
        <f>IFERROR(__xludf.DUMMYFUNCTION("GOOGLETRANSLATE(C211,""fr"",""en"")"),"Regional delegations have only become commercial agencies to sell contracts and no longer help in the event of a claim. Claims must pass online (telephone, internet and it's very difficult)")</f>
        <v>Regional delegations have only become commercial agencies to sell contracts and no longer help in the event of a claim. Claims must pass online (telephone, internet and it's very difficult)</v>
      </c>
    </row>
    <row r="212" ht="15.75" customHeight="1">
      <c r="A212" s="2">
        <v>5.0</v>
      </c>
      <c r="B212" s="2" t="s">
        <v>713</v>
      </c>
      <c r="C212" s="2" t="s">
        <v>714</v>
      </c>
      <c r="D212" s="2" t="s">
        <v>129</v>
      </c>
      <c r="E212" s="2" t="s">
        <v>317</v>
      </c>
      <c r="F212" s="2" t="s">
        <v>15</v>
      </c>
      <c r="G212" s="2" t="s">
        <v>715</v>
      </c>
      <c r="H212" s="2" t="s">
        <v>99</v>
      </c>
      <c r="I212" s="2" t="str">
        <f>IFERROR(__xludf.DUMMYFUNCTION("GOOGLETRANSLATE(C212,""fr"",""en"")"),"I am delighted with my insurance for very fast health reimbursements, and also for the salary guarantee, which completes the latter when you switch to half treatment from your administration, beyond 12 months of consecutive stops.
I never thought I was i"&amp;"n this situation, like everyone else, I think, and welcome to this option that will allow me to treat myself serenely without financial fear.
I really recommend without any restraint.")</f>
        <v>I am delighted with my insurance for very fast health reimbursements, and also for the salary guarantee, which completes the latter when you switch to half treatment from your administration, beyond 12 months of consecutive stops.
I never thought I was in this situation, like everyone else, I think, and welcome to this option that will allow me to treat myself serenely without financial fear.
I really recommend without any restraint.</v>
      </c>
    </row>
    <row r="213" ht="15.75" customHeight="1">
      <c r="A213" s="2">
        <v>5.0</v>
      </c>
      <c r="B213" s="2" t="s">
        <v>716</v>
      </c>
      <c r="C213" s="2" t="s">
        <v>717</v>
      </c>
      <c r="D213" s="2" t="s">
        <v>43</v>
      </c>
      <c r="E213" s="2" t="s">
        <v>14</v>
      </c>
      <c r="F213" s="2" t="s">
        <v>15</v>
      </c>
      <c r="G213" s="2" t="s">
        <v>251</v>
      </c>
      <c r="H213" s="2" t="s">
        <v>99</v>
      </c>
      <c r="I213" s="2" t="str">
        <f>IFERROR(__xludf.DUMMYFUNCTION("GOOGLETRANSLATE(C213,""fr"",""en"")"),"Simple and effective I recommend this assurance to all those around me and finally I find the advisers pleasant and very warm. Excellent telephone reception")</f>
        <v>Simple and effective I recommend this assurance to all those around me and finally I find the advisers pleasant and very warm. Excellent telephone reception</v>
      </c>
    </row>
    <row r="214" ht="15.75" customHeight="1">
      <c r="A214" s="2">
        <v>1.0</v>
      </c>
      <c r="B214" s="2" t="s">
        <v>718</v>
      </c>
      <c r="C214" s="2" t="s">
        <v>719</v>
      </c>
      <c r="D214" s="2" t="s">
        <v>224</v>
      </c>
      <c r="E214" s="2" t="s">
        <v>35</v>
      </c>
      <c r="F214" s="2" t="s">
        <v>15</v>
      </c>
      <c r="G214" s="2" t="s">
        <v>720</v>
      </c>
      <c r="H214" s="2" t="s">
        <v>721</v>
      </c>
      <c r="I214" s="2" t="str">
        <f>IFERROR(__xludf.DUMMYFUNCTION("GOOGLETRANSLATE(C214,""fr"",""en"")"),"My telephone conversation with Céline (customer service) was very productive.")</f>
        <v>My telephone conversation with Céline (customer service) was very productive.</v>
      </c>
    </row>
    <row r="215" ht="15.75" customHeight="1">
      <c r="A215" s="2">
        <v>5.0</v>
      </c>
      <c r="B215" s="2" t="s">
        <v>722</v>
      </c>
      <c r="C215" s="2" t="s">
        <v>723</v>
      </c>
      <c r="D215" s="2" t="s">
        <v>13</v>
      </c>
      <c r="E215" s="2" t="s">
        <v>14</v>
      </c>
      <c r="F215" s="2" t="s">
        <v>15</v>
      </c>
      <c r="G215" s="2" t="s">
        <v>724</v>
      </c>
      <c r="H215" s="2" t="s">
        <v>272</v>
      </c>
      <c r="I215" s="2" t="str">
        <f>IFERROR(__xludf.DUMMYFUNCTION("GOOGLETRANSLATE(C215,""fr"",""en"")"),"Services and prices suit me
The reception and telephone advice are perfect.
I have already been a client and I come back because I am very satisfied.
I highly recommend")</f>
        <v>Services and prices suit me
The reception and telephone advice are perfect.
I have already been a client and I come back because I am very satisfied.
I highly recommend</v>
      </c>
    </row>
    <row r="216" ht="15.75" customHeight="1">
      <c r="A216" s="2">
        <v>5.0</v>
      </c>
      <c r="B216" s="2" t="s">
        <v>725</v>
      </c>
      <c r="C216" s="2" t="s">
        <v>726</v>
      </c>
      <c r="D216" s="2" t="s">
        <v>43</v>
      </c>
      <c r="E216" s="2" t="s">
        <v>14</v>
      </c>
      <c r="F216" s="2" t="s">
        <v>15</v>
      </c>
      <c r="G216" s="2" t="s">
        <v>727</v>
      </c>
      <c r="H216" s="2" t="s">
        <v>166</v>
      </c>
      <c r="I216" s="2" t="str">
        <f>IFERROR(__xludf.DUMMYFUNCTION("GOOGLETRANSLATE(C216,""fr"",""en"")"),"Very satisfied with the olive service, whether on the Internet and on the phone. Very fast and reliable. I recommend this site to all those who want to save money and simplify their contract with online access.")</f>
        <v>Very satisfied with the olive service, whether on the Internet and on the phone. Very fast and reliable. I recommend this site to all those who want to save money and simplify their contract with online access.</v>
      </c>
    </row>
    <row r="217" ht="15.75" customHeight="1">
      <c r="A217" s="2">
        <v>3.0</v>
      </c>
      <c r="B217" s="2" t="s">
        <v>728</v>
      </c>
      <c r="C217" s="2" t="s">
        <v>729</v>
      </c>
      <c r="D217" s="2" t="s">
        <v>13</v>
      </c>
      <c r="E217" s="2" t="s">
        <v>14</v>
      </c>
      <c r="F217" s="2" t="s">
        <v>15</v>
      </c>
      <c r="G217" s="2" t="s">
        <v>730</v>
      </c>
      <c r="H217" s="2" t="s">
        <v>72</v>
      </c>
      <c r="I217" s="2" t="str">
        <f>IFERROR(__xludf.DUMMYFUNCTION("GOOGLETRANSLATE(C217,""fr"",""en"")"),"I am satisfied with the prices to see more for remote customer relations and file management in any case I pay almost half price with all options compared to my old insurance")</f>
        <v>I am satisfied with the prices to see more for remote customer relations and file management in any case I pay almost half price with all options compared to my old insurance</v>
      </c>
    </row>
    <row r="218" ht="15.75" customHeight="1">
      <c r="A218" s="2">
        <v>5.0</v>
      </c>
      <c r="B218" s="2" t="s">
        <v>731</v>
      </c>
      <c r="C218" s="2" t="s">
        <v>732</v>
      </c>
      <c r="D218" s="2" t="s">
        <v>13</v>
      </c>
      <c r="E218" s="2" t="s">
        <v>14</v>
      </c>
      <c r="F218" s="2" t="s">
        <v>15</v>
      </c>
      <c r="G218" s="2" t="s">
        <v>733</v>
      </c>
      <c r="H218" s="2" t="s">
        <v>272</v>
      </c>
      <c r="I218" s="2" t="str">
        <f>IFERROR(__xludf.DUMMYFUNCTION("GOOGLETRANSLATE(C218,""fr"",""en"")"),"So far so good :)
Too bad AMEX is not accepted for payments when subscribing to the insurance contract whether by email or by phone.")</f>
        <v>So far so good :)
Too bad AMEX is not accepted for payments when subscribing to the insurance contract whether by email or by phone.</v>
      </c>
    </row>
    <row r="219" ht="15.75" customHeight="1">
      <c r="A219" s="2">
        <v>1.0</v>
      </c>
      <c r="B219" s="2" t="s">
        <v>734</v>
      </c>
      <c r="C219" s="2" t="s">
        <v>735</v>
      </c>
      <c r="D219" s="2" t="s">
        <v>559</v>
      </c>
      <c r="E219" s="2" t="s">
        <v>35</v>
      </c>
      <c r="F219" s="2" t="s">
        <v>15</v>
      </c>
      <c r="G219" s="2" t="s">
        <v>208</v>
      </c>
      <c r="H219" s="2" t="s">
        <v>209</v>
      </c>
      <c r="I219" s="2" t="str">
        <f>IFERROR(__xludf.DUMMYFUNCTION("GOOGLETRANSLATE(C219,""fr"",""en"")"),"Shame on this mutual which does not respond to the recommended letters or to emails")</f>
        <v>Shame on this mutual which does not respond to the recommended letters or to emails</v>
      </c>
    </row>
    <row r="220" ht="15.75" customHeight="1">
      <c r="A220" s="2">
        <v>5.0</v>
      </c>
      <c r="B220" s="2" t="s">
        <v>736</v>
      </c>
      <c r="C220" s="2" t="s">
        <v>737</v>
      </c>
      <c r="D220" s="2" t="s">
        <v>352</v>
      </c>
      <c r="E220" s="2" t="s">
        <v>14</v>
      </c>
      <c r="F220" s="2" t="s">
        <v>15</v>
      </c>
      <c r="G220" s="2" t="s">
        <v>544</v>
      </c>
      <c r="H220" s="2" t="s">
        <v>192</v>
      </c>
      <c r="I220" s="2" t="str">
        <f>IFERROR(__xludf.DUMMYFUNCTION("GOOGLETRANSLATE(C220,""fr"",""en"")"),"I am satisfied with the service. Prices suit me. The services by telephone are provided by sympathetic and competent people. Request treated with speed and efficiency.")</f>
        <v>I am satisfied with the service. Prices suit me. The services by telephone are provided by sympathetic and competent people. Request treated with speed and efficiency.</v>
      </c>
    </row>
    <row r="221" ht="15.75" customHeight="1">
      <c r="A221" s="2">
        <v>1.0</v>
      </c>
      <c r="B221" s="2" t="s">
        <v>738</v>
      </c>
      <c r="C221" s="2" t="s">
        <v>739</v>
      </c>
      <c r="D221" s="2" t="s">
        <v>740</v>
      </c>
      <c r="E221" s="2" t="s">
        <v>741</v>
      </c>
      <c r="F221" s="2" t="s">
        <v>15</v>
      </c>
      <c r="G221" s="2" t="s">
        <v>742</v>
      </c>
      <c r="H221" s="2" t="s">
        <v>495</v>
      </c>
      <c r="I221" s="2" t="str">
        <f>IFERROR(__xludf.DUMMYFUNCTION("GOOGLETRANSLATE(C221,""fr"",""en"")"),"Display following ten -year insurance does not want to take care of the claim under the lifting that the term stump in the Italian is not in the quote
It's a shame")</f>
        <v>Display following ten -year insurance does not want to take care of the claim under the lifting that the term stump in the Italian is not in the quote
It's a shame</v>
      </c>
    </row>
    <row r="222" ht="15.75" customHeight="1">
      <c r="A222" s="2">
        <v>5.0</v>
      </c>
      <c r="B222" s="2" t="s">
        <v>743</v>
      </c>
      <c r="C222" s="2" t="s">
        <v>744</v>
      </c>
      <c r="D222" s="2" t="s">
        <v>13</v>
      </c>
      <c r="E222" s="2" t="s">
        <v>14</v>
      </c>
      <c r="F222" s="2" t="s">
        <v>15</v>
      </c>
      <c r="G222" s="2" t="s">
        <v>745</v>
      </c>
      <c r="H222" s="2" t="s">
        <v>166</v>
      </c>
      <c r="I222" s="2" t="str">
        <f>IFERROR(__xludf.DUMMYFUNCTION("GOOGLETRANSLATE(C222,""fr"",""en"")"),"I am very satisfied with your services a rapidity for the subscription; Facilitates, best contracts, with more options which is rather reassuring")</f>
        <v>I am very satisfied with your services a rapidity for the subscription; Facilitates, best contracts, with more options which is rather reassuring</v>
      </c>
    </row>
    <row r="223" ht="15.75" customHeight="1">
      <c r="A223" s="2">
        <v>5.0</v>
      </c>
      <c r="B223" s="2" t="s">
        <v>746</v>
      </c>
      <c r="C223" s="2" t="s">
        <v>747</v>
      </c>
      <c r="D223" s="2" t="s">
        <v>43</v>
      </c>
      <c r="E223" s="2" t="s">
        <v>14</v>
      </c>
      <c r="F223" s="2" t="s">
        <v>15</v>
      </c>
      <c r="G223" s="2" t="s">
        <v>748</v>
      </c>
      <c r="H223" s="2" t="s">
        <v>68</v>
      </c>
      <c r="I223" s="2" t="str">
        <f>IFERROR(__xludf.DUMMYFUNCTION("GOOGLETRANSLATE(C223,""fr"",""en"")"),"An insurer not too expensive and tolerant is rare enough to be noted. While other insurance or brokers are looking for the little beast to refuse you for a yes or for a no, the olive tree opens your arms to you, it really makes you want to talk about it a"&amp;"round you.")</f>
        <v>An insurer not too expensive and tolerant is rare enough to be noted. While other insurance or brokers are looking for the little beast to refuse you for a yes or for a no, the olive tree opens your arms to you, it really makes you want to talk about it around you.</v>
      </c>
    </row>
    <row r="224" ht="15.75" customHeight="1">
      <c r="A224" s="2">
        <v>2.0</v>
      </c>
      <c r="B224" s="2" t="s">
        <v>749</v>
      </c>
      <c r="C224" s="2" t="s">
        <v>750</v>
      </c>
      <c r="D224" s="2" t="s">
        <v>13</v>
      </c>
      <c r="E224" s="2" t="s">
        <v>14</v>
      </c>
      <c r="F224" s="2" t="s">
        <v>15</v>
      </c>
      <c r="G224" s="2" t="s">
        <v>751</v>
      </c>
      <c r="H224" s="2" t="s">
        <v>752</v>
      </c>
      <c r="I224" s="2" t="str">
        <f>IFERROR(__xludf.DUMMYFUNCTION("GOOGLETRANSLATE(C224,""fr"",""en"")"),"The catastrophe zero advice zero unjustified radiation because the deadlines for the prefecture too long I strongly advise against this insurance filled with good to nothing reverse and sly I am very angry because they took me for a minus that nothing on "&amp;"the phone I think send millions consumers to really complain")</f>
        <v>The catastrophe zero advice zero unjustified radiation because the deadlines for the prefecture too long I strongly advise against this insurance filled with good to nothing reverse and sly I am very angry because they took me for a minus that nothing on the phone I think send millions consumers to really complain</v>
      </c>
    </row>
    <row r="225" ht="15.75" customHeight="1">
      <c r="A225" s="2">
        <v>4.0</v>
      </c>
      <c r="B225" s="2" t="s">
        <v>753</v>
      </c>
      <c r="C225" s="2" t="s">
        <v>754</v>
      </c>
      <c r="D225" s="2" t="s">
        <v>13</v>
      </c>
      <c r="E225" s="2" t="s">
        <v>14</v>
      </c>
      <c r="F225" s="2" t="s">
        <v>15</v>
      </c>
      <c r="G225" s="2" t="s">
        <v>755</v>
      </c>
      <c r="H225" s="2" t="s">
        <v>72</v>
      </c>
      <c r="I225" s="2" t="str">
        <f>IFERROR(__xludf.DUMMYFUNCTION("GOOGLETRANSLATE(C225,""fr"",""en"")"),"Excellent, rapidite and facilitates online service, just a shame that our interlocutors do not come from a platform in France.
Best regards")</f>
        <v>Excellent, rapidite and facilitates online service, just a shame that our interlocutors do not come from a platform in France.
Best regards</v>
      </c>
    </row>
    <row r="226" ht="15.75" customHeight="1">
      <c r="A226" s="2">
        <v>4.0</v>
      </c>
      <c r="B226" s="2" t="s">
        <v>756</v>
      </c>
      <c r="C226" s="2" t="s">
        <v>757</v>
      </c>
      <c r="D226" s="2" t="s">
        <v>129</v>
      </c>
      <c r="E226" s="2" t="s">
        <v>35</v>
      </c>
      <c r="F226" s="2" t="s">
        <v>15</v>
      </c>
      <c r="G226" s="2" t="s">
        <v>758</v>
      </c>
      <c r="H226" s="2" t="s">
        <v>31</v>
      </c>
      <c r="I226" s="2" t="str">
        <f>IFERROR(__xludf.DUMMYFUNCTION("GOOGLETRANSLATE(C226,""fr"",""en"")"),"The automatic recall was very fast the correspondent was attentive and very clear in the answers given it has responded effectively")</f>
        <v>The automatic recall was very fast the correspondent was attentive and very clear in the answers given it has responded effectively</v>
      </c>
    </row>
    <row r="227" ht="15.75" customHeight="1">
      <c r="A227" s="2">
        <v>2.0</v>
      </c>
      <c r="B227" s="2" t="s">
        <v>759</v>
      </c>
      <c r="C227" s="2" t="s">
        <v>760</v>
      </c>
      <c r="D227" s="2" t="s">
        <v>352</v>
      </c>
      <c r="E227" s="2" t="s">
        <v>85</v>
      </c>
      <c r="F227" s="2" t="s">
        <v>15</v>
      </c>
      <c r="G227" s="2" t="s">
        <v>761</v>
      </c>
      <c r="H227" s="2" t="s">
        <v>131</v>
      </c>
      <c r="I227" s="2" t="str">
        <f>IFERROR(__xludf.DUMMYFUNCTION("GOOGLETRANSLATE(C227,""fr"",""en"")"),"Branged on January 31, 2020, no big claim in 30 years, complete file sent Reconated AR on February 28, several weeks of waiting to repair the break -in on the grounds that it was up to the owner to take it in charge since it is upperfect than a certain th"&amp;"reshold. Just there no problem would have been necessary to warn me instead of leaving the repair quote hanging out on waiting and this despite my multiple emails and calls (however the owner is my father and His proprio insurance the GMF !!).
Regarding "&amp;"compensation related to stolen objects, I am assured at the simplest with ceiling at around € 6000 + franchise ... Anyway in the event of a disaster we are always a loser.
Has the sinister service transferred the file to the expert Cause Cavid, I have an"&amp;" interview with it only on April 29 by phone, it tells me, however, that all this will be settled within 10 days.
Today, July 26, no news from the GMF or the expert. I will therefore have to write and claim by recommended a formal notice while waiting to"&amp;" perhaps have to grasp the mediator of the Republic. I assured everything at GMF, cars, housing, defense and appeal, RC, I have always paid my maturity notices on time y/c their maturity costs and this renewal and on each contract (CQFD). Today after a bu"&amp;"rglary or you undergo a real trauma, you find yourself doubly victim by moral, physical or material damage undergoes but also by the shameful behavior of some of the collaborators of this mutual which abandons you and limits you when you Dare to disturb t"&amp;"hem with your questions, however polished. Must understand, they work them !!!
Finally I am assured of replacement value but what to do as long as you do not have the reimbursement amounts granted ... Will purchases before the GMF will be taken into acco"&amp;"unt? So I'm waiting to buy myself a PC, to buy glasses (and yes the burglars left with because in a sunglasses case ... I really have no bowl).
In short, as we will never say enough, more and more mutuals can only serve you until you use it!")</f>
        <v>Branged on January 31, 2020, no big claim in 30 years, complete file sent Reconated AR on February 28, several weeks of waiting to repair the break -in on the grounds that it was up to the owner to take it in charge since it is upperfect than a certain threshold. Just there no problem would have been necessary to warn me instead of leaving the repair quote hanging out on waiting and this despite my multiple emails and calls (however the owner is my father and His proprio insurance the GMF !!).
Regarding compensation related to stolen objects, I am assured at the simplest with ceiling at around € 6000 + franchise ... Anyway in the event of a disaster we are always a loser.
Has the sinister service transferred the file to the expert Cause Cavid, I have an interview with it only on April 29 by phone, it tells me, however, that all this will be settled within 10 days.
Today, July 26, no news from the GMF or the expert. I will therefore have to write and claim by recommended a formal notice while waiting to perhaps have to grasp the mediator of the Republic. I assured everything at GMF, cars, housing, defense and appeal, RC, I have always paid my maturity notices on time y/c their maturity costs and this renewal and on each contract (CQFD). Today after a burglary or you undergo a real trauma, you find yourself doubly victim by moral, physical or material damage undergoes but also by the shameful behavior of some of the collaborators of this mutual which abandons you and limits you when you Dare to disturb them with your questions, however polished. Must understand, they work them !!!
Finally I am assured of replacement value but what to do as long as you do not have the reimbursement amounts granted ... Will purchases before the GMF will be taken into account? So I'm waiting to buy myself a PC, to buy glasses (and yes the burglars left with because in a sunglasses case ... I really have no bowl).
In short, as we will never say enough, more and more mutuals can only serve you until you use it!</v>
      </c>
    </row>
    <row r="228" ht="15.75" customHeight="1">
      <c r="A228" s="2">
        <v>3.0</v>
      </c>
      <c r="B228" s="2" t="s">
        <v>762</v>
      </c>
      <c r="C228" s="2" t="s">
        <v>763</v>
      </c>
      <c r="D228" s="2" t="s">
        <v>352</v>
      </c>
      <c r="E228" s="2" t="s">
        <v>14</v>
      </c>
      <c r="F228" s="2" t="s">
        <v>15</v>
      </c>
      <c r="G228" s="2" t="s">
        <v>445</v>
      </c>
      <c r="H228" s="2" t="s">
        <v>99</v>
      </c>
      <c r="I228" s="2" t="str">
        <f>IFERROR(__xludf.DUMMYFUNCTION("GOOGLETRANSLATE(C228,""fr"",""en"")"),"I usually receive my insurance certificate by mail, but there, nothing ... I hope I will receive it before September 3, since I am asked for a certificate for the current year (mine ends the September 4, 2021. ;;)")</f>
        <v>I usually receive my insurance certificate by mail, but there, nothing ... I hope I will receive it before September 3, since I am asked for a certificate for the current year (mine ends the September 4, 2021. ;;)</v>
      </c>
    </row>
    <row r="229" ht="15.75" customHeight="1">
      <c r="A229" s="2">
        <v>1.0</v>
      </c>
      <c r="B229" s="2" t="s">
        <v>764</v>
      </c>
      <c r="C229" s="2" t="s">
        <v>765</v>
      </c>
      <c r="D229" s="2" t="s">
        <v>766</v>
      </c>
      <c r="E229" s="2" t="s">
        <v>144</v>
      </c>
      <c r="F229" s="2" t="s">
        <v>15</v>
      </c>
      <c r="G229" s="2" t="s">
        <v>767</v>
      </c>
      <c r="H229" s="2" t="s">
        <v>272</v>
      </c>
      <c r="I229" s="2" t="str">
        <f>IFERROR(__xludf.DUMMYFUNCTION("GOOGLETRANSLATE(C229,""fr"",""en"")"),"Null !! null !!
Zero reimbursement ... Zero sales service ... Top direct debits always on time !! Flee this insurance is only used to impoverish you ... I do not understand that with such disagreement customer reviews it is always on the market !!!")</f>
        <v>Null !! null !!
Zero reimbursement ... Zero sales service ... Top direct debits always on time !! Flee this insurance is only used to impoverish you ... I do not understand that with such disagreement customer reviews it is always on the market !!!</v>
      </c>
    </row>
    <row r="230" ht="15.75" customHeight="1">
      <c r="A230" s="2">
        <v>1.0</v>
      </c>
      <c r="B230" s="2" t="s">
        <v>768</v>
      </c>
      <c r="C230" s="2" t="s">
        <v>769</v>
      </c>
      <c r="D230" s="2" t="s">
        <v>278</v>
      </c>
      <c r="E230" s="2" t="s">
        <v>14</v>
      </c>
      <c r="F230" s="2" t="s">
        <v>15</v>
      </c>
      <c r="G230" s="2" t="s">
        <v>770</v>
      </c>
      <c r="H230" s="2" t="s">
        <v>229</v>
      </c>
      <c r="I230" s="2" t="str">
        <f>IFERROR(__xludf.DUMMYFUNCTION("GOOGLETRANSLATE(C230,""fr"",""en"")"),"hello dissatisfied matmut which is written in the contracts does not correspond to the guarantee I do not recommend to anyone this insurance")</f>
        <v>hello dissatisfied matmut which is written in the contracts does not correspond to the guarantee I do not recommend to anyone this insurance</v>
      </c>
    </row>
    <row r="231" ht="15.75" customHeight="1">
      <c r="A231" s="2">
        <v>1.0</v>
      </c>
      <c r="B231" s="2" t="s">
        <v>771</v>
      </c>
      <c r="C231" s="2" t="s">
        <v>772</v>
      </c>
      <c r="D231" s="2" t="s">
        <v>365</v>
      </c>
      <c r="E231" s="2" t="s">
        <v>14</v>
      </c>
      <c r="F231" s="2" t="s">
        <v>15</v>
      </c>
      <c r="G231" s="2" t="s">
        <v>773</v>
      </c>
      <c r="H231" s="2" t="s">
        <v>68</v>
      </c>
      <c r="I231" s="2" t="str">
        <f>IFERROR(__xludf.DUMMYFUNCTION("GOOGLETRANSLATE(C231,""fr"",""en"")"),"MAIF is to insurance what booklet A is to savings: if you expect nothing and you need little, Maif will suit you.
Its bureaucratic drift and its lack of flexibility in order to adapt to the uncertainties of situations, its which has become unbearable ove"&amp;"r the years.")</f>
        <v>MAIF is to insurance what booklet A is to savings: if you expect nothing and you need little, Maif will suit you.
Its bureaucratic drift and its lack of flexibility in order to adapt to the uncertainties of situations, its which has become unbearable over the years.</v>
      </c>
    </row>
    <row r="232" ht="15.75" customHeight="1">
      <c r="A232" s="2">
        <v>1.0</v>
      </c>
      <c r="B232" s="2" t="s">
        <v>774</v>
      </c>
      <c r="C232" s="2" t="s">
        <v>775</v>
      </c>
      <c r="D232" s="2" t="s">
        <v>183</v>
      </c>
      <c r="E232" s="2" t="s">
        <v>14</v>
      </c>
      <c r="F232" s="2" t="s">
        <v>15</v>
      </c>
      <c r="G232" s="2" t="s">
        <v>776</v>
      </c>
      <c r="H232" s="2" t="s">
        <v>776</v>
      </c>
      <c r="I232" s="2" t="str">
        <f>IFERROR(__xludf.DUMMYFUNCTION("GOOGLETRANSLATE(C232,""fr"",""en"")"),"To flee, when they indicate that they remind you, you can still wait. Watch out for the file fees which are added to the announced price!
They do everything to increase the price announced: despite 3 cars and more than 30 years of continuous insurance, t"&amp;"hey find a hollow of 2 months over the last 3 years when I changed 1 of my cars and I am not Main driver of all!")</f>
        <v>To flee, when they indicate that they remind you, you can still wait. Watch out for the file fees which are added to the announced price!
They do everything to increase the price announced: despite 3 cars and more than 30 years of continuous insurance, they find a hollow of 2 months over the last 3 years when I changed 1 of my cars and I am not Main driver of all!</v>
      </c>
    </row>
    <row r="233" ht="15.75" customHeight="1">
      <c r="A233" s="2">
        <v>4.0</v>
      </c>
      <c r="B233" s="2" t="s">
        <v>777</v>
      </c>
      <c r="C233" s="2" t="s">
        <v>778</v>
      </c>
      <c r="D233" s="2" t="s">
        <v>43</v>
      </c>
      <c r="E233" s="2" t="s">
        <v>14</v>
      </c>
      <c r="F233" s="2" t="s">
        <v>15</v>
      </c>
      <c r="G233" s="2" t="s">
        <v>779</v>
      </c>
      <c r="H233" s="2" t="s">
        <v>72</v>
      </c>
      <c r="I233" s="2" t="str">
        <f>IFERROR(__xludf.DUMMYFUNCTION("GOOGLETRANSLATE(C233,""fr"",""en"")"),"The prices suit me, as well as my options chosen.
Very good customer service, I was helped in all my steps for the purchase of my first car.
I recommend")</f>
        <v>The prices suit me, as well as my options chosen.
Very good customer service, I was helped in all my steps for the purchase of my first car.
I recommend</v>
      </c>
    </row>
    <row r="234" ht="15.75" customHeight="1">
      <c r="A234" s="2">
        <v>5.0</v>
      </c>
      <c r="B234" s="2" t="s">
        <v>780</v>
      </c>
      <c r="C234" s="2" t="s">
        <v>781</v>
      </c>
      <c r="D234" s="2" t="s">
        <v>43</v>
      </c>
      <c r="E234" s="2" t="s">
        <v>14</v>
      </c>
      <c r="F234" s="2" t="s">
        <v>15</v>
      </c>
      <c r="G234" s="2" t="s">
        <v>782</v>
      </c>
      <c r="H234" s="2" t="s">
        <v>293</v>
      </c>
      <c r="I234" s="2" t="str">
        <f>IFERROR(__xludf.DUMMYFUNCTION("GOOGLETRANSLATE(C234,""fr"",""en"")"),"Hello,
The prices are very attractive for a young driver
Having never had an accident is what I was looking for a lowest price possible
thank you")</f>
        <v>Hello,
The prices are very attractive for a young driver
Having never had an accident is what I was looking for a lowest price possible
thank you</v>
      </c>
    </row>
    <row r="235" ht="15.75" customHeight="1">
      <c r="A235" s="2">
        <v>4.0</v>
      </c>
      <c r="B235" s="2" t="s">
        <v>783</v>
      </c>
      <c r="C235" s="2" t="s">
        <v>784</v>
      </c>
      <c r="D235" s="2" t="s">
        <v>13</v>
      </c>
      <c r="E235" s="2" t="s">
        <v>14</v>
      </c>
      <c r="F235" s="2" t="s">
        <v>15</v>
      </c>
      <c r="G235" s="2" t="s">
        <v>785</v>
      </c>
      <c r="H235" s="2" t="s">
        <v>192</v>
      </c>
      <c r="I235" s="2" t="str">
        <f>IFERROR(__xludf.DUMMYFUNCTION("GOOGLETRANSLATE(C235,""fr"",""en"")"),"Problem when going from the quote (with a franchise of 150 €) to the contract (I was applied a deductible of 250 € finally, without asking me).
The modification was made but fortunately I realized it.
Otherwise, very satisfactory price level and speed o"&amp;"f treatment too.")</f>
        <v>Problem when going from the quote (with a franchise of 150 €) to the contract (I was applied a deductible of 250 € finally, without asking me).
The modification was made but fortunately I realized it.
Otherwise, very satisfactory price level and speed of treatment too.</v>
      </c>
    </row>
    <row r="236" ht="15.75" customHeight="1">
      <c r="A236" s="2">
        <v>4.0</v>
      </c>
      <c r="B236" s="2" t="s">
        <v>786</v>
      </c>
      <c r="C236" s="2" t="s">
        <v>787</v>
      </c>
      <c r="D236" s="2" t="s">
        <v>43</v>
      </c>
      <c r="E236" s="2" t="s">
        <v>14</v>
      </c>
      <c r="F236" s="2" t="s">
        <v>15</v>
      </c>
      <c r="G236" s="2" t="s">
        <v>788</v>
      </c>
      <c r="H236" s="2" t="s">
        <v>166</v>
      </c>
      <c r="I236" s="2" t="str">
        <f>IFERROR(__xludf.DUMMYFUNCTION("GOOGLETRANSLATE(C236,""fr"",""en"")"),"I am satisfied with the price I hope not to have a surprise because I was told you still take samples before the end of the 2 months paid.
thank you")</f>
        <v>I am satisfied with the price I hope not to have a surprise because I was told you still take samples before the end of the 2 months paid.
thank you</v>
      </c>
    </row>
    <row r="237" ht="15.75" customHeight="1">
      <c r="A237" s="2">
        <v>3.0</v>
      </c>
      <c r="B237" s="2" t="s">
        <v>789</v>
      </c>
      <c r="C237" s="2" t="s">
        <v>790</v>
      </c>
      <c r="D237" s="2" t="s">
        <v>13</v>
      </c>
      <c r="E237" s="2" t="s">
        <v>14</v>
      </c>
      <c r="F237" s="2" t="s">
        <v>15</v>
      </c>
      <c r="G237" s="2" t="s">
        <v>192</v>
      </c>
      <c r="H237" s="2" t="s">
        <v>192</v>
      </c>
      <c r="I237" s="2" t="str">
        <f>IFERROR(__xludf.DUMMYFUNCTION("GOOGLETRANSLATE(C237,""fr"",""en"")"),"I found the declaration of loss simple and fast
I hope that its treatment will be at least as fast and efficient.
Duroselle family Dominique")</f>
        <v>I found the declaration of loss simple and fast
I hope that its treatment will be at least as fast and efficient.
Duroselle family Dominique</v>
      </c>
    </row>
    <row r="238" ht="15.75" customHeight="1">
      <c r="A238" s="2">
        <v>5.0</v>
      </c>
      <c r="B238" s="2" t="s">
        <v>791</v>
      </c>
      <c r="C238" s="2" t="s">
        <v>792</v>
      </c>
      <c r="D238" s="2" t="s">
        <v>13</v>
      </c>
      <c r="E238" s="2" t="s">
        <v>14</v>
      </c>
      <c r="F238" s="2" t="s">
        <v>15</v>
      </c>
      <c r="G238" s="2" t="s">
        <v>793</v>
      </c>
      <c r="H238" s="2" t="s">
        <v>52</v>
      </c>
      <c r="I238" s="2" t="str">
        <f>IFERROR(__xludf.DUMMYFUNCTION("GOOGLETRANSLATE(C238,""fr"",""en"")"),"I am satisfied and the prices suit me. The reception of the Direct Insurance agent was excellent and the subscription methods are simple. Thank you for the service.")</f>
        <v>I am satisfied and the prices suit me. The reception of the Direct Insurance agent was excellent and the subscription methods are simple. Thank you for the service.</v>
      </c>
    </row>
    <row r="239" ht="15.75" customHeight="1">
      <c r="A239" s="2">
        <v>4.0</v>
      </c>
      <c r="B239" s="2" t="s">
        <v>794</v>
      </c>
      <c r="C239" s="2" t="s">
        <v>795</v>
      </c>
      <c r="D239" s="2" t="s">
        <v>43</v>
      </c>
      <c r="E239" s="2" t="s">
        <v>14</v>
      </c>
      <c r="F239" s="2" t="s">
        <v>15</v>
      </c>
      <c r="G239" s="2" t="s">
        <v>796</v>
      </c>
      <c r="H239" s="2" t="s">
        <v>272</v>
      </c>
      <c r="I239" s="2" t="str">
        <f>IFERROR(__xludf.DUMMYFUNCTION("GOOGLETRANSLATE(C239,""fr"",""en"")"),"I am satisfied with the service, the prices are reasonable, and it is very fast
I recommend this insurance for people with penalties
Thank you.")</f>
        <v>I am satisfied with the service, the prices are reasonable, and it is very fast
I recommend this insurance for people with penalties
Thank you.</v>
      </c>
    </row>
    <row r="240" ht="15.75" customHeight="1">
      <c r="A240" s="2">
        <v>2.0</v>
      </c>
      <c r="B240" s="2" t="s">
        <v>797</v>
      </c>
      <c r="C240" s="2" t="s">
        <v>798</v>
      </c>
      <c r="D240" s="2" t="s">
        <v>183</v>
      </c>
      <c r="E240" s="2" t="s">
        <v>14</v>
      </c>
      <c r="F240" s="2" t="s">
        <v>15</v>
      </c>
      <c r="G240" s="2" t="s">
        <v>799</v>
      </c>
      <c r="H240" s="2" t="s">
        <v>27</v>
      </c>
      <c r="I240" s="2" t="str">
        <f>IFERROR(__xludf.DUMMYFUNCTION("GOOGLETRANSLATE(C240,""fr"",""en"")"),"Sending the information statement OK, then termination after 3 days for a phony motif according to my old insurer. Assessment without insurance today!")</f>
        <v>Sending the information statement OK, then termination after 3 days for a phony motif according to my old insurer. Assessment without insurance today!</v>
      </c>
    </row>
    <row r="241" ht="15.75" customHeight="1">
      <c r="A241" s="2">
        <v>4.0</v>
      </c>
      <c r="B241" s="2" t="s">
        <v>800</v>
      </c>
      <c r="C241" s="2" t="s">
        <v>801</v>
      </c>
      <c r="D241" s="2" t="s">
        <v>13</v>
      </c>
      <c r="E241" s="2" t="s">
        <v>14</v>
      </c>
      <c r="F241" s="2" t="s">
        <v>15</v>
      </c>
      <c r="G241" s="2" t="s">
        <v>802</v>
      </c>
      <c r="H241" s="2" t="s">
        <v>272</v>
      </c>
      <c r="I241" s="2" t="str">
        <f>IFERROR(__xludf.DUMMYFUNCTION("GOOGLETRANSLATE(C241,""fr"",""en"")"),"I am generally satisfied with the service
Nevertheless I would like to point out that during the accident I had, I tried to contact the assistance for aid to write the amicable report and that the waiting time was 10 minutes
Suffice to say that I had to"&amp;" fill out the observation without any help!")</f>
        <v>I am generally satisfied with the service
Nevertheless I would like to point out that during the accident I had, I tried to contact the assistance for aid to write the amicable report and that the waiting time was 10 minutes
Suffice to say that I had to fill out the observation without any help!</v>
      </c>
    </row>
    <row r="242" ht="15.75" customHeight="1">
      <c r="A242" s="2">
        <v>3.0</v>
      </c>
      <c r="B242" s="2" t="s">
        <v>803</v>
      </c>
      <c r="C242" s="2" t="s">
        <v>804</v>
      </c>
      <c r="D242" s="2" t="s">
        <v>13</v>
      </c>
      <c r="E242" s="2" t="s">
        <v>14</v>
      </c>
      <c r="F242" s="2" t="s">
        <v>15</v>
      </c>
      <c r="G242" s="2" t="s">
        <v>805</v>
      </c>
      <c r="H242" s="2" t="s">
        <v>495</v>
      </c>
      <c r="I242" s="2" t="str">
        <f>IFERROR(__xludf.DUMMYFUNCTION("GOOGLETRANSLATE(C242,""fr"",""en"")"),"Tendering offers for new customers changing insurance, but it is not stipulated anywhere that it is a promotional rate that is only valid in the first year.")</f>
        <v>Tendering offers for new customers changing insurance, but it is not stipulated anywhere that it is a promotional rate that is only valid in the first year.</v>
      </c>
    </row>
    <row r="243" ht="15.75" customHeight="1">
      <c r="A243" s="2">
        <v>1.0</v>
      </c>
      <c r="B243" s="2" t="s">
        <v>806</v>
      </c>
      <c r="C243" s="2" t="s">
        <v>807</v>
      </c>
      <c r="D243" s="2" t="s">
        <v>13</v>
      </c>
      <c r="E243" s="2" t="s">
        <v>14</v>
      </c>
      <c r="F243" s="2" t="s">
        <v>15</v>
      </c>
      <c r="G243" s="2" t="s">
        <v>808</v>
      </c>
      <c r="H243" s="2" t="s">
        <v>146</v>
      </c>
      <c r="I243" s="2" t="str">
        <f>IFERROR(__xludf.DUMMYFUNCTION("GOOGLETRANSLATE(C243,""fr"",""en"")"),"The service is correct
The prices are too high I have been a direct insurance customer for more than 5 years and there is no commercial gesture. My partner came to ensure that car at home and no gesture.")</f>
        <v>The service is correct
The prices are too high I have been a direct insurance customer for more than 5 years and there is no commercial gesture. My partner came to ensure that car at home and no gesture.</v>
      </c>
    </row>
    <row r="244" ht="15.75" customHeight="1">
      <c r="A244" s="2">
        <v>4.0</v>
      </c>
      <c r="B244" s="2" t="s">
        <v>809</v>
      </c>
      <c r="C244" s="2" t="s">
        <v>810</v>
      </c>
      <c r="D244" s="2" t="s">
        <v>13</v>
      </c>
      <c r="E244" s="2" t="s">
        <v>14</v>
      </c>
      <c r="F244" s="2" t="s">
        <v>15</v>
      </c>
      <c r="G244" s="2" t="s">
        <v>811</v>
      </c>
      <c r="H244" s="2" t="s">
        <v>99</v>
      </c>
      <c r="I244" s="2" t="str">
        <f>IFERROR(__xludf.DUMMYFUNCTION("GOOGLETRANSLATE(C244,""fr"",""en"")"),"I just subscribed with frankness to 334 euros.
Half price compared to my old insurance. We will see in use.
With monthly payment, 30 euros more per year.")</f>
        <v>I just subscribed with frankness to 334 euros.
Half price compared to my old insurance. We will see in use.
With monthly payment, 30 euros more per year.</v>
      </c>
    </row>
    <row r="245" ht="15.75" customHeight="1">
      <c r="A245" s="2">
        <v>2.0</v>
      </c>
      <c r="B245" s="2" t="s">
        <v>812</v>
      </c>
      <c r="C245" s="2" t="s">
        <v>813</v>
      </c>
      <c r="D245" s="2" t="s">
        <v>365</v>
      </c>
      <c r="E245" s="2" t="s">
        <v>85</v>
      </c>
      <c r="F245" s="2" t="s">
        <v>15</v>
      </c>
      <c r="G245" s="2" t="s">
        <v>814</v>
      </c>
      <c r="H245" s="2" t="s">
        <v>103</v>
      </c>
      <c r="I245" s="2" t="str">
        <f>IFERROR(__xludf.DUMMYFUNCTION("GOOGLETRANSLATE(C245,""fr"",""en"")"),"Beware of the ubiquitous estimates of 'experts' whose estimates are largely below the normal artisans rate. So I had to add the difference in order to be able to do my repair work .... inadmissible for insurance")</f>
        <v>Beware of the ubiquitous estimates of 'experts' whose estimates are largely below the normal artisans rate. So I had to add the difference in order to be able to do my repair work .... inadmissible for insurance</v>
      </c>
    </row>
    <row r="246" ht="15.75" customHeight="1">
      <c r="A246" s="2">
        <v>5.0</v>
      </c>
      <c r="B246" s="2" t="s">
        <v>815</v>
      </c>
      <c r="C246" s="2" t="s">
        <v>816</v>
      </c>
      <c r="D246" s="2" t="s">
        <v>13</v>
      </c>
      <c r="E246" s="2" t="s">
        <v>14</v>
      </c>
      <c r="F246" s="2" t="s">
        <v>15</v>
      </c>
      <c r="G246" s="2" t="s">
        <v>498</v>
      </c>
      <c r="H246" s="2" t="s">
        <v>99</v>
      </c>
      <c r="I246" s="2" t="str">
        <f>IFERROR(__xludf.DUMMYFUNCTION("GOOGLETRANSLATE(C246,""fr"",""en"")"),"Simple and practical, client for over 15 years
Very intuitive app, top and listening customer service in all circumstances
I highly recommend")</f>
        <v>Simple and practical, client for over 15 years
Very intuitive app, top and listening customer service in all circumstances
I highly recommend</v>
      </c>
    </row>
    <row r="247" ht="15.75" customHeight="1">
      <c r="A247" s="2">
        <v>5.0</v>
      </c>
      <c r="B247" s="2" t="s">
        <v>817</v>
      </c>
      <c r="C247" s="2" t="s">
        <v>818</v>
      </c>
      <c r="D247" s="2" t="s">
        <v>97</v>
      </c>
      <c r="E247" s="2" t="s">
        <v>56</v>
      </c>
      <c r="F247" s="2" t="s">
        <v>15</v>
      </c>
      <c r="G247" s="2" t="s">
        <v>819</v>
      </c>
      <c r="H247" s="2" t="s">
        <v>236</v>
      </c>
      <c r="I247" s="2" t="str">
        <f>IFERROR(__xludf.DUMMYFUNCTION("GOOGLETRANSLATE(C247,""fr"",""en"")"),"AMV remains is a name in the biker community A reasonable price A quality service A listening interlocutor and a great ease of execution of work in the event of repairs")</f>
        <v>AMV remains is a name in the biker community A reasonable price A quality service A listening interlocutor and a great ease of execution of work in the event of repairs</v>
      </c>
    </row>
    <row r="248" ht="15.75" customHeight="1">
      <c r="A248" s="2">
        <v>2.0</v>
      </c>
      <c r="B248" s="2" t="s">
        <v>820</v>
      </c>
      <c r="C248" s="2" t="s">
        <v>821</v>
      </c>
      <c r="D248" s="2" t="s">
        <v>43</v>
      </c>
      <c r="E248" s="2" t="s">
        <v>14</v>
      </c>
      <c r="F248" s="2" t="s">
        <v>15</v>
      </c>
      <c r="G248" s="2" t="s">
        <v>822</v>
      </c>
      <c r="H248" s="2" t="s">
        <v>27</v>
      </c>
      <c r="I248" s="2" t="str">
        <f>IFERROR(__xludf.DUMMYFUNCTION("GOOGLETRANSLATE(C248,""fr"",""en"")"),"A customer approach with an attractive price with annual inflation that can exceed 10% of the limited guarantees impacted by many franchises")</f>
        <v>A customer approach with an attractive price with annual inflation that can exceed 10% of the limited guarantees impacted by many franchises</v>
      </c>
    </row>
    <row r="249" ht="15.75" customHeight="1">
      <c r="A249" s="2">
        <v>4.0</v>
      </c>
      <c r="B249" s="2" t="s">
        <v>823</v>
      </c>
      <c r="C249" s="2" t="s">
        <v>824</v>
      </c>
      <c r="D249" s="2" t="s">
        <v>43</v>
      </c>
      <c r="E249" s="2" t="s">
        <v>14</v>
      </c>
      <c r="F249" s="2" t="s">
        <v>15</v>
      </c>
      <c r="G249" s="2" t="s">
        <v>646</v>
      </c>
      <c r="H249" s="2" t="s">
        <v>52</v>
      </c>
      <c r="I249" s="2" t="str">
        <f>IFERROR(__xludf.DUMMYFUNCTION("GOOGLETRANSLATE(C249,""fr"",""en"")"),"I am currently satisfied with the subscription service by phone (listening advisor) as well as the speed of reception of the docus!")</f>
        <v>I am currently satisfied with the subscription service by phone (listening advisor) as well as the speed of reception of the docus!</v>
      </c>
    </row>
    <row r="250" ht="15.75" customHeight="1">
      <c r="A250" s="2">
        <v>5.0</v>
      </c>
      <c r="B250" s="2" t="s">
        <v>825</v>
      </c>
      <c r="C250" s="2" t="s">
        <v>826</v>
      </c>
      <c r="D250" s="2" t="s">
        <v>55</v>
      </c>
      <c r="E250" s="2" t="s">
        <v>56</v>
      </c>
      <c r="F250" s="2" t="s">
        <v>15</v>
      </c>
      <c r="G250" s="2" t="s">
        <v>827</v>
      </c>
      <c r="H250" s="2" t="s">
        <v>192</v>
      </c>
      <c r="I250" s="2" t="str">
        <f>IFERROR(__xludf.DUMMYFUNCTION("GOOGLETRANSLATE(C250,""fr"",""en"")"),"Satisfied with the service. I found an insurance that suits me to the price level. If I have to recommend it, I would do it without problem.
Hi all")</f>
        <v>Satisfied with the service. I found an insurance that suits me to the price level. If I have to recommend it, I would do it without problem.
Hi all</v>
      </c>
    </row>
    <row r="251" ht="15.75" customHeight="1">
      <c r="A251" s="2">
        <v>1.0</v>
      </c>
      <c r="B251" s="2" t="s">
        <v>828</v>
      </c>
      <c r="C251" s="2" t="s">
        <v>829</v>
      </c>
      <c r="D251" s="2" t="s">
        <v>13</v>
      </c>
      <c r="E251" s="2" t="s">
        <v>14</v>
      </c>
      <c r="F251" s="2" t="s">
        <v>15</v>
      </c>
      <c r="G251" s="2" t="s">
        <v>830</v>
      </c>
      <c r="H251" s="2" t="s">
        <v>831</v>
      </c>
      <c r="I251" s="2" t="str">
        <f>IFERROR(__xludf.DUMMYFUNCTION("GOOGLETRANSLATE(C251,""fr"",""en"")"),"Direct Insurance only assures you to recover the contributions due, for compensation for damage take out your blue card")</f>
        <v>Direct Insurance only assures you to recover the contributions due, for compensation for damage take out your blue card</v>
      </c>
    </row>
    <row r="252" ht="15.75" customHeight="1">
      <c r="A252" s="2">
        <v>2.0</v>
      </c>
      <c r="B252" s="2" t="s">
        <v>832</v>
      </c>
      <c r="C252" s="2" t="s">
        <v>833</v>
      </c>
      <c r="D252" s="2" t="s">
        <v>156</v>
      </c>
      <c r="E252" s="2" t="s">
        <v>85</v>
      </c>
      <c r="F252" s="2" t="s">
        <v>15</v>
      </c>
      <c r="G252" s="2" t="s">
        <v>834</v>
      </c>
      <c r="H252" s="2" t="s">
        <v>82</v>
      </c>
      <c r="I252" s="2" t="str">
        <f>IFERROR(__xludf.DUMMYFUNCTION("GOOGLETRANSLATE(C252,""fr"",""en"")"),"For once I call on one of their legal service services of the MAAF for advice, I had to set up a file before and no advice or advisor to the end of the line or by email therefore I pay the audience Legal for nothing because even advice that is to say a qu"&amp;"estion it is impossible, I feel robbed, when I was at allianz via 11 years ago access to the legal advice was easy I had easy I had The lawyer directly by phone or appointment there was no file to go up to be advisable except in the case of direct assista"&amp;"nce, there was a real service")</f>
        <v>For once I call on one of their legal service services of the MAAF for advice, I had to set up a file before and no advice or advisor to the end of the line or by email therefore I pay the audience Legal for nothing because even advice that is to say a question it is impossible, I feel robbed, when I was at allianz via 11 years ago access to the legal advice was easy I had easy I had The lawyer directly by phone or appointment there was no file to go up to be advisable except in the case of direct assistance, there was a real service</v>
      </c>
    </row>
    <row r="253" ht="15.75" customHeight="1">
      <c r="A253" s="2">
        <v>5.0</v>
      </c>
      <c r="B253" s="2" t="s">
        <v>835</v>
      </c>
      <c r="C253" s="2" t="s">
        <v>836</v>
      </c>
      <c r="D253" s="2" t="s">
        <v>55</v>
      </c>
      <c r="E253" s="2" t="s">
        <v>56</v>
      </c>
      <c r="F253" s="2" t="s">
        <v>15</v>
      </c>
      <c r="G253" s="2" t="s">
        <v>837</v>
      </c>
      <c r="H253" s="2" t="s">
        <v>68</v>
      </c>
      <c r="I253" s="2" t="str">
        <f>IFERROR(__xludf.DUMMYFUNCTION("GOOGLETRANSLATE(C253,""fr"",""en"")"),"I am satisfied with the service and the insurance subscription mode. It was very fast and simple to subscribe to April Moto. Thank you for this simplicity")</f>
        <v>I am satisfied with the service and the insurance subscription mode. It was very fast and simple to subscribe to April Moto. Thank you for this simplicity</v>
      </c>
    </row>
    <row r="254" ht="15.75" customHeight="1">
      <c r="A254" s="2">
        <v>4.0</v>
      </c>
      <c r="B254" s="2" t="s">
        <v>838</v>
      </c>
      <c r="C254" s="2" t="s">
        <v>839</v>
      </c>
      <c r="D254" s="2" t="s">
        <v>43</v>
      </c>
      <c r="E254" s="2" t="s">
        <v>14</v>
      </c>
      <c r="F254" s="2" t="s">
        <v>15</v>
      </c>
      <c r="G254" s="2" t="s">
        <v>840</v>
      </c>
      <c r="H254" s="2" t="s">
        <v>335</v>
      </c>
      <c r="I254" s="2" t="str">
        <f>IFERROR(__xludf.DUMMYFUNCTION("GOOGLETRANSLATE(C254,""fr"",""en"")"),"Following a comparison on a search site for the best insurance rate for a new driver, L’Olivier insurance was the most competitive in simple third party. The amount of insurance for a new driver is very expensive.")</f>
        <v>Following a comparison on a search site for the best insurance rate for a new driver, L’Olivier insurance was the most competitive in simple third party. The amount of insurance for a new driver is very expensive.</v>
      </c>
    </row>
    <row r="255" ht="15.75" customHeight="1">
      <c r="A255" s="2">
        <v>3.0</v>
      </c>
      <c r="B255" s="2" t="s">
        <v>841</v>
      </c>
      <c r="C255" s="2" t="s">
        <v>842</v>
      </c>
      <c r="D255" s="2" t="s">
        <v>436</v>
      </c>
      <c r="E255" s="2" t="s">
        <v>317</v>
      </c>
      <c r="F255" s="2" t="s">
        <v>15</v>
      </c>
      <c r="G255" s="2" t="s">
        <v>254</v>
      </c>
      <c r="H255" s="2" t="s">
        <v>52</v>
      </c>
      <c r="I255" s="2" t="str">
        <f>IFERROR(__xludf.DUMMYFUNCTION("GOOGLETRANSLATE(C255,""fr"",""en"")"),"Since December 10, 2020, I expect this company the liquidation of my retirement. No news, no interlocutor in short zero pointed everywhere and zero euros for me retired
Lamentable.")</f>
        <v>Since December 10, 2020, I expect this company the liquidation of my retirement. No news, no interlocutor in short zero pointed everywhere and zero euros for me retired
Lamentable.</v>
      </c>
    </row>
    <row r="256" ht="15.75" customHeight="1">
      <c r="A256" s="2">
        <v>3.0</v>
      </c>
      <c r="B256" s="2" t="s">
        <v>843</v>
      </c>
      <c r="C256" s="2" t="s">
        <v>844</v>
      </c>
      <c r="D256" s="2" t="s">
        <v>179</v>
      </c>
      <c r="E256" s="2" t="s">
        <v>14</v>
      </c>
      <c r="F256" s="2" t="s">
        <v>15</v>
      </c>
      <c r="G256" s="2" t="s">
        <v>845</v>
      </c>
      <c r="H256" s="2" t="s">
        <v>45</v>
      </c>
      <c r="I256" s="2" t="str">
        <f>IFERROR(__xludf.DUMMYFUNCTION("GOOGLETRANSLATE(C256,""fr"",""en"")"),"Flee, flee new to them and immediately terminate after taking me 3 months of subscription in one go! Of course no refund")</f>
        <v>Flee, flee new to them and immediately terminate after taking me 3 months of subscription in one go! Of course no refund</v>
      </c>
    </row>
    <row r="257" ht="15.75" customHeight="1">
      <c r="A257" s="2">
        <v>2.0</v>
      </c>
      <c r="B257" s="2" t="s">
        <v>846</v>
      </c>
      <c r="C257" s="2" t="s">
        <v>847</v>
      </c>
      <c r="D257" s="2" t="s">
        <v>55</v>
      </c>
      <c r="E257" s="2" t="s">
        <v>56</v>
      </c>
      <c r="F257" s="2" t="s">
        <v>15</v>
      </c>
      <c r="G257" s="2" t="s">
        <v>848</v>
      </c>
      <c r="H257" s="2" t="s">
        <v>99</v>
      </c>
      <c r="I257" s="2" t="str">
        <f>IFERROR(__xludf.DUMMYFUNCTION("GOOGLETRANSLATE(C257,""fr"",""en"")"),"Simple and practical
GOOD VALUE FOR MONEY
The prices could be a little more attractive especially for a small displacement vehicle.
Fast service")</f>
        <v>Simple and practical
GOOD VALUE FOR MONEY
The prices could be a little more attractive especially for a small displacement vehicle.
Fast service</v>
      </c>
    </row>
    <row r="258" ht="15.75" customHeight="1">
      <c r="A258" s="2">
        <v>5.0</v>
      </c>
      <c r="B258" s="2" t="s">
        <v>849</v>
      </c>
      <c r="C258" s="2" t="s">
        <v>850</v>
      </c>
      <c r="D258" s="2" t="s">
        <v>13</v>
      </c>
      <c r="E258" s="2" t="s">
        <v>14</v>
      </c>
      <c r="F258" s="2" t="s">
        <v>15</v>
      </c>
      <c r="G258" s="2" t="s">
        <v>71</v>
      </c>
      <c r="H258" s="2" t="s">
        <v>72</v>
      </c>
      <c r="I258" s="2" t="str">
        <f>IFERROR(__xludf.DUMMYFUNCTION("GOOGLETRANSLATE(C258,""fr"",""en"")"),"Yes, rather good price for the guarantees included. It remains to be seen the quality of customer service facilitates pleasant and efficient internet")</f>
        <v>Yes, rather good price for the guarantees included. It remains to be seen the quality of customer service facilitates pleasant and efficient internet</v>
      </c>
    </row>
    <row r="259" ht="15.75" customHeight="1">
      <c r="A259" s="2">
        <v>5.0</v>
      </c>
      <c r="B259" s="2" t="s">
        <v>851</v>
      </c>
      <c r="C259" s="2" t="s">
        <v>852</v>
      </c>
      <c r="D259" s="2" t="s">
        <v>43</v>
      </c>
      <c r="E259" s="2" t="s">
        <v>14</v>
      </c>
      <c r="F259" s="2" t="s">
        <v>15</v>
      </c>
      <c r="G259" s="2" t="s">
        <v>853</v>
      </c>
      <c r="H259" s="2" t="s">
        <v>272</v>
      </c>
      <c r="I259" s="2" t="str">
        <f>IFERROR(__xludf.DUMMYFUNCTION("GOOGLETRANSLATE(C259,""fr"",""en"")"),"Thank you again for your professionalism, very happy with your services at the moment I will talk about your services to my knowledge to sponsor them and that they join you")</f>
        <v>Thank you again for your professionalism, very happy with your services at the moment I will talk about your services to my knowledge to sponsor them and that they join you</v>
      </c>
    </row>
    <row r="260" ht="15.75" customHeight="1">
      <c r="A260" s="2">
        <v>3.0</v>
      </c>
      <c r="B260" s="2" t="s">
        <v>854</v>
      </c>
      <c r="C260" s="2" t="s">
        <v>855</v>
      </c>
      <c r="D260" s="2" t="s">
        <v>97</v>
      </c>
      <c r="E260" s="2" t="s">
        <v>56</v>
      </c>
      <c r="F260" s="2" t="s">
        <v>15</v>
      </c>
      <c r="G260" s="2" t="s">
        <v>856</v>
      </c>
      <c r="H260" s="2" t="s">
        <v>72</v>
      </c>
      <c r="I260" s="2" t="str">
        <f>IFERROR(__xludf.DUMMYFUNCTION("GOOGLETRANSLATE(C260,""fr"",""en"")"),"Unable to contact an advisor by phone! Never needed for possible damage and I am fortunately thinking, otherwise what a hassle I imagine.")</f>
        <v>Unable to contact an advisor by phone! Never needed for possible damage and I am fortunately thinking, otherwise what a hassle I imagine.</v>
      </c>
    </row>
    <row r="261" ht="15.75" customHeight="1">
      <c r="A261" s="2">
        <v>4.0</v>
      </c>
      <c r="B261" s="2" t="s">
        <v>857</v>
      </c>
      <c r="C261" s="2" t="s">
        <v>858</v>
      </c>
      <c r="D261" s="2" t="s">
        <v>34</v>
      </c>
      <c r="E261" s="2" t="s">
        <v>35</v>
      </c>
      <c r="F261" s="2" t="s">
        <v>15</v>
      </c>
      <c r="G261" s="2" t="s">
        <v>859</v>
      </c>
      <c r="H261" s="2" t="s">
        <v>118</v>
      </c>
      <c r="I261" s="2" t="str">
        <f>IFERROR(__xludf.DUMMYFUNCTION("GOOGLETRANSLATE(C261,""fr"",""en"")"),"very good telephone quality and answer to my questions")</f>
        <v>very good telephone quality and answer to my questions</v>
      </c>
    </row>
    <row r="262" ht="15.75" customHeight="1">
      <c r="A262" s="2">
        <v>2.0</v>
      </c>
      <c r="B262" s="2" t="s">
        <v>860</v>
      </c>
      <c r="C262" s="2" t="s">
        <v>861</v>
      </c>
      <c r="D262" s="2" t="s">
        <v>308</v>
      </c>
      <c r="E262" s="2" t="s">
        <v>14</v>
      </c>
      <c r="F262" s="2" t="s">
        <v>15</v>
      </c>
      <c r="G262" s="2" t="s">
        <v>862</v>
      </c>
      <c r="H262" s="2" t="s">
        <v>438</v>
      </c>
      <c r="I262" s="2" t="str">
        <f>IFERROR(__xludf.DUMMYFUNCTION("GOOGLETRANSLATE(C262,""fr"",""en"")"),"Multiple management of contracts at e-Allianz !!")</f>
        <v>Multiple management of contracts at e-Allianz !!</v>
      </c>
    </row>
    <row r="263" ht="15.75" customHeight="1">
      <c r="A263" s="2">
        <v>3.0</v>
      </c>
      <c r="B263" s="2" t="s">
        <v>863</v>
      </c>
      <c r="C263" s="2" t="s">
        <v>864</v>
      </c>
      <c r="D263" s="2" t="s">
        <v>352</v>
      </c>
      <c r="E263" s="2" t="s">
        <v>14</v>
      </c>
      <c r="F263" s="2" t="s">
        <v>15</v>
      </c>
      <c r="G263" s="2" t="s">
        <v>865</v>
      </c>
      <c r="H263" s="2" t="s">
        <v>209</v>
      </c>
      <c r="I263" s="2" t="str">
        <f>IFERROR(__xludf.DUMMYFUNCTION("GOOGLETRANSLATE(C263,""fr"",""en"")"),"Insured for 15 years at GMF rue du Temple in Dijon, the agency director refuses me to extend my car insurance on the grounds that he had incidents. 2 non -responsible accidents in 15 years !!! So I find myself without insurance. Flee the GMF ...... I real"&amp;"ly decide it to you!")</f>
        <v>Insured for 15 years at GMF rue du Temple in Dijon, the agency director refuses me to extend my car insurance on the grounds that he had incidents. 2 non -responsible accidents in 15 years !!! So I find myself without insurance. Flee the GMF ...... I really decide it to you!</v>
      </c>
    </row>
    <row r="264" ht="15.75" customHeight="1">
      <c r="A264" s="2">
        <v>5.0</v>
      </c>
      <c r="B264" s="2" t="s">
        <v>866</v>
      </c>
      <c r="C264" s="2" t="s">
        <v>867</v>
      </c>
      <c r="D264" s="2" t="s">
        <v>43</v>
      </c>
      <c r="E264" s="2" t="s">
        <v>14</v>
      </c>
      <c r="F264" s="2" t="s">
        <v>15</v>
      </c>
      <c r="G264" s="2" t="s">
        <v>71</v>
      </c>
      <c r="H264" s="2" t="s">
        <v>72</v>
      </c>
      <c r="I264" s="2" t="str">
        <f>IFERROR(__xludf.DUMMYFUNCTION("GOOGLETRANSLATE(C264,""fr"",""en"")"),"Responds to all requests, listening and helpful with competitive prices
I highly recommend damage to me that they do not offer two -wheeled insurance
")</f>
        <v>Responds to all requests, listening and helpful with competitive prices
I highly recommend damage to me that they do not offer two -wheeled insurance
</v>
      </c>
    </row>
    <row r="265" ht="15.75" customHeight="1">
      <c r="A265" s="2">
        <v>4.0</v>
      </c>
      <c r="B265" s="2" t="s">
        <v>868</v>
      </c>
      <c r="C265" s="2" t="s">
        <v>869</v>
      </c>
      <c r="D265" s="2" t="s">
        <v>43</v>
      </c>
      <c r="E265" s="2" t="s">
        <v>14</v>
      </c>
      <c r="F265" s="2" t="s">
        <v>15</v>
      </c>
      <c r="G265" s="2" t="s">
        <v>870</v>
      </c>
      <c r="H265" s="2" t="s">
        <v>192</v>
      </c>
      <c r="I265" s="2" t="str">
        <f>IFERROR(__xludf.DUMMYFUNCTION("GOOGLETRANSLATE(C265,""fr"",""en"")"),"The service is really nice. Thank you! The person who welcomed me was very understanding and was able to respond to all my requests. I would recommend my loved ones.")</f>
        <v>The service is really nice. Thank you! The person who welcomed me was very understanding and was able to respond to all my requests. I would recommend my loved ones.</v>
      </c>
    </row>
    <row r="266" ht="15.75" customHeight="1">
      <c r="A266" s="2">
        <v>4.0</v>
      </c>
      <c r="B266" s="2" t="s">
        <v>871</v>
      </c>
      <c r="C266" s="2" t="s">
        <v>872</v>
      </c>
      <c r="D266" s="2" t="s">
        <v>13</v>
      </c>
      <c r="E266" s="2" t="s">
        <v>14</v>
      </c>
      <c r="F266" s="2" t="s">
        <v>15</v>
      </c>
      <c r="G266" s="2" t="s">
        <v>873</v>
      </c>
      <c r="H266" s="2" t="s">
        <v>192</v>
      </c>
      <c r="I266" s="2" t="str">
        <f>IFERROR(__xludf.DUMMYFUNCTION("GOOGLETRANSLATE(C266,""fr"",""en"")"),"Easy to manage, simple and efficient. Direct Insurance was able to secure me after an absence in France over 20 years. It was done in just a few minutes and it is exceptional. Thank you")</f>
        <v>Easy to manage, simple and efficient. Direct Insurance was able to secure me after an absence in France over 20 years. It was done in just a few minutes and it is exceptional. Thank you</v>
      </c>
    </row>
    <row r="267" ht="15.75" customHeight="1">
      <c r="A267" s="2">
        <v>5.0</v>
      </c>
      <c r="B267" s="2" t="s">
        <v>874</v>
      </c>
      <c r="C267" s="2" t="s">
        <v>875</v>
      </c>
      <c r="D267" s="2" t="s">
        <v>13</v>
      </c>
      <c r="E267" s="2" t="s">
        <v>14</v>
      </c>
      <c r="F267" s="2" t="s">
        <v>15</v>
      </c>
      <c r="G267" s="2" t="s">
        <v>445</v>
      </c>
      <c r="H267" s="2" t="s">
        <v>99</v>
      </c>
      <c r="I267" s="2" t="str">
        <f>IFERROR(__xludf.DUMMYFUNCTION("GOOGLETRANSLATE(C267,""fr"",""en"")"),"Super prices I recommend direct insurance to all my loved ones and I will try to bring it to your home to see the price solutions that you practice")</f>
        <v>Super prices I recommend direct insurance to all my loved ones and I will try to bring it to your home to see the price solutions that you practice</v>
      </c>
    </row>
    <row r="268" ht="15.75" customHeight="1">
      <c r="A268" s="2">
        <v>1.0</v>
      </c>
      <c r="B268" s="2" t="s">
        <v>876</v>
      </c>
      <c r="C268" s="2" t="s">
        <v>877</v>
      </c>
      <c r="D268" s="2" t="s">
        <v>13</v>
      </c>
      <c r="E268" s="2" t="s">
        <v>14</v>
      </c>
      <c r="F268" s="2" t="s">
        <v>15</v>
      </c>
      <c r="G268" s="2" t="s">
        <v>878</v>
      </c>
      <c r="H268" s="2" t="s">
        <v>52</v>
      </c>
      <c r="I268" s="2" t="str">
        <f>IFERROR(__xludf.DUMMYFUNCTION("GOOGLETRANSLATE(C268,""fr"",""en"")"),"I have a contract with Direct Insurance for over 8 years; I’ve never had any responsible claims and a bonus more than 50 % for over 12 years.
Unfortunately in September 2020, I found my car damaged in a parking lot and when I left the parking lot I touch"&amp;"ed a stone so 2 victims on the same day; An official and the other not responsible: Result I received a recommended at the end of 2020 informing me my termination on March 15; it is shameful !!!
I made 2 letters of complaint without positive return and w"&amp;"hen they are called, no one understands.
Insurance reserved for those who never have claims but life is made of unforeseen events. To flee!")</f>
        <v>I have a contract with Direct Insurance for over 8 years; I’ve never had any responsible claims and a bonus more than 50 % for over 12 years.
Unfortunately in September 2020, I found my car damaged in a parking lot and when I left the parking lot I touched a stone so 2 victims on the same day; An official and the other not responsible: Result I received a recommended at the end of 2020 informing me my termination on March 15; it is shameful !!!
I made 2 letters of complaint without positive return and when they are called, no one understands.
Insurance reserved for those who never have claims but life is made of unforeseen events. To flee!</v>
      </c>
    </row>
    <row r="269" ht="15.75" customHeight="1">
      <c r="A269" s="2">
        <v>2.0</v>
      </c>
      <c r="B269" s="2" t="s">
        <v>879</v>
      </c>
      <c r="C269" s="2" t="s">
        <v>880</v>
      </c>
      <c r="D269" s="2" t="s">
        <v>352</v>
      </c>
      <c r="E269" s="2" t="s">
        <v>14</v>
      </c>
      <c r="F269" s="2" t="s">
        <v>15</v>
      </c>
      <c r="G269" s="2" t="s">
        <v>881</v>
      </c>
      <c r="H269" s="2" t="s">
        <v>16</v>
      </c>
      <c r="I269" s="2" t="str">
        <f>IFERROR(__xludf.DUMMYFUNCTION("GOOGLETRANSLATE(C269,""fr"",""en"")"),"Assured faithful for over forty years, there is no recognition of this loyalty. I strongly regret it and I do not remain passive. Already 2 contracts with a different company with a gain of around 200 euros for the same guarantees (including a vehicle whi"&amp;"ch is 10 years old and a new vehicle).
The only negotiation carried out, after quote with a competitor, the company has ""aligned"" but it was not without a few remarks from the agent.
This year, our second insurer did not wait to make the commercial ge"&amp;"sture mentioned by the media while GMF, certainly like others, announced a reimbursement (40 euros!) The day after the distribution in the media of the Conclusion of a consumer association denouncing the breach of insurers faces to what had been announced"&amp;". I am already looking for another company for my 3rd vehicle ... The quote show a gap of almost 200 euros!")</f>
        <v>Assured faithful for over forty years, there is no recognition of this loyalty. I strongly regret it and I do not remain passive. Already 2 contracts with a different company with a gain of around 200 euros for the same guarantees (including a vehicle which is 10 years old and a new vehicle).
The only negotiation carried out, after quote with a competitor, the company has "aligned" but it was not without a few remarks from the agent.
This year, our second insurer did not wait to make the commercial gesture mentioned by the media while GMF, certainly like others, announced a reimbursement (40 euros!) The day after the distribution in the media of the Conclusion of a consumer association denouncing the breach of insurers faces to what had been announced. I am already looking for another company for my 3rd vehicle ... The quote show a gap of almost 200 euros!</v>
      </c>
    </row>
    <row r="270" ht="15.75" customHeight="1">
      <c r="A270" s="2">
        <v>4.0</v>
      </c>
      <c r="B270" s="2" t="s">
        <v>882</v>
      </c>
      <c r="C270" s="2" t="s">
        <v>883</v>
      </c>
      <c r="D270" s="2" t="s">
        <v>43</v>
      </c>
      <c r="E270" s="2" t="s">
        <v>14</v>
      </c>
      <c r="F270" s="2" t="s">
        <v>15</v>
      </c>
      <c r="G270" s="2" t="s">
        <v>884</v>
      </c>
      <c r="H270" s="2" t="s">
        <v>192</v>
      </c>
      <c r="I270" s="2" t="str">
        <f>IFERROR(__xludf.DUMMYFUNCTION("GOOGLETRANSLATE(C270,""fr"",""en"")"),"Fast effective, listening when we call this insurance ....
I have always come across a serious, attentive interlocutor, taking his time to fully meet my expectations")</f>
        <v>Fast effective, listening when we call this insurance ....
I have always come across a serious, attentive interlocutor, taking his time to fully meet my expectations</v>
      </c>
    </row>
    <row r="271" ht="15.75" customHeight="1">
      <c r="A271" s="2">
        <v>1.0</v>
      </c>
      <c r="B271" s="2" t="s">
        <v>885</v>
      </c>
      <c r="C271" s="2" t="s">
        <v>886</v>
      </c>
      <c r="D271" s="2" t="s">
        <v>316</v>
      </c>
      <c r="E271" s="2" t="s">
        <v>317</v>
      </c>
      <c r="F271" s="2" t="s">
        <v>15</v>
      </c>
      <c r="G271" s="2" t="s">
        <v>887</v>
      </c>
      <c r="H271" s="2" t="s">
        <v>99</v>
      </c>
      <c r="I271" s="2" t="str">
        <f>IFERROR(__xludf.DUMMYFUNCTION("GOOGLETRANSLATE(C271,""fr"",""en"")"),"I wouldn't even give a star
Since March 4, I have requested this company to request the transfer of a retirement insurance contract to an open peri with another company. No possibility of joining a competent advisor, apart from brave ladies located in Bo"&amp;"rdeaux who do not know the file.
In addition, Groupama Ga Euro Courtage plays the watch so as not to transfer the funds. After 4 months without news I received an email asking me additional parts that I hastened to provide within 24 hours
A month later "&amp;"either yesterday I received another email telling me that additional parts were missing.
My feeling is that this company plays the watch to keep the funds as long as possible and that it is scandalous on the ethical level and in terms of professionalism
"&amp;"
Company to be avoided at all costs
Eric Cayol")</f>
        <v>I wouldn't even give a star
Since March 4, I have requested this company to request the transfer of a retirement insurance contract to an open peri with another company. No possibility of joining a competent advisor, apart from brave ladies located in Bordeaux who do not know the file.
In addition, Groupama Ga Euro Courtage plays the watch so as not to transfer the funds. After 4 months without news I received an email asking me additional parts that I hastened to provide within 24 hours
A month later either yesterday I received another email telling me that additional parts were missing.
My feeling is that this company plays the watch to keep the funds as long as possible and that it is scandalous on the ethical level and in terms of professionalism
Company to be avoided at all costs
Eric Cayol</v>
      </c>
    </row>
    <row r="272" ht="15.75" customHeight="1">
      <c r="A272" s="2">
        <v>5.0</v>
      </c>
      <c r="B272" s="2" t="s">
        <v>888</v>
      </c>
      <c r="C272" s="2" t="s">
        <v>889</v>
      </c>
      <c r="D272" s="2" t="s">
        <v>43</v>
      </c>
      <c r="E272" s="2" t="s">
        <v>14</v>
      </c>
      <c r="F272" s="2" t="s">
        <v>15</v>
      </c>
      <c r="G272" s="2" t="s">
        <v>782</v>
      </c>
      <c r="H272" s="2" t="s">
        <v>293</v>
      </c>
      <c r="I272" s="2" t="str">
        <f>IFERROR(__xludf.DUMMYFUNCTION("GOOGLETRANSLATE(C272,""fr"",""en"")"),"Super insurer they are fast and take young Deans the needs without great frightening counterparts, moreover for a young man in the end of the Tarrifs are very reasonable.")</f>
        <v>Super insurer they are fast and take young Deans the needs without great frightening counterparts, moreover for a young man in the end of the Tarrifs are very reasonable.</v>
      </c>
    </row>
    <row r="273" ht="15.75" customHeight="1">
      <c r="A273" s="2">
        <v>1.0</v>
      </c>
      <c r="B273" s="2" t="s">
        <v>890</v>
      </c>
      <c r="C273" s="2" t="s">
        <v>891</v>
      </c>
      <c r="D273" s="2" t="s">
        <v>156</v>
      </c>
      <c r="E273" s="2" t="s">
        <v>14</v>
      </c>
      <c r="F273" s="2" t="s">
        <v>15</v>
      </c>
      <c r="G273" s="2" t="s">
        <v>892</v>
      </c>
      <c r="H273" s="2" t="s">
        <v>123</v>
      </c>
      <c r="I273" s="2" t="str">
        <f>IFERROR(__xludf.DUMMYFUNCTION("GOOGLETRANSLATE(C273,""fr"",""en"")"),"Does not respect customer once a signed contract do not recognize their errors alone account for them the collections even if they are irregular")</f>
        <v>Does not respect customer once a signed contract do not recognize their errors alone account for them the collections even if they are irregular</v>
      </c>
    </row>
    <row r="274" ht="15.75" customHeight="1">
      <c r="A274" s="2">
        <v>2.0</v>
      </c>
      <c r="B274" s="2" t="s">
        <v>893</v>
      </c>
      <c r="C274" s="2" t="s">
        <v>894</v>
      </c>
      <c r="D274" s="2" t="s">
        <v>43</v>
      </c>
      <c r="E274" s="2" t="s">
        <v>14</v>
      </c>
      <c r="F274" s="2" t="s">
        <v>15</v>
      </c>
      <c r="G274" s="2" t="s">
        <v>895</v>
      </c>
      <c r="H274" s="2" t="s">
        <v>698</v>
      </c>
      <c r="I274" s="2" t="str">
        <f>IFERROR(__xludf.DUMMYFUNCTION("GOOGLETRANSLATE(C274,""fr"",""en"")"),"We cannot be satisfied with such an inconsistent and non -existent customer service! Two three weeks for an email, answers completely next to it! I took 6 months to get my green card ...")</f>
        <v>We cannot be satisfied with such an inconsistent and non -existent customer service! Two three weeks for an email, answers completely next to it! I took 6 months to get my green card ...</v>
      </c>
    </row>
    <row r="275" ht="15.75" customHeight="1">
      <c r="A275" s="2">
        <v>3.0</v>
      </c>
      <c r="B275" s="2" t="s">
        <v>896</v>
      </c>
      <c r="C275" s="2" t="s">
        <v>897</v>
      </c>
      <c r="D275" s="2" t="s">
        <v>352</v>
      </c>
      <c r="E275" s="2" t="s">
        <v>14</v>
      </c>
      <c r="F275" s="2" t="s">
        <v>15</v>
      </c>
      <c r="G275" s="2" t="s">
        <v>898</v>
      </c>
      <c r="H275" s="2" t="s">
        <v>272</v>
      </c>
      <c r="I275" s="2" t="str">
        <f>IFERROR(__xludf.DUMMYFUNCTION("GOOGLETRANSLATE(C275,""fr"",""en"")"),"I am very satisfied with the services in the event of a breakdown (the service has always been very good at this level), but in the event of an accident, it is very complicated to see correct follow -up.")</f>
        <v>I am very satisfied with the services in the event of a breakdown (the service has always been very good at this level), but in the event of an accident, it is very complicated to see correct follow -up.</v>
      </c>
    </row>
    <row r="276" ht="15.75" customHeight="1">
      <c r="A276" s="2">
        <v>5.0</v>
      </c>
      <c r="B276" s="2" t="s">
        <v>899</v>
      </c>
      <c r="C276" s="2" t="s">
        <v>900</v>
      </c>
      <c r="D276" s="2" t="s">
        <v>97</v>
      </c>
      <c r="E276" s="2" t="s">
        <v>56</v>
      </c>
      <c r="F276" s="2" t="s">
        <v>15</v>
      </c>
      <c r="G276" s="2" t="s">
        <v>901</v>
      </c>
      <c r="H276" s="2" t="s">
        <v>99</v>
      </c>
      <c r="I276" s="2" t="str">
        <f>IFERROR(__xludf.DUMMYFUNCTION("GOOGLETRANSLATE(C276,""fr"",""en"")"),"Clear and effective with an extra wide guarantee proposal adapted to everyone at the best rates. quick subscription, insured immediately I recommend")</f>
        <v>Clear and effective with an extra wide guarantee proposal adapted to everyone at the best rates. quick subscription, insured immediately I recommend</v>
      </c>
    </row>
    <row r="277" ht="15.75" customHeight="1">
      <c r="A277" s="2">
        <v>3.0</v>
      </c>
      <c r="B277" s="2" t="s">
        <v>902</v>
      </c>
      <c r="C277" s="2" t="s">
        <v>903</v>
      </c>
      <c r="D277" s="2" t="s">
        <v>13</v>
      </c>
      <c r="E277" s="2" t="s">
        <v>14</v>
      </c>
      <c r="F277" s="2" t="s">
        <v>15</v>
      </c>
      <c r="G277" s="2" t="s">
        <v>904</v>
      </c>
      <c r="H277" s="2" t="s">
        <v>158</v>
      </c>
      <c r="I277" s="2" t="str">
        <f>IFERROR(__xludf.DUMMYFUNCTION("GOOGLETRANSLATE(C277,""fr"",""en"")"),"It is a shame that there is not the possibility of adjusting by transfer since everything is done via the net or by phone and that everyone can have a problem with a bank card at the wrong time (eg loss, flight , insufficient ceiling ...) and thus, as was"&amp;" my case, go elsewhere for a new contract! Shame!")</f>
        <v>It is a shame that there is not the possibility of adjusting by transfer since everything is done via the net or by phone and that everyone can have a problem with a bank card at the wrong time (eg loss, flight , insufficient ceiling ...) and thus, as was my case, go elsewhere for a new contract! Shame!</v>
      </c>
    </row>
    <row r="278" ht="15.75" customHeight="1">
      <c r="A278" s="2">
        <v>1.0</v>
      </c>
      <c r="B278" s="2" t="s">
        <v>905</v>
      </c>
      <c r="C278" s="2" t="s">
        <v>906</v>
      </c>
      <c r="D278" s="2" t="s">
        <v>13</v>
      </c>
      <c r="E278" s="2" t="s">
        <v>14</v>
      </c>
      <c r="F278" s="2" t="s">
        <v>15</v>
      </c>
      <c r="G278" s="2" t="s">
        <v>907</v>
      </c>
      <c r="H278" s="2" t="s">
        <v>776</v>
      </c>
      <c r="I278" s="2" t="str">
        <f>IFERROR(__xludf.DUMMYFUNCTION("GOOGLETRANSLATE(C278,""fr"",""en"")"),"Direct Insurance was perfect 5 years ago price level. But there they abuse completely. Almost 900 euros for a Renaut Captur 6 CV at all risk. 2 times more expensive than brands that weld on the street.")</f>
        <v>Direct Insurance was perfect 5 years ago price level. But there they abuse completely. Almost 900 euros for a Renaut Captur 6 CV at all risk. 2 times more expensive than brands that weld on the street.</v>
      </c>
    </row>
    <row r="279" ht="15.75" customHeight="1">
      <c r="A279" s="2">
        <v>5.0</v>
      </c>
      <c r="B279" s="2" t="s">
        <v>908</v>
      </c>
      <c r="C279" s="2" t="s">
        <v>909</v>
      </c>
      <c r="D279" s="2" t="s">
        <v>34</v>
      </c>
      <c r="E279" s="2" t="s">
        <v>35</v>
      </c>
      <c r="F279" s="2" t="s">
        <v>15</v>
      </c>
      <c r="G279" s="2" t="s">
        <v>422</v>
      </c>
      <c r="H279" s="2" t="s">
        <v>422</v>
      </c>
      <c r="I279" s="2" t="str">
        <f>IFERROR(__xludf.DUMMYFUNCTION("GOOGLETRANSLATE(C279,""fr"",""en"")"),"Very good telephone reception")</f>
        <v>Very good telephone reception</v>
      </c>
    </row>
    <row r="280" ht="15.75" customHeight="1">
      <c r="A280" s="2">
        <v>1.0</v>
      </c>
      <c r="B280" s="2" t="s">
        <v>910</v>
      </c>
      <c r="C280" s="2" t="s">
        <v>911</v>
      </c>
      <c r="D280" s="2" t="s">
        <v>13</v>
      </c>
      <c r="E280" s="2" t="s">
        <v>14</v>
      </c>
      <c r="F280" s="2" t="s">
        <v>15</v>
      </c>
      <c r="G280" s="2" t="s">
        <v>898</v>
      </c>
      <c r="H280" s="2" t="s">
        <v>272</v>
      </c>
      <c r="I280" s="2" t="str">
        <f>IFERROR(__xludf.DUMMYFUNCTION("GOOGLETRANSLATE(C280,""fr"",""en"")"),"I am not satisfied with pricing conditions and service. The protected price is different from the price practiced without justification. I have been assured at Direct Insurance for a very long time and I do not understand the excessive price requested")</f>
        <v>I am not satisfied with pricing conditions and service. The protected price is different from the price practiced without justification. I have been assured at Direct Insurance for a very long time and I do not understand the excessive price requested</v>
      </c>
    </row>
    <row r="281" ht="15.75" customHeight="1">
      <c r="A281" s="2">
        <v>4.0</v>
      </c>
      <c r="B281" s="2" t="s">
        <v>912</v>
      </c>
      <c r="C281" s="2" t="s">
        <v>913</v>
      </c>
      <c r="D281" s="2" t="s">
        <v>13</v>
      </c>
      <c r="E281" s="2" t="s">
        <v>14</v>
      </c>
      <c r="F281" s="2" t="s">
        <v>15</v>
      </c>
      <c r="G281" s="2" t="s">
        <v>914</v>
      </c>
      <c r="H281" s="2" t="s">
        <v>192</v>
      </c>
      <c r="I281" s="2" t="str">
        <f>IFERROR(__xludf.DUMMYFUNCTION("GOOGLETRANSLATE(C281,""fr"",""en"")"),"Ease of use of the site and very competitive price. Information of information taken into account quickly and form and certificates easy to print")</f>
        <v>Ease of use of the site and very competitive price. Information of information taken into account quickly and form and certificates easy to print</v>
      </c>
    </row>
    <row r="282" ht="15.75" customHeight="1">
      <c r="A282" s="2">
        <v>4.0</v>
      </c>
      <c r="B282" s="2" t="s">
        <v>915</v>
      </c>
      <c r="C282" s="2" t="s">
        <v>916</v>
      </c>
      <c r="D282" s="2" t="s">
        <v>43</v>
      </c>
      <c r="E282" s="2" t="s">
        <v>14</v>
      </c>
      <c r="F282" s="2" t="s">
        <v>15</v>
      </c>
      <c r="G282" s="2" t="s">
        <v>917</v>
      </c>
      <c r="H282" s="2" t="s">
        <v>68</v>
      </c>
      <c r="I282" s="2" t="str">
        <f>IFERROR(__xludf.DUMMYFUNCTION("GOOGLETRANSLATE(C282,""fr"",""en"")"),"For the moment I am satisfied I have just subscribed to this insurance therefore favorable opinion for the telephone reception and the price so nothing to add for the moment")</f>
        <v>For the moment I am satisfied I have just subscribed to this insurance therefore favorable opinion for the telephone reception and the price so nothing to add for the moment</v>
      </c>
    </row>
    <row r="283" ht="15.75" customHeight="1">
      <c r="A283" s="2">
        <v>3.0</v>
      </c>
      <c r="B283" s="2" t="s">
        <v>918</v>
      </c>
      <c r="C283" s="2" t="s">
        <v>919</v>
      </c>
      <c r="D283" s="2" t="s">
        <v>106</v>
      </c>
      <c r="E283" s="2" t="s">
        <v>85</v>
      </c>
      <c r="F283" s="2" t="s">
        <v>15</v>
      </c>
      <c r="G283" s="2" t="s">
        <v>920</v>
      </c>
      <c r="H283" s="2" t="s">
        <v>123</v>
      </c>
      <c r="I283" s="2" t="str">
        <f>IFERROR(__xludf.DUMMYFUNCTION("GOOGLETRANSLATE(C283,""fr"",""en"")"),"Insurance of bad times, experts, if we can call it as ""expert"", I say insurance clerk, darty, baker, brands that want to sell and not the opposite, so there is a serious discomfort, after Six years at home, home, two vehicles, legal protection and a dis"&amp;"hwasher including a burned pump hose following contact with a resistance and that we do not want to take care of, well no I do not agree with everything")</f>
        <v>Insurance of bad times, experts, if we can call it as "expert", I say insurance clerk, darty, baker, brands that want to sell and not the opposite, so there is a serious discomfort, after Six years at home, home, two vehicles, legal protection and a dishwasher including a burned pump hose following contact with a resistance and that we do not want to take care of, well no I do not agree with everything</v>
      </c>
    </row>
    <row r="284" ht="15.75" customHeight="1">
      <c r="A284" s="2">
        <v>1.0</v>
      </c>
      <c r="B284" s="2" t="s">
        <v>921</v>
      </c>
      <c r="C284" s="2" t="s">
        <v>922</v>
      </c>
      <c r="D284" s="2" t="s">
        <v>13</v>
      </c>
      <c r="E284" s="2" t="s">
        <v>14</v>
      </c>
      <c r="F284" s="2" t="s">
        <v>15</v>
      </c>
      <c r="G284" s="2" t="s">
        <v>289</v>
      </c>
      <c r="H284" s="2" t="s">
        <v>52</v>
      </c>
      <c r="I284" s="2" t="str">
        <f>IFERROR(__xludf.DUMMYFUNCTION("GOOGLETRANSLATE(C284,""fr"",""en"")"),"Apparently LS remote customers are punished with their loyalty with prices much higher than for new customers. And customer service has nothing else to say than: ""you only have to terminate""!")</f>
        <v>Apparently LS remote customers are punished with their loyalty with prices much higher than for new customers. And customer service has nothing else to say than: "you only have to terminate"!</v>
      </c>
    </row>
    <row r="285" ht="15.75" customHeight="1">
      <c r="A285" s="2">
        <v>5.0</v>
      </c>
      <c r="B285" s="2" t="s">
        <v>923</v>
      </c>
      <c r="C285" s="2" t="s">
        <v>924</v>
      </c>
      <c r="D285" s="2" t="s">
        <v>13</v>
      </c>
      <c r="E285" s="2" t="s">
        <v>14</v>
      </c>
      <c r="F285" s="2" t="s">
        <v>15</v>
      </c>
      <c r="G285" s="2" t="s">
        <v>126</v>
      </c>
      <c r="H285" s="2" t="s">
        <v>72</v>
      </c>
      <c r="I285" s="2" t="str">
        <f>IFERROR(__xludf.DUMMYFUNCTION("GOOGLETRANSLATE(C285,""fr"",""en"")"),"Satisfied with the correct price service and very clear site I will recommend direct insurance to those around me
Very fast and simple
The advisor I had was very clear and kind
")</f>
        <v>Satisfied with the correct price service and very clear site I will recommend direct insurance to those around me
Very fast and simple
The advisor I had was very clear and kind
</v>
      </c>
    </row>
    <row r="286" ht="15.75" customHeight="1">
      <c r="A286" s="2">
        <v>2.0</v>
      </c>
      <c r="B286" s="2" t="s">
        <v>925</v>
      </c>
      <c r="C286" s="2" t="s">
        <v>926</v>
      </c>
      <c r="D286" s="2" t="s">
        <v>43</v>
      </c>
      <c r="E286" s="2" t="s">
        <v>14</v>
      </c>
      <c r="F286" s="2" t="s">
        <v>15</v>
      </c>
      <c r="G286" s="2" t="s">
        <v>927</v>
      </c>
      <c r="H286" s="2" t="s">
        <v>533</v>
      </c>
      <c r="I286" s="2" t="str">
        <f>IFERROR(__xludf.DUMMYFUNCTION("GOOGLETRANSLATE(C286,""fr"",""en"")"),"Terrible experience with the olive assurance which refuses the care of the claim in all risks following the fire by combustion of my vehicle which caught fire on our property on 07/11/2020 and which according to the opinion of the firefighters and Experts"&amp;" would have burned my wife's vehicle by propagation.
No trace of act of vandalism has been found and the privileged hypothesis is that of a defect from my vehicle which is still under BMW manufacturer warranty.
The olive tree refuses to recognize th"&amp;"e transfer of the guarantees of my insurance contract in all risks formula as I had requested since 5/11/2019 and wishes to record the claim with the minimum of guarantees, to the essential third party following a Error of their customer service which wou"&amp;"ld not have carried out the transfer of guarantees to all risks formula as requested.
Complaint sent to the Quality Department of the Olivier Assurance which is unreachable and no longer responds to my requests or the formal notice given by recommended w"&amp;"ith acknowledgment of receipt on 07/21/2020 with all the evidence and exchanges of Emails.
The customer service tells me one thing and its opposite to each call, I am confirmed on several occasions that I am well insured in all risks and that I would b"&amp;"e compensated then they reveal and tell me that I am insured at the essential third party ...
I sent my complaint to the quality management as requested by customer service (RCLA 20-07-016 complaint). Madame Viscart of the Quality Department of the Oli"&amp;"vier Insurance in charge of my file, had confirmed to me that they were waiting to receive my formal notice with all the documents and evidence of my request for the transfer of guarantees in all Risks to answer me and review my file. I have never had any"&amp;" answers to my formal notice or my requests for telephone recall from the quality management for two weeks. Customer service is unable to transfer calls to me to a manager or to the quality management who remains unreachable despite my recall requests mad"&amp;"e from customer service.
It seems obvious that the Customer Service of the Olivier Insurance made an error and did not register my request for the transfer of guarantees in all risks as I had demonstrated on several occasions. Customer service has obviou"&amp;"sly closed my request for an increase in guarantees without even warning me if the file was incomplete when I had explicitly requested. I want to clarify that I was already insured with the Olivier since 2017 in all risk with my old vehicle.
The disaster"&amp;" victim is always present on our property and we have not been able to clean the damage until the vehicle has been removed, which remains dangerous given the debris of glasses and scrap metal present in our garden.
Since the quality management of the o"&amp;"live tree insurance no longer responds to my requests or my formal notice, I have seized the insurance mediation services and intends to initiate legal proceedings as recommended by my lawyer since we no longer have any news of insurance.
We will bring t"&amp;"he file back to the prudential and resolution control authority in order to report the practices of this insurer.")</f>
        <v>Terrible experience with the olive assurance which refuses the care of the claim in all risks following the fire by combustion of my vehicle which caught fire on our property on 07/11/2020 and which according to the opinion of the firefighters and Experts would have burned my wife's vehicle by propagation.
No trace of act of vandalism has been found and the privileged hypothesis is that of a defect from my vehicle which is still under BMW manufacturer warranty.
The olive tree refuses to recognize the transfer of the guarantees of my insurance contract in all risks formula as I had requested since 5/11/2019 and wishes to record the claim with the minimum of guarantees, to the essential third party following a Error of their customer service which would not have carried out the transfer of guarantees to all risks formula as requested.
Complaint sent to the Quality Department of the Olivier Assurance which is unreachable and no longer responds to my requests or the formal notice given by recommended with acknowledgment of receipt on 07/21/2020 with all the evidence and exchanges of Emails.
The customer service tells me one thing and its opposite to each call, I am confirmed on several occasions that I am well insured in all risks and that I would be compensated then they reveal and tell me that I am insured at the essential third party ...
I sent my complaint to the quality management as requested by customer service (RCLA 20-07-016 complaint). Madame Viscart of the Quality Department of the Olivier Insurance in charge of my file, had confirmed to me that they were waiting to receive my formal notice with all the documents and evidence of my request for the transfer of guarantees in all Risks to answer me and review my file. I have never had any answers to my formal notice or my requests for telephone recall from the quality management for two weeks. Customer service is unable to transfer calls to me to a manager or to the quality management who remains unreachable despite my recall requests made from customer service.
It seems obvious that the Customer Service of the Olivier Insurance made an error and did not register my request for the transfer of guarantees in all risks as I had demonstrated on several occasions. Customer service has obviously closed my request for an increase in guarantees without even warning me if the file was incomplete when I had explicitly requested. I want to clarify that I was already insured with the Olivier since 2017 in all risk with my old vehicle.
The disaster victim is always present on our property and we have not been able to clean the damage until the vehicle has been removed, which remains dangerous given the debris of glasses and scrap metal present in our garden.
Since the quality management of the olive tree insurance no longer responds to my requests or my formal notice, I have seized the insurance mediation services and intends to initiate legal proceedings as recommended by my lawyer since we no longer have any news of insurance.
We will bring the file back to the prudential and resolution control authority in order to report the practices of this insurer.</v>
      </c>
    </row>
    <row r="287" ht="15.75" customHeight="1">
      <c r="A287" s="2">
        <v>4.0</v>
      </c>
      <c r="B287" s="2" t="s">
        <v>928</v>
      </c>
      <c r="C287" s="2" t="s">
        <v>929</v>
      </c>
      <c r="D287" s="2" t="s">
        <v>930</v>
      </c>
      <c r="E287" s="2" t="s">
        <v>56</v>
      </c>
      <c r="F287" s="2" t="s">
        <v>15</v>
      </c>
      <c r="G287" s="2" t="s">
        <v>931</v>
      </c>
      <c r="H287" s="2" t="s">
        <v>68</v>
      </c>
      <c r="I287" s="2" t="str">
        <f>IFERROR(__xludf.DUMMYFUNCTION("GOOGLETRANSLATE(C287,""fr"",""en"")"),"After bad experiences at other insurers, I found a very good support at the Mutuelle des Motards. Always effective in the processing of my requests, I am fully satisfied!")</f>
        <v>After bad experiences at other insurers, I found a very good support at the Mutuelle des Motards. Always effective in the processing of my requests, I am fully satisfied!</v>
      </c>
    </row>
    <row r="288" ht="15.75" customHeight="1">
      <c r="A288" s="2">
        <v>2.0</v>
      </c>
      <c r="B288" s="2" t="s">
        <v>932</v>
      </c>
      <c r="C288" s="2" t="s">
        <v>933</v>
      </c>
      <c r="D288" s="2" t="s">
        <v>156</v>
      </c>
      <c r="E288" s="2" t="s">
        <v>14</v>
      </c>
      <c r="F288" s="2" t="s">
        <v>15</v>
      </c>
      <c r="G288" s="2" t="s">
        <v>934</v>
      </c>
      <c r="H288" s="2" t="s">
        <v>533</v>
      </c>
      <c r="I288" s="2" t="str">
        <f>IFERROR(__xludf.DUMMYFUNCTION("GOOGLETRANSLATE(C288,""fr"",""en"")"),"I asked for my situation bulletin and the way of talking about the advisor to change at all
 I have financial problems of the blow, not possible to pay the subscription I want to change insurance because Maaf no longer wants to agree to pay in several ti"&amp;"mes and the big surprise I have asked for information the advisor who is Nice habit is understandable has become almost nasty on the phone
At the same time I have all my contracts at home car home children death insurance
Well disappointed with their re"&amp;"action")</f>
        <v>I asked for my situation bulletin and the way of talking about the advisor to change at all
 I have financial problems of the blow, not possible to pay the subscription I want to change insurance because Maaf no longer wants to agree to pay in several times and the big surprise I have asked for information the advisor who is Nice habit is understandable has become almost nasty on the phone
At the same time I have all my contracts at home car home children death insurance
Well disappointed with their reaction</v>
      </c>
    </row>
    <row r="289" ht="15.75" customHeight="1">
      <c r="A289" s="2">
        <v>1.0</v>
      </c>
      <c r="B289" s="2" t="s">
        <v>935</v>
      </c>
      <c r="C289" s="2" t="s">
        <v>936</v>
      </c>
      <c r="D289" s="2" t="s">
        <v>106</v>
      </c>
      <c r="E289" s="2" t="s">
        <v>14</v>
      </c>
      <c r="F289" s="2" t="s">
        <v>15</v>
      </c>
      <c r="G289" s="2" t="s">
        <v>937</v>
      </c>
      <c r="H289" s="2" t="s">
        <v>776</v>
      </c>
      <c r="I289" s="2" t="str">
        <f>IFERROR(__xludf.DUMMYFUNCTION("GOOGLETRANSLATE(C289,""fr"",""en"")"),"Low prices but for nothing, they use BCA experts who are dummies, they ask you to pay the 350th franchise when you are not responsible and you are in all risks, the phony expert refuse to do Full repairs, and Pacifica takes refuge behind him, in short, it"&amp;"'s the game of it's not me is him the fault, and 5 months of waiting to just repaint a hood of car, because they Preferred first of all a polish whose result was lamentable.
After my complaint, when it was necessary to repaint the seal hood to remove whi"&amp;"te paint stains on a black car, they just repained the hood without the grille, and this, pretending that the grille had traces of gravel, while The polish did before had paint bursts.
A word of advice, pay more but go elsewhere, and especially before si"&amp;"gnifying your future insurance if they use the BCA expert firm, and if so, run away!")</f>
        <v>Low prices but for nothing, they use BCA experts who are dummies, they ask you to pay the 350th franchise when you are not responsible and you are in all risks, the phony expert refuse to do Full repairs, and Pacifica takes refuge behind him, in short, it's the game of it's not me is him the fault, and 5 months of waiting to just repaint a hood of car, because they Preferred first of all a polish whose result was lamentable.
After my complaint, when it was necessary to repaint the seal hood to remove white paint stains on a black car, they just repained the hood without the grille, and this, pretending that the grille had traces of gravel, while The polish did before had paint bursts.
A word of advice, pay more but go elsewhere, and especially before signifying your future insurance if they use the BCA expert firm, and if so, run away!</v>
      </c>
    </row>
    <row r="290" ht="15.75" customHeight="1">
      <c r="A290" s="2">
        <v>1.0</v>
      </c>
      <c r="B290" s="2" t="s">
        <v>938</v>
      </c>
      <c r="C290" s="2" t="s">
        <v>939</v>
      </c>
      <c r="D290" s="2" t="s">
        <v>365</v>
      </c>
      <c r="E290" s="2" t="s">
        <v>14</v>
      </c>
      <c r="F290" s="2" t="s">
        <v>15</v>
      </c>
      <c r="G290" s="2" t="s">
        <v>715</v>
      </c>
      <c r="H290" s="2" t="s">
        <v>99</v>
      </c>
      <c r="I290" s="2" t="str">
        <f>IFERROR(__xludf.DUMMYFUNCTION("GOOGLETRANSLATE(C290,""fr"",""en"")"),"If I could put zero star I would do it!
I file an accident declaration in a provincial maif office antenna, already the interlocutor is forbidden, not pleasant at all, no smile, stuck style, as it is for a parent working and cannot come in day and evenin"&amp;"g, already we Asks me why the person does not move he even ... and I am told that by confidentiality he will not be recorded and that this declaration will be just scanned and sent by email and will therefore appear in his file. It is up to my parent to t"&amp;"elephone and make this statement afterwards.
I therefore ask my interlocutor to check the observation and if everything is clear because my parent has no responsibility in this accident. She replies that everything explicit and that it is ok.
Except t"&amp;"hat when my parent calls for recording it is told that it is necessary to redo the observation !! We even offer to postpone his departure on vacation which is tomorrow to assess his car !!
My parent lost an hour to redo everything via their platform! How"&amp;" will sign the opposing part that came into it by backing down ?? Fortunately, there is a eyewitness !!
Sacred harassment to avoid any care what, although we have no responsibility, the observation was seen and validated by a menfoutist, pure loss of t"&amp;"ime and energy.
I will terminate my 7 contracts with them, in principle.
")</f>
        <v>If I could put zero star I would do it!
I file an accident declaration in a provincial maif office antenna, already the interlocutor is forbidden, not pleasant at all, no smile, stuck style, as it is for a parent working and cannot come in day and evening, already we Asks me why the person does not move he even ... and I am told that by confidentiality he will not be recorded and that this declaration will be just scanned and sent by email and will therefore appear in his file. It is up to my parent to telephone and make this statement afterwards.
I therefore ask my interlocutor to check the observation and if everything is clear because my parent has no responsibility in this accident. She replies that everything explicit and that it is ok.
Except that when my parent calls for recording it is told that it is necessary to redo the observation !! We even offer to postpone his departure on vacation which is tomorrow to assess his car !!
My parent lost an hour to redo everything via their platform! How will sign the opposing part that came into it by backing down ?? Fortunately, there is a eyewitness !!
Sacred harassment to avoid any care what, although we have no responsibility, the observation was seen and validated by a menfoutist, pure loss of time and energy.
I will terminate my 7 contracts with them, in principle.
</v>
      </c>
    </row>
    <row r="291" ht="15.75" customHeight="1">
      <c r="A291" s="2">
        <v>4.0</v>
      </c>
      <c r="B291" s="2" t="s">
        <v>940</v>
      </c>
      <c r="C291" s="2" t="s">
        <v>941</v>
      </c>
      <c r="D291" s="2" t="s">
        <v>43</v>
      </c>
      <c r="E291" s="2" t="s">
        <v>14</v>
      </c>
      <c r="F291" s="2" t="s">
        <v>15</v>
      </c>
      <c r="G291" s="2" t="s">
        <v>942</v>
      </c>
      <c r="H291" s="2" t="s">
        <v>721</v>
      </c>
      <c r="I291" s="2" t="str">
        <f>IFERROR(__xludf.DUMMYFUNCTION("GOOGLETRANSLATE(C291,""fr"",""en"")"),"For the moment, I cannot speak on reimbursements in the event of a claim, I do not have, however, the prices are super competitive and with the Hamon law the insurer took care of all the steps towards the 'Old insurer.")</f>
        <v>For the moment, I cannot speak on reimbursements in the event of a claim, I do not have, however, the prices are super competitive and with the Hamon law the insurer took care of all the steps towards the 'Old insurer.</v>
      </c>
    </row>
    <row r="292" ht="15.75" customHeight="1">
      <c r="A292" s="2">
        <v>3.0</v>
      </c>
      <c r="B292" s="2" t="s">
        <v>943</v>
      </c>
      <c r="C292" s="2" t="s">
        <v>944</v>
      </c>
      <c r="D292" s="2" t="s">
        <v>13</v>
      </c>
      <c r="E292" s="2" t="s">
        <v>14</v>
      </c>
      <c r="F292" s="2" t="s">
        <v>15</v>
      </c>
      <c r="G292" s="2" t="s">
        <v>945</v>
      </c>
      <c r="H292" s="2" t="s">
        <v>166</v>
      </c>
      <c r="I292" s="2" t="str">
        <f>IFERROR(__xludf.DUMMYFUNCTION("GOOGLETRANSLATE(C292,""fr"",""en"")"),"Rales still high, I look elsewhere to lower this price. Competitors would seem cheaper. I give myself 1 month to find another insurance")</f>
        <v>Rales still high, I look elsewhere to lower this price. Competitors would seem cheaper. I give myself 1 month to find another insurance</v>
      </c>
    </row>
    <row r="293" ht="15.75" customHeight="1">
      <c r="A293" s="2">
        <v>1.0</v>
      </c>
      <c r="B293" s="2" t="s">
        <v>946</v>
      </c>
      <c r="C293" s="2" t="s">
        <v>947</v>
      </c>
      <c r="D293" s="2" t="s">
        <v>13</v>
      </c>
      <c r="E293" s="2" t="s">
        <v>14</v>
      </c>
      <c r="F293" s="2" t="s">
        <v>15</v>
      </c>
      <c r="G293" s="2" t="s">
        <v>948</v>
      </c>
      <c r="H293" s="2" t="s">
        <v>268</v>
      </c>
      <c r="I293" s="2" t="str">
        <f>IFERROR(__xludf.DUMMYFUNCTION("GOOGLETRANSLATE(C293,""fr"",""en"")"),"I strongly advise against all motorists to take this insurance.
I got my vehicle vandalized on September 15, I stole my back bench.
To date on October 28, my vehicle is still not repaired. Result I cannot transport more than one person for almost two mo"&amp;"nths.
In addition, I had to replace the broken tile at the incident at my own costs.
Without forgetting that on the day of the declaration of the claim, they allowed themselves to modify my contract and therefore my contributions.
")</f>
        <v>I strongly advise against all motorists to take this insurance.
I got my vehicle vandalized on September 15, I stole my back bench.
To date on October 28, my vehicle is still not repaired. Result I cannot transport more than one person for almost two months.
In addition, I had to replace the broken tile at the incident at my own costs.
Without forgetting that on the day of the declaration of the claim, they allowed themselves to modify my contract and therefore my contributions.
</v>
      </c>
    </row>
    <row r="294" ht="15.75" customHeight="1">
      <c r="A294" s="2">
        <v>1.0</v>
      </c>
      <c r="B294" s="2" t="s">
        <v>949</v>
      </c>
      <c r="C294" s="2" t="s">
        <v>950</v>
      </c>
      <c r="D294" s="2" t="s">
        <v>392</v>
      </c>
      <c r="E294" s="2" t="s">
        <v>317</v>
      </c>
      <c r="F294" s="2" t="s">
        <v>15</v>
      </c>
      <c r="G294" s="2" t="s">
        <v>951</v>
      </c>
      <c r="H294" s="2" t="s">
        <v>272</v>
      </c>
      <c r="I294" s="2" t="str">
        <f>IFERROR(__xludf.DUMMYFUNCTION("GOOGLETRANSLATE(C294,""fr"",""en"")"),"This insurer costs expensive and when you have a concern there is no simple way to contact them.
The file does not evolve and they are very antipathetic and inclined to tell you that of all faes you will have nothing whatever the disaster.
Flee this i"&amp;"nsurer")</f>
        <v>This insurer costs expensive and when you have a concern there is no simple way to contact them.
The file does not evolve and they are very antipathetic and inclined to tell you that of all faes you will have nothing whatever the disaster.
Flee this insurer</v>
      </c>
    </row>
    <row r="295" ht="15.75" customHeight="1">
      <c r="A295" s="2">
        <v>4.0</v>
      </c>
      <c r="B295" s="2" t="s">
        <v>952</v>
      </c>
      <c r="C295" s="2" t="s">
        <v>953</v>
      </c>
      <c r="D295" s="2" t="s">
        <v>13</v>
      </c>
      <c r="E295" s="2" t="s">
        <v>14</v>
      </c>
      <c r="F295" s="2" t="s">
        <v>15</v>
      </c>
      <c r="G295" s="2" t="s">
        <v>544</v>
      </c>
      <c r="H295" s="2" t="s">
        <v>192</v>
      </c>
      <c r="I295" s="2" t="str">
        <f>IFERROR(__xludf.DUMMYFUNCTION("GOOGLETRANSLATE(C295,""fr"",""en"")"),"I am satisfied with your simple and clear and practical service on the other hand the a little expensive price.
 But in general the service and clear and very well
")</f>
        <v>I am satisfied with your simple and clear and practical service on the other hand the a little expensive price.
 But in general the service and clear and very well
</v>
      </c>
    </row>
    <row r="296" ht="15.75" customHeight="1">
      <c r="A296" s="2">
        <v>2.0</v>
      </c>
      <c r="B296" s="2" t="s">
        <v>954</v>
      </c>
      <c r="C296" s="2" t="s">
        <v>955</v>
      </c>
      <c r="D296" s="2" t="s">
        <v>220</v>
      </c>
      <c r="E296" s="2" t="s">
        <v>35</v>
      </c>
      <c r="F296" s="2" t="s">
        <v>15</v>
      </c>
      <c r="G296" s="2" t="s">
        <v>956</v>
      </c>
      <c r="H296" s="2" t="s">
        <v>173</v>
      </c>
      <c r="I296" s="2" t="str">
        <f>IFERROR(__xludf.DUMMYFUNCTION("GOOGLETRANSLATE(C296,""fr"",""en"")"),"Refunds are not satisfactory. We have to make the lead in costs on hospitalizations, dental care etc.")</f>
        <v>Refunds are not satisfactory. We have to make the lead in costs on hospitalizations, dental care etc.</v>
      </c>
    </row>
    <row r="297" ht="15.75" customHeight="1">
      <c r="A297" s="2">
        <v>4.0</v>
      </c>
      <c r="B297" s="2" t="s">
        <v>957</v>
      </c>
      <c r="C297" s="2" t="s">
        <v>958</v>
      </c>
      <c r="D297" s="2" t="s">
        <v>13</v>
      </c>
      <c r="E297" s="2" t="s">
        <v>14</v>
      </c>
      <c r="F297" s="2" t="s">
        <v>15</v>
      </c>
      <c r="G297" s="2" t="s">
        <v>239</v>
      </c>
      <c r="H297" s="2" t="s">
        <v>99</v>
      </c>
      <c r="I297" s="2" t="str">
        <f>IFERROR(__xludf.DUMMYFUNCTION("GOOGLETRANSLATE(C297,""fr"",""en"")"),"I am satisfied with the service, the price is a bit expensive. The information was very clear and precise. Nothing to say at this level. Keep going .")</f>
        <v>I am satisfied with the service, the price is a bit expensive. The information was very clear and precise. Nothing to say at this level. Keep going .</v>
      </c>
    </row>
    <row r="298" ht="15.75" customHeight="1">
      <c r="A298" s="2">
        <v>4.0</v>
      </c>
      <c r="B298" s="2" t="s">
        <v>959</v>
      </c>
      <c r="C298" s="2" t="s">
        <v>960</v>
      </c>
      <c r="D298" s="2" t="s">
        <v>224</v>
      </c>
      <c r="E298" s="2" t="s">
        <v>35</v>
      </c>
      <c r="F298" s="2" t="s">
        <v>15</v>
      </c>
      <c r="G298" s="2" t="s">
        <v>961</v>
      </c>
      <c r="H298" s="2" t="s">
        <v>272</v>
      </c>
      <c r="I298" s="2" t="str">
        <f>IFERROR(__xludf.DUMMYFUNCTION("GOOGLETRANSLATE(C298,""fr"",""en"")"),"Many thanks to Aminata who answered me very well for my termination of my contract following a different response between ""customer monitoring"" and ""management"".")</f>
        <v>Many thanks to Aminata who answered me very well for my termination of my contract following a different response between "customer monitoring" and "management".</v>
      </c>
    </row>
    <row r="299" ht="15.75" customHeight="1">
      <c r="A299" s="2">
        <v>3.0</v>
      </c>
      <c r="B299" s="2" t="s">
        <v>962</v>
      </c>
      <c r="C299" s="2" t="s">
        <v>963</v>
      </c>
      <c r="D299" s="2" t="s">
        <v>352</v>
      </c>
      <c r="E299" s="2" t="s">
        <v>14</v>
      </c>
      <c r="F299" s="2" t="s">
        <v>15</v>
      </c>
      <c r="G299" s="2" t="s">
        <v>964</v>
      </c>
      <c r="H299" s="2" t="s">
        <v>166</v>
      </c>
      <c r="I299" s="2" t="str">
        <f>IFERROR(__xludf.DUMMYFUNCTION("GOOGLETRANSLATE(C299,""fr"",""en"")"),"I want to draw the attention of GMF customers: after years (decades!) With a bonus of 50%. I was blowing two accidents (materials, total responsibility): the GMF announces that my bonus goes to, 5 to 0.62 (it's normal) then shortly before the next deadlin"&amp;"e ... the GMF announce me (recommended with a/r) that my contract is terminated!
So be careful! Even with years at 50% the GMF terminates its contracts after 2 accidents
Too bad because I was very satisfied with the GMF so far (I was going to write this"&amp;" pendable blow ...)
Too bad the customers were not warned (I could have changed insurer before, it would have cost me less) they will be now I hope.")</f>
        <v>I want to draw the attention of GMF customers: after years (decades!) With a bonus of 50%. I was blowing two accidents (materials, total responsibility): the GMF announces that my bonus goes to, 5 to 0.62 (it's normal) then shortly before the next deadline ... the GMF announce me (recommended with a/r) that my contract is terminated!
So be careful! Even with years at 50% the GMF terminates its contracts after 2 accidents
Too bad because I was very satisfied with the GMF so far (I was going to write this pendable blow ...)
Too bad the customers were not warned (I could have changed insurer before, it would have cost me less) they will be now I hope.</v>
      </c>
    </row>
    <row r="300" ht="15.75" customHeight="1">
      <c r="A300" s="2">
        <v>5.0</v>
      </c>
      <c r="B300" s="2" t="s">
        <v>965</v>
      </c>
      <c r="C300" s="2" t="s">
        <v>966</v>
      </c>
      <c r="D300" s="2" t="s">
        <v>13</v>
      </c>
      <c r="E300" s="2" t="s">
        <v>14</v>
      </c>
      <c r="F300" s="2" t="s">
        <v>15</v>
      </c>
      <c r="G300" s="2" t="s">
        <v>779</v>
      </c>
      <c r="H300" s="2" t="s">
        <v>72</v>
      </c>
      <c r="I300" s="2" t="str">
        <f>IFERROR(__xludf.DUMMYFUNCTION("GOOGLETRANSLATE(C300,""fr"",""en"")"),"I am very satisfied to have been able to settle this on a Saturday at noon spent! Thank you very much for this service.
And I find the prices completely correct, we will see in use if the guarantees follow ...")</f>
        <v>I am very satisfied to have been able to settle this on a Saturday at noon spent! Thank you very much for this service.
And I find the prices completely correct, we will see in use if the guarantees follow ...</v>
      </c>
    </row>
    <row r="301" ht="15.75" customHeight="1">
      <c r="A301" s="2">
        <v>2.0</v>
      </c>
      <c r="B301" s="2" t="s">
        <v>967</v>
      </c>
      <c r="C301" s="2" t="s">
        <v>968</v>
      </c>
      <c r="D301" s="2" t="s">
        <v>338</v>
      </c>
      <c r="E301" s="2" t="s">
        <v>144</v>
      </c>
      <c r="F301" s="2" t="s">
        <v>15</v>
      </c>
      <c r="G301" s="2" t="s">
        <v>969</v>
      </c>
      <c r="H301" s="2" t="s">
        <v>831</v>
      </c>
      <c r="I301" s="2" t="str">
        <f>IFERROR(__xludf.DUMMYFUNCTION("GOOGLETRANSLATE(C301,""fr"",""en"")"),"This insurance is limited, beware of taking care because it is noted surgery but lots of acts are not supported so ultimately the price and acts taken and very high acts report")</f>
        <v>This insurance is limited, beware of taking care because it is noted surgery but lots of acts are not supported so ultimately the price and acts taken and very high acts report</v>
      </c>
    </row>
    <row r="302" ht="15.75" customHeight="1">
      <c r="A302" s="2">
        <v>1.0</v>
      </c>
      <c r="B302" s="2" t="s">
        <v>970</v>
      </c>
      <c r="C302" s="2" t="s">
        <v>971</v>
      </c>
      <c r="D302" s="2" t="s">
        <v>278</v>
      </c>
      <c r="E302" s="2" t="s">
        <v>14</v>
      </c>
      <c r="F302" s="2" t="s">
        <v>15</v>
      </c>
      <c r="G302" s="2" t="s">
        <v>438</v>
      </c>
      <c r="H302" s="2" t="s">
        <v>438</v>
      </c>
      <c r="I302" s="2" t="str">
        <f>IFERROR(__xludf.DUMMYFUNCTION("GOOGLETRANSLATE(C302,""fr"",""en"")"),"Hello, my wife had an accident on 28th 2019, sending all documents on time. Today July 1 and no refund !!!! Call to the Matmut (loss of the observation) and as if by magic the observation reappears !!!! Call today and I am told that my file has still not "&amp;"been to be treated !!!! So I really think they are incompetent in their work because no response from them answered me that my file was not dealing !!!! I think that this insurance and quite simply times ... For the disaster they are called upon to Allian"&amp;"z also incompetent more than 1 week for the expert gives are quantification of the unheard of !!!! I do not recommend this insurance not to assure you at the MATMUT")</f>
        <v>Hello, my wife had an accident on 28th 2019, sending all documents on time. Today July 1 and no refund !!!! Call to the Matmut (loss of the observation) and as if by magic the observation reappears !!!! Call today and I am told that my file has still not been to be treated !!!! So I really think they are incompetent in their work because no response from them answered me that my file was not dealing !!!! I think that this insurance and quite simply times ... For the disaster they are called upon to Allianz also incompetent more than 1 week for the expert gives are quantification of the unheard of !!!! I do not recommend this insurance not to assure you at the MATMUT</v>
      </c>
    </row>
    <row r="303" ht="15.75" customHeight="1">
      <c r="A303" s="2">
        <v>1.0</v>
      </c>
      <c r="B303" s="2" t="s">
        <v>972</v>
      </c>
      <c r="C303" s="2" t="s">
        <v>973</v>
      </c>
      <c r="D303" s="2" t="s">
        <v>13</v>
      </c>
      <c r="E303" s="2" t="s">
        <v>14</v>
      </c>
      <c r="F303" s="2" t="s">
        <v>15</v>
      </c>
      <c r="G303" s="2" t="s">
        <v>974</v>
      </c>
      <c r="H303" s="2" t="s">
        <v>192</v>
      </c>
      <c r="I303" s="2" t="str">
        <f>IFERROR(__xludf.DUMMYFUNCTION("GOOGLETRANSLATE(C303,""fr"",""en"")"),"Impossible to terminate, Parcontre easy to be struck off. Lamentable and insulting customer service.
Never again. There are many other cheaper insurances.")</f>
        <v>Impossible to terminate, Parcontre easy to be struck off. Lamentable and insulting customer service.
Never again. There are many other cheaper insurances.</v>
      </c>
    </row>
    <row r="304" ht="15.75" customHeight="1">
      <c r="A304" s="2">
        <v>4.0</v>
      </c>
      <c r="B304" s="2" t="s">
        <v>975</v>
      </c>
      <c r="C304" s="2" t="s">
        <v>976</v>
      </c>
      <c r="D304" s="2" t="s">
        <v>13</v>
      </c>
      <c r="E304" s="2" t="s">
        <v>14</v>
      </c>
      <c r="F304" s="2" t="s">
        <v>15</v>
      </c>
      <c r="G304" s="2" t="s">
        <v>501</v>
      </c>
      <c r="H304" s="2" t="s">
        <v>192</v>
      </c>
      <c r="I304" s="2" t="str">
        <f>IFERROR(__xludf.DUMMYFUNCTION("GOOGLETRANSLATE(C304,""fr"",""en"")"),"The insurance price has not changed from year to year.
No new bonus. I don't know what awaits me in the future bonus level. How does it work ? For the rest, the application works well.")</f>
        <v>The insurance price has not changed from year to year.
No new bonus. I don't know what awaits me in the future bonus level. How does it work ? For the rest, the application works well.</v>
      </c>
    </row>
    <row r="305" ht="15.75" customHeight="1">
      <c r="A305" s="2">
        <v>5.0</v>
      </c>
      <c r="B305" s="2" t="s">
        <v>977</v>
      </c>
      <c r="C305" s="2" t="s">
        <v>978</v>
      </c>
      <c r="D305" s="2" t="s">
        <v>43</v>
      </c>
      <c r="E305" s="2" t="s">
        <v>14</v>
      </c>
      <c r="F305" s="2" t="s">
        <v>15</v>
      </c>
      <c r="G305" s="2" t="s">
        <v>979</v>
      </c>
      <c r="H305" s="2" t="s">
        <v>52</v>
      </c>
      <c r="I305" s="2" t="str">
        <f>IFERROR(__xludf.DUMMYFUNCTION("GOOGLETRANSLATE(C305,""fr"",""en"")"),"Top, the value for money is perfect! The contract is very accessible, clear and clear, it is only missing that the insurance ... Thank you the olive tree !!!")</f>
        <v>Top, the value for money is perfect! The contract is very accessible, clear and clear, it is only missing that the insurance ... Thank you the olive tree !!!</v>
      </c>
    </row>
    <row r="306" ht="15.75" customHeight="1">
      <c r="A306" s="2">
        <v>3.0</v>
      </c>
      <c r="B306" s="2" t="s">
        <v>980</v>
      </c>
      <c r="C306" s="2" t="s">
        <v>981</v>
      </c>
      <c r="D306" s="2" t="s">
        <v>156</v>
      </c>
      <c r="E306" s="2" t="s">
        <v>14</v>
      </c>
      <c r="F306" s="2" t="s">
        <v>15</v>
      </c>
      <c r="G306" s="2" t="s">
        <v>982</v>
      </c>
      <c r="H306" s="2" t="s">
        <v>94</v>
      </c>
      <c r="I306" s="2" t="str">
        <f>IFERROR(__xludf.DUMMYFUNCTION("GOOGLETRANSLATE(C306,""fr"",""en"")"),"very good for advertising (lie), but not for the rest")</f>
        <v>very good for advertising (lie), but not for the rest</v>
      </c>
    </row>
    <row r="307" ht="15.75" customHeight="1">
      <c r="A307" s="2">
        <v>3.0</v>
      </c>
      <c r="B307" s="2" t="s">
        <v>983</v>
      </c>
      <c r="C307" s="2" t="s">
        <v>984</v>
      </c>
      <c r="D307" s="2" t="s">
        <v>13</v>
      </c>
      <c r="E307" s="2" t="s">
        <v>14</v>
      </c>
      <c r="F307" s="2" t="s">
        <v>15</v>
      </c>
      <c r="G307" s="2" t="s">
        <v>985</v>
      </c>
      <c r="H307" s="2" t="s">
        <v>146</v>
      </c>
      <c r="I307" s="2" t="str">
        <f>IFERROR(__xludf.DUMMYFUNCTION("GOOGLETRANSLATE(C307,""fr"",""en"")"),"Simple and quick quote to do online. More difficult to have an advice. Average price of walking for an experienced driver with 50 percent good. Ensures the young drivers but quite expensive for once, even as an authorized driver.")</f>
        <v>Simple and quick quote to do online. More difficult to have an advice. Average price of walking for an experienced driver with 50 percent good. Ensures the young drivers but quite expensive for once, even as an authorized driver.</v>
      </c>
    </row>
    <row r="308" ht="15.75" customHeight="1">
      <c r="A308" s="2">
        <v>1.0</v>
      </c>
      <c r="B308" s="2" t="s">
        <v>986</v>
      </c>
      <c r="C308" s="2" t="s">
        <v>987</v>
      </c>
      <c r="D308" s="2" t="s">
        <v>24</v>
      </c>
      <c r="E308" s="2" t="s">
        <v>112</v>
      </c>
      <c r="F308" s="2" t="s">
        <v>15</v>
      </c>
      <c r="G308" s="2" t="s">
        <v>988</v>
      </c>
      <c r="H308" s="2" t="s">
        <v>313</v>
      </c>
      <c r="I308" s="2" t="str">
        <f>IFERROR(__xludf.DUMMYFUNCTION("GOOGLETRANSLATE(C308,""fr"",""en"")"),"Even the insurer correspondent of my region has failed to regularize my situation, that is to say the level of incompetence of this insurance which, after 4 months of complaints, has still not updated my contribution with The new damping table sent three "&amp;"times! To believe that their skills are inversely proportional to technological progress! So I had to take out another, cheaper insurance. In 10 days, everything was done. CQFD.")</f>
        <v>Even the insurer correspondent of my region has failed to regularize my situation, that is to say the level of incompetence of this insurance which, after 4 months of complaints, has still not updated my contribution with The new damping table sent three times! To believe that their skills are inversely proportional to technological progress! So I had to take out another, cheaper insurance. In 10 days, everything was done. CQFD.</v>
      </c>
    </row>
    <row r="309" ht="15.75" customHeight="1">
      <c r="A309" s="2">
        <v>1.0</v>
      </c>
      <c r="B309" s="2" t="s">
        <v>989</v>
      </c>
      <c r="C309" s="2" t="s">
        <v>990</v>
      </c>
      <c r="D309" s="2" t="s">
        <v>80</v>
      </c>
      <c r="E309" s="2" t="s">
        <v>14</v>
      </c>
      <c r="F309" s="2" t="s">
        <v>15</v>
      </c>
      <c r="G309" s="2" t="s">
        <v>991</v>
      </c>
      <c r="H309" s="2" t="s">
        <v>619</v>
      </c>
      <c r="I309" s="2" t="str">
        <f>IFERROR(__xludf.DUMMYFUNCTION("GOOGLETRANSLATE(C309,""fr"",""en"")"),"Waiting for 4 weeks for passing an expert following a claim they do not like that we choose a concession rather than their approved garage. Considering to renegotiate the price of my agent's response contributions ""as long as the customer does not compla"&amp;"in is that he is happy"" continued comparison with other 200 euros in delivery. It's not nothing. In addition, their sinister survey does not work when functioning a good deplorable rating")</f>
        <v>Waiting for 4 weeks for passing an expert following a claim they do not like that we choose a concession rather than their approved garage. Considering to renegotiate the price of my agent's response contributions "as long as the customer does not complain is that he is happy" continued comparison with other 200 euros in delivery. It's not nothing. In addition, their sinister survey does not work when functioning a good deplorable rating</v>
      </c>
    </row>
    <row r="310" ht="15.75" customHeight="1">
      <c r="A310" s="2">
        <v>1.0</v>
      </c>
      <c r="B310" s="2" t="s">
        <v>992</v>
      </c>
      <c r="C310" s="2" t="s">
        <v>993</v>
      </c>
      <c r="D310" s="2" t="s">
        <v>43</v>
      </c>
      <c r="E310" s="2" t="s">
        <v>14</v>
      </c>
      <c r="F310" s="2" t="s">
        <v>15</v>
      </c>
      <c r="G310" s="2" t="s">
        <v>994</v>
      </c>
      <c r="H310" s="2" t="s">
        <v>995</v>
      </c>
      <c r="I310" s="2" t="str">
        <f>IFERROR(__xludf.DUMMYFUNCTION("GOOGLETRANSLATE(C310,""fr"",""en"")"),"Since 31/01 following the request of the olive tree I sent the
Information statement concerning my car to prove that my wife also benefited from 50/*100 bonuses.
Surprise this morning email asking me again this statement to receive the green card if not"&amp;" threatens to delete the insurance contract and the payment made unreformed.
Aberring this insurance fed up.")</f>
        <v>Since 31/01 following the request of the olive tree I sent the
Information statement concerning my car to prove that my wife also benefited from 50/*100 bonuses.
Surprise this morning email asking me again this statement to receive the green card if not threatens to delete the insurance contract and the payment made unreformed.
Aberring this insurance fed up.</v>
      </c>
    </row>
    <row r="311" ht="15.75" customHeight="1">
      <c r="A311" s="2">
        <v>1.0</v>
      </c>
      <c r="B311" s="2" t="s">
        <v>996</v>
      </c>
      <c r="C311" s="2" t="s">
        <v>997</v>
      </c>
      <c r="D311" s="2" t="s">
        <v>392</v>
      </c>
      <c r="E311" s="2" t="s">
        <v>317</v>
      </c>
      <c r="F311" s="2" t="s">
        <v>15</v>
      </c>
      <c r="G311" s="2" t="s">
        <v>998</v>
      </c>
      <c r="H311" s="2" t="s">
        <v>422</v>
      </c>
      <c r="I311" s="2" t="str">
        <f>IFERROR(__xludf.DUMMYFUNCTION("GOOGLETRANSLATE(C311,""fr"",""en"")"),"Please note the insured at the CNP in passing of loan insurance from 69 years to 70 years old It will pay you 227 % more or from 36 euro to 118 euro per month and the bank will tell you you will pay a little more senior and this with a normal medical file"&amp;" no complaint is taken into account")</f>
        <v>Please note the insured at the CNP in passing of loan insurance from 69 years to 70 years old It will pay you 227 % more or from 36 euro to 118 euro per month and the bank will tell you you will pay a little more senior and this with a normal medical file no complaint is taken into account</v>
      </c>
    </row>
    <row r="312" ht="15.75" customHeight="1">
      <c r="A312" s="2">
        <v>4.0</v>
      </c>
      <c r="B312" s="2" t="s">
        <v>999</v>
      </c>
      <c r="C312" s="2" t="s">
        <v>1000</v>
      </c>
      <c r="D312" s="2" t="s">
        <v>13</v>
      </c>
      <c r="E312" s="2" t="s">
        <v>14</v>
      </c>
      <c r="F312" s="2" t="s">
        <v>15</v>
      </c>
      <c r="G312" s="2" t="s">
        <v>1001</v>
      </c>
      <c r="H312" s="2" t="s">
        <v>272</v>
      </c>
      <c r="I312" s="2" t="str">
        <f>IFERROR(__xludf.DUMMYFUNCTION("GOOGLETRANSLATE(C312,""fr"",""en"")"),"Nothing to say bravo! I am totally satisfied. Too bad, but this is the principle, that it is necessary to do a lot of seizures to reach the desired section.")</f>
        <v>Nothing to say bravo! I am totally satisfied. Too bad, but this is the principle, that it is necessary to do a lot of seizures to reach the desired section.</v>
      </c>
    </row>
    <row r="313" ht="15.75" customHeight="1">
      <c r="A313" s="2">
        <v>5.0</v>
      </c>
      <c r="B313" s="2" t="s">
        <v>1002</v>
      </c>
      <c r="C313" s="2" t="s">
        <v>1003</v>
      </c>
      <c r="D313" s="2" t="s">
        <v>13</v>
      </c>
      <c r="E313" s="2" t="s">
        <v>14</v>
      </c>
      <c r="F313" s="2" t="s">
        <v>15</v>
      </c>
      <c r="G313" s="2" t="s">
        <v>1004</v>
      </c>
      <c r="H313" s="2" t="s">
        <v>131</v>
      </c>
      <c r="I313" s="2" t="str">
        <f>IFERROR(__xludf.DUMMYFUNCTION("GOOGLETRANSLATE(C313,""fr"",""en"")"),"Satisfied with the service. Prices suit me. Excellent value . Well accompanied throughout my research. Happy with this quote")</f>
        <v>Satisfied with the service. Prices suit me. Excellent value . Well accompanied throughout my research. Happy with this quote</v>
      </c>
    </row>
    <row r="314" ht="15.75" customHeight="1">
      <c r="A314" s="2">
        <v>3.0</v>
      </c>
      <c r="B314" s="2" t="s">
        <v>1005</v>
      </c>
      <c r="C314" s="2" t="s">
        <v>1006</v>
      </c>
      <c r="D314" s="2" t="s">
        <v>224</v>
      </c>
      <c r="E314" s="2" t="s">
        <v>35</v>
      </c>
      <c r="F314" s="2" t="s">
        <v>15</v>
      </c>
      <c r="G314" s="2" t="s">
        <v>931</v>
      </c>
      <c r="H314" s="2" t="s">
        <v>68</v>
      </c>
      <c r="I314" s="2" t="str">
        <f>IFERROR(__xludf.DUMMYFUNCTION("GOOGLETRANSLATE(C314,""fr"",""en"")"),"Well done! I am lucky to have rita online. Very very pleasant and passive. Has recurred! I look forward to the answer to my question.
 ")</f>
        <v>Well done! I am lucky to have rita online. Very very pleasant and passive. Has recurred! I look forward to the answer to my question.
 </v>
      </c>
    </row>
    <row r="315" ht="15.75" customHeight="1">
      <c r="A315" s="2">
        <v>2.0</v>
      </c>
      <c r="B315" s="2" t="s">
        <v>1007</v>
      </c>
      <c r="C315" s="2" t="s">
        <v>1008</v>
      </c>
      <c r="D315" s="2" t="s">
        <v>143</v>
      </c>
      <c r="E315" s="2" t="s">
        <v>85</v>
      </c>
      <c r="F315" s="2" t="s">
        <v>15</v>
      </c>
      <c r="G315" s="2" t="s">
        <v>1009</v>
      </c>
      <c r="H315" s="2" t="s">
        <v>580</v>
      </c>
      <c r="I315" s="2" t="str">
        <f>IFERROR(__xludf.DUMMYFUNCTION("GOOGLETRANSLATE(C315,""fr"",""en"")"),"I have 4 MRH contracts at ACM.
After a DDE and the visit of an Eurexo expert, I therefore sent the quotes of the craftsmen 3 weeks ago.
Despite 3 reminders, still no news on the care agreement, and there, I have been waiting for 13 minutes 27 seconds to"&amp;" try to reach them.
I let you do your opinion on their responsiveness and the quality of ""customer service"".")</f>
        <v>I have 4 MRH contracts at ACM.
After a DDE and the visit of an Eurexo expert, I therefore sent the quotes of the craftsmen 3 weeks ago.
Despite 3 reminders, still no news on the care agreement, and there, I have been waiting for 13 minutes 27 seconds to try to reach them.
I let you do your opinion on their responsiveness and the quality of "customer service".</v>
      </c>
    </row>
    <row r="316" ht="15.75" customHeight="1">
      <c r="A316" s="2">
        <v>5.0</v>
      </c>
      <c r="B316" s="2" t="s">
        <v>1010</v>
      </c>
      <c r="C316" s="2" t="s">
        <v>1011</v>
      </c>
      <c r="D316" s="2" t="s">
        <v>97</v>
      </c>
      <c r="E316" s="2" t="s">
        <v>56</v>
      </c>
      <c r="F316" s="2" t="s">
        <v>15</v>
      </c>
      <c r="G316" s="2" t="s">
        <v>1012</v>
      </c>
      <c r="H316" s="2" t="s">
        <v>197</v>
      </c>
      <c r="I316" s="2" t="str">
        <f>IFERROR(__xludf.DUMMYFUNCTION("GOOGLETRANSLATE(C316,""fr"",""en"")"),"I believe that this company deserves the praises that come back to it, given the advantages of premium, supports provided to its insured, the maintenance of permanent contact with them and not only at the time of the collection of premiums, the extension "&amp;"that 'It offers other contracts, and the speed as well as the professionalism it grants to the responses relating to requests from the insured. Bravo to its managers !!!")</f>
        <v>I believe that this company deserves the praises that come back to it, given the advantages of premium, supports provided to its insured, the maintenance of permanent contact with them and not only at the time of the collection of premiums, the extension that 'It offers other contracts, and the speed as well as the professionalism it grants to the responses relating to requests from the insured. Bravo to its managers !!!</v>
      </c>
    </row>
    <row r="317" ht="15.75" customHeight="1">
      <c r="A317" s="2">
        <v>1.0</v>
      </c>
      <c r="B317" s="2" t="s">
        <v>1013</v>
      </c>
      <c r="C317" s="2" t="s">
        <v>1014</v>
      </c>
      <c r="D317" s="2" t="s">
        <v>116</v>
      </c>
      <c r="E317" s="2" t="s">
        <v>35</v>
      </c>
      <c r="F317" s="2" t="s">
        <v>15</v>
      </c>
      <c r="G317" s="2" t="s">
        <v>1015</v>
      </c>
      <c r="H317" s="2" t="s">
        <v>776</v>
      </c>
      <c r="I317" s="2" t="str">
        <f>IFERROR(__xludf.DUMMYFUNCTION("GOOGLETRANSLATE(C317,""fr"",""en"")"),"Very expensive mutual which likes to maintain the vagueness of the subject of the contribution increases")</f>
        <v>Very expensive mutual which likes to maintain the vagueness of the subject of the contribution increases</v>
      </c>
    </row>
    <row r="318" ht="15.75" customHeight="1">
      <c r="A318" s="2">
        <v>4.0</v>
      </c>
      <c r="B318" s="2" t="s">
        <v>1016</v>
      </c>
      <c r="C318" s="2" t="s">
        <v>1017</v>
      </c>
      <c r="D318" s="2" t="s">
        <v>43</v>
      </c>
      <c r="E318" s="2" t="s">
        <v>14</v>
      </c>
      <c r="F318" s="2" t="s">
        <v>15</v>
      </c>
      <c r="G318" s="2" t="s">
        <v>1018</v>
      </c>
      <c r="H318" s="2" t="s">
        <v>293</v>
      </c>
      <c r="I318" s="2" t="str">
        <f>IFERROR(__xludf.DUMMYFUNCTION("GOOGLETRANSLATE(C318,""fr"",""en"")"),"Very happy with the telephone service in order to subscribe to the insurance. I recommend without worries. Good explanation, person taking are time ......")</f>
        <v>Very happy with the telephone service in order to subscribe to the insurance. I recommend without worries. Good explanation, person taking are time ......</v>
      </c>
    </row>
    <row r="319" ht="15.75" customHeight="1">
      <c r="A319" s="2">
        <v>4.0</v>
      </c>
      <c r="B319" s="2" t="s">
        <v>1019</v>
      </c>
      <c r="C319" s="2" t="s">
        <v>1020</v>
      </c>
      <c r="D319" s="2" t="s">
        <v>13</v>
      </c>
      <c r="E319" s="2" t="s">
        <v>14</v>
      </c>
      <c r="F319" s="2" t="s">
        <v>15</v>
      </c>
      <c r="G319" s="2" t="s">
        <v>773</v>
      </c>
      <c r="H319" s="2" t="s">
        <v>68</v>
      </c>
      <c r="I319" s="2" t="str">
        <f>IFERROR(__xludf.DUMMYFUNCTION("GOOGLETRANSLATE(C319,""fr"",""en"")"),"Insurance company well placed on the market. I have always obtained answer to my questions. Having had 1 100% responsible hanging, they took care of everything. 1 replacement vehicle arrived at my home. Mine having left for the mechanic, the expert went w"&amp;"ithin 24 hours. Bonus 50 kept as is, because 1st accident in my life! Now, it remains to discover the additional cost of the annual insurance premium ... No excess I have been told! I am waiting to see...")</f>
        <v>Insurance company well placed on the market. I have always obtained answer to my questions. Having had 1 100% responsible hanging, they took care of everything. 1 replacement vehicle arrived at my home. Mine having left for the mechanic, the expert went within 24 hours. Bonus 50 kept as is, because 1st accident in my life! Now, it remains to discover the additional cost of the annual insurance premium ... No excess I have been told! I am waiting to see...</v>
      </c>
    </row>
    <row r="320" ht="15.75" customHeight="1">
      <c r="A320" s="2">
        <v>5.0</v>
      </c>
      <c r="B320" s="2" t="s">
        <v>1021</v>
      </c>
      <c r="C320" s="2" t="s">
        <v>1022</v>
      </c>
      <c r="D320" s="2" t="s">
        <v>352</v>
      </c>
      <c r="E320" s="2" t="s">
        <v>14</v>
      </c>
      <c r="F320" s="2" t="s">
        <v>15</v>
      </c>
      <c r="G320" s="2" t="s">
        <v>767</v>
      </c>
      <c r="H320" s="2" t="s">
        <v>272</v>
      </c>
      <c r="I320" s="2" t="str">
        <f>IFERROR(__xludf.DUMMYFUNCTION("GOOGLETRANSLATE(C320,""fr"",""en"")"),"I am very satisfied with this service and most of the other contracts I have at GMF as a whole, even at the quality / price level. thank you")</f>
        <v>I am very satisfied with this service and most of the other contracts I have at GMF as a whole, even at the quality / price level. thank you</v>
      </c>
    </row>
    <row r="321" ht="15.75" customHeight="1">
      <c r="A321" s="2">
        <v>1.0</v>
      </c>
      <c r="B321" s="2" t="s">
        <v>1023</v>
      </c>
      <c r="C321" s="2" t="s">
        <v>1024</v>
      </c>
      <c r="D321" s="2" t="s">
        <v>220</v>
      </c>
      <c r="E321" s="2" t="s">
        <v>35</v>
      </c>
      <c r="F321" s="2" t="s">
        <v>15</v>
      </c>
      <c r="G321" s="2" t="s">
        <v>1025</v>
      </c>
      <c r="H321" s="2" t="s">
        <v>31</v>
      </c>
      <c r="I321" s="2" t="str">
        <f>IFERROR(__xludf.DUMMYFUNCTION("GOOGLETRANSLATE(C321,""fr"",""en"")"),"Mutual below everything never responds to it, there is no phone in exciting even respect for members I am a month old still no reimbursement.
I stop at the end of the year")</f>
        <v>Mutual below everything never responds to it, there is no phone in exciting even respect for members I am a month old still no reimbursement.
I stop at the end of the year</v>
      </c>
    </row>
    <row r="322" ht="15.75" customHeight="1">
      <c r="A322" s="2">
        <v>1.0</v>
      </c>
      <c r="B322" s="2" t="s">
        <v>1026</v>
      </c>
      <c r="C322" s="2" t="s">
        <v>1027</v>
      </c>
      <c r="D322" s="2" t="s">
        <v>369</v>
      </c>
      <c r="E322" s="2" t="s">
        <v>35</v>
      </c>
      <c r="F322" s="2" t="s">
        <v>15</v>
      </c>
      <c r="G322" s="2" t="s">
        <v>1028</v>
      </c>
      <c r="H322" s="2" t="s">
        <v>1029</v>
      </c>
      <c r="I322" s="2" t="str">
        <f>IFERROR(__xludf.DUMMYFUNCTION("GOOGLETRANSLATE(C322,""fr"",""en"")"),"New subscriber my mutual insurance taking effect until first of January 2021 and already a first hiccup! The quote established on 09/12/2020 with the financial councilor was a monthly payment of € 274 per month, which was already € 50 to my current FMA mu"&amp;"tual, but has some superior guarantees. On 15/12, I receive the timetable whose future monthly payments amounted to € 334. I immediately make a complaint with the advisor who established it the contract and she declares to me that the premium was ""increa"&amp;"sed late"" because I had no mutual insurance company before. Which is false since it is the first she asked me. So, she makes a complaint with the group in order to delete this increase by joining a copy of the card of my old mutual. To date, I still have"&amp;" no response and it is likely that the monthly payments of 334 euros be taken from January 5. Today, 12/29, I contact the group at 0980 980 880, the advisor is unable to tell me what the complaint becomes and reassures me that a readjustment will be done "&amp;"in February. All the mutuals I asked for quotes, never asked me if I had a mutual insurance company before and did not impose me a so -called ""late"" increase of 60 euro. It is unacceptable. I hope they do not pass the withdrawal period in that the probl"&amp;"em will not be solved. Already confidence in this mutual and their practices has taken a serious blow from the start.")</f>
        <v>New subscriber my mutual insurance taking effect until first of January 2021 and already a first hiccup! The quote established on 09/12/2020 with the financial councilor was a monthly payment of € 274 per month, which was already € 50 to my current FMA mutual, but has some superior guarantees. On 15/12, I receive the timetable whose future monthly payments amounted to € 334. I immediately make a complaint with the advisor who established it the contract and she declares to me that the premium was "increased late" because I had no mutual insurance company before. Which is false since it is the first she asked me. So, she makes a complaint with the group in order to delete this increase by joining a copy of the card of my old mutual. To date, I still have no response and it is likely that the monthly payments of 334 euros be taken from January 5. Today, 12/29, I contact the group at 0980 980 880, the advisor is unable to tell me what the complaint becomes and reassures me that a readjustment will be done in February. All the mutuals I asked for quotes, never asked me if I had a mutual insurance company before and did not impose me a so -called "late" increase of 60 euro. It is unacceptable. I hope they do not pass the withdrawal period in that the problem will not be solved. Already confidence in this mutual and their practices has taken a serious blow from the start.</v>
      </c>
    </row>
    <row r="323" ht="15.75" customHeight="1">
      <c r="A323" s="2">
        <v>4.0</v>
      </c>
      <c r="B323" s="2" t="s">
        <v>1030</v>
      </c>
      <c r="C323" s="2" t="s">
        <v>1031</v>
      </c>
      <c r="D323" s="2" t="s">
        <v>13</v>
      </c>
      <c r="E323" s="2" t="s">
        <v>14</v>
      </c>
      <c r="F323" s="2" t="s">
        <v>15</v>
      </c>
      <c r="G323" s="2" t="s">
        <v>745</v>
      </c>
      <c r="H323" s="2" t="s">
        <v>166</v>
      </c>
      <c r="I323" s="2" t="str">
        <f>IFERROR(__xludf.DUMMYFUNCTION("GOOGLETRANSLATE(C323,""fr"",""en"")"),"The prices seem correct to me, we will see later if the services follow and if the price does not double next year with regard to the internet membership and the sending of documents is perfect")</f>
        <v>The prices seem correct to me, we will see later if the services follow and if the price does not double next year with regard to the internet membership and the sending of documents is perfect</v>
      </c>
    </row>
    <row r="324" ht="15.75" customHeight="1">
      <c r="A324" s="2">
        <v>1.0</v>
      </c>
      <c r="B324" s="2" t="s">
        <v>1032</v>
      </c>
      <c r="C324" s="2" t="s">
        <v>1033</v>
      </c>
      <c r="D324" s="2" t="s">
        <v>116</v>
      </c>
      <c r="E324" s="2" t="s">
        <v>35</v>
      </c>
      <c r="F324" s="2" t="s">
        <v>15</v>
      </c>
      <c r="G324" s="2" t="s">
        <v>1001</v>
      </c>
      <c r="H324" s="2" t="s">
        <v>272</v>
      </c>
      <c r="I324" s="2" t="str">
        <f>IFERROR(__xludf.DUMMYFUNCTION("GOOGLETRANSLATE(C324,""fr"",""en"")"),"A advice for your health and your wallet: flee !!! When you resound with them as if by chance you owe them money they have ""forgotten"" to claim, this has happened to many insured and it concerns large sums of 400 to 5000 €")</f>
        <v>A advice for your health and your wallet: flee !!! When you resound with them as if by chance you owe them money they have "forgotten" to claim, this has happened to many insured and it concerns large sums of 400 to 5000 €</v>
      </c>
    </row>
    <row r="325" ht="15.75" customHeight="1">
      <c r="A325" s="2">
        <v>2.0</v>
      </c>
      <c r="B325" s="2" t="s">
        <v>1034</v>
      </c>
      <c r="C325" s="2" t="s">
        <v>1035</v>
      </c>
      <c r="D325" s="2" t="s">
        <v>13</v>
      </c>
      <c r="E325" s="2" t="s">
        <v>14</v>
      </c>
      <c r="F325" s="2" t="s">
        <v>15</v>
      </c>
      <c r="G325" s="2" t="s">
        <v>779</v>
      </c>
      <c r="H325" s="2" t="s">
        <v>72</v>
      </c>
      <c r="I325" s="2" t="str">
        <f>IFERROR(__xludf.DUMMYFUNCTION("GOOGLETRANSLATE(C325,""fr"",""en"")"),"I find the procedure for the subscription of the contract too complicated. My wife is automatically put in the second driver when she does not drive my car. Besides there is a lower price if the vehicle is parked in my property?")</f>
        <v>I find the procedure for the subscription of the contract too complicated. My wife is automatically put in the second driver when she does not drive my car. Besides there is a lower price if the vehicle is parked in my property?</v>
      </c>
    </row>
    <row r="326" ht="15.75" customHeight="1">
      <c r="A326" s="2">
        <v>1.0</v>
      </c>
      <c r="B326" s="2" t="s">
        <v>1036</v>
      </c>
      <c r="C326" s="2" t="s">
        <v>1037</v>
      </c>
      <c r="D326" s="2" t="s">
        <v>13</v>
      </c>
      <c r="E326" s="2" t="s">
        <v>14</v>
      </c>
      <c r="F326" s="2" t="s">
        <v>15</v>
      </c>
      <c r="G326" s="2" t="s">
        <v>393</v>
      </c>
      <c r="H326" s="2" t="s">
        <v>31</v>
      </c>
      <c r="I326" s="2" t="str">
        <f>IFERROR(__xludf.DUMMYFUNCTION("GOOGLETRANSLATE(C326,""fr"",""en"")"),"Very disappointed by Direct Insurance, in two years, I had three different contracts, without being warned and each time with a price increase. It is the first insurer that gives me a bonus every year and bearing the deadlines does not decrease, but on th"&amp;"e contrary increased. In addition impossible to reach them, whether by internet, where by phone.")</f>
        <v>Very disappointed by Direct Insurance, in two years, I had three different contracts, without being warned and each time with a price increase. It is the first insurer that gives me a bonus every year and bearing the deadlines does not decrease, but on the contrary increased. In addition impossible to reach them, whether by internet, where by phone.</v>
      </c>
    </row>
    <row r="327" ht="15.75" customHeight="1">
      <c r="A327" s="2">
        <v>2.0</v>
      </c>
      <c r="B327" s="2" t="s">
        <v>1038</v>
      </c>
      <c r="C327" s="2" t="s">
        <v>1039</v>
      </c>
      <c r="D327" s="2" t="s">
        <v>19</v>
      </c>
      <c r="E327" s="2" t="s">
        <v>85</v>
      </c>
      <c r="F327" s="2" t="s">
        <v>15</v>
      </c>
      <c r="G327" s="2" t="s">
        <v>296</v>
      </c>
      <c r="H327" s="2" t="s">
        <v>72</v>
      </c>
      <c r="I327" s="2" t="str">
        <f>IFERROR(__xludf.DUMMYFUNCTION("GOOGLETRANSLATE(C327,""fr"",""en"")"),"I was extremely satisfied with Macif for 10 years, but for several months my satisfaction has decreased clearly.
I had a home problem which was not properly taken care of by Macif and for 2 months I have asked them to reimburse me an intervention covered"&amp;" by insurance, without response from them. And an employee of Valence is anything but kind !!
To my great regret, I will try to change all my insurance and mutual")</f>
        <v>I was extremely satisfied with Macif for 10 years, but for several months my satisfaction has decreased clearly.
I had a home problem which was not properly taken care of by Macif and for 2 months I have asked them to reimburse me an intervention covered by insurance, without response from them. And an employee of Valence is anything but kind !!
To my great regret, I will try to change all my insurance and mutual</v>
      </c>
    </row>
    <row r="328" ht="15.75" customHeight="1">
      <c r="A328" s="2">
        <v>4.0</v>
      </c>
      <c r="B328" s="2" t="s">
        <v>1040</v>
      </c>
      <c r="C328" s="2" t="s">
        <v>1041</v>
      </c>
      <c r="D328" s="2" t="s">
        <v>352</v>
      </c>
      <c r="E328" s="2" t="s">
        <v>14</v>
      </c>
      <c r="F328" s="2" t="s">
        <v>15</v>
      </c>
      <c r="G328" s="2" t="s">
        <v>428</v>
      </c>
      <c r="H328" s="2" t="s">
        <v>99</v>
      </c>
      <c r="I328" s="2" t="str">
        <f>IFERROR(__xludf.DUMMYFUNCTION("GOOGLETRANSLATE(C328,""fr"",""en"")"),"I am satisfied with the services.
A little expensive anyway.
But always well received.
I have been insured at home for a very long time.
Best regards,")</f>
        <v>I am satisfied with the services.
A little expensive anyway.
But always well received.
I have been insured at home for a very long time.
Best regards,</v>
      </c>
    </row>
    <row r="329" ht="15.75" customHeight="1">
      <c r="A329" s="2">
        <v>1.0</v>
      </c>
      <c r="B329" s="2" t="s">
        <v>1042</v>
      </c>
      <c r="C329" s="2" t="s">
        <v>1043</v>
      </c>
      <c r="D329" s="2" t="s">
        <v>179</v>
      </c>
      <c r="E329" s="2" t="s">
        <v>14</v>
      </c>
      <c r="F329" s="2" t="s">
        <v>15</v>
      </c>
      <c r="G329" s="2" t="s">
        <v>1044</v>
      </c>
      <c r="H329" s="2" t="s">
        <v>533</v>
      </c>
      <c r="I329" s="2" t="str">
        <f>IFERROR(__xludf.DUMMYFUNCTION("GOOGLETRANSLATE(C329,""fr"",""en"")"),"After more than 10 years of seniority, a maximum bonus for more than 3 years, I was fired like a road offender, for 3 broken ice on 3 consecutive years and on the 3 broken ice two do not have necessities of change just an injection of resin.
Given my f"&amp;"eeling of injustice, I terminated my second vehicle at home.
This is unacceptable! I recommend fleeing this type of insurance!")</f>
        <v>After more than 10 years of seniority, a maximum bonus for more than 3 years, I was fired like a road offender, for 3 broken ice on 3 consecutive years and on the 3 broken ice two do not have necessities of change just an injection of resin.
Given my feeling of injustice, I terminated my second vehicle at home.
This is unacceptable! I recommend fleeing this type of insurance!</v>
      </c>
    </row>
    <row r="330" ht="15.75" customHeight="1">
      <c r="A330" s="2">
        <v>4.0</v>
      </c>
      <c r="B330" s="2" t="s">
        <v>1045</v>
      </c>
      <c r="C330" s="2" t="s">
        <v>1046</v>
      </c>
      <c r="D330" s="2" t="s">
        <v>13</v>
      </c>
      <c r="E330" s="2" t="s">
        <v>14</v>
      </c>
      <c r="F330" s="2" t="s">
        <v>15</v>
      </c>
      <c r="G330" s="2" t="s">
        <v>594</v>
      </c>
      <c r="H330" s="2" t="s">
        <v>52</v>
      </c>
      <c r="I330" s="2" t="str">
        <f>IFERROR(__xludf.DUMMYFUNCTION("GOOGLETRANSLATE(C330,""fr"",""en"")"),"I am satisfied with the service
Very happy Lanaki Belaid
By contribution to other company I recommend direct insurance to friends and my family
Cordially")</f>
        <v>I am satisfied with the service
Very happy Lanaki Belaid
By contribution to other company I recommend direct insurance to friends and my family
Cordially</v>
      </c>
    </row>
    <row r="331" ht="15.75" customHeight="1">
      <c r="A331" s="2">
        <v>1.0</v>
      </c>
      <c r="B331" s="2" t="s">
        <v>1047</v>
      </c>
      <c r="C331" s="2" t="s">
        <v>1048</v>
      </c>
      <c r="D331" s="2" t="s">
        <v>121</v>
      </c>
      <c r="E331" s="2" t="s">
        <v>85</v>
      </c>
      <c r="F331" s="2" t="s">
        <v>15</v>
      </c>
      <c r="G331" s="2" t="s">
        <v>1049</v>
      </c>
      <c r="H331" s="2" t="s">
        <v>1050</v>
      </c>
      <c r="I331" s="2" t="str">
        <f>IFERROR(__xludf.DUMMYFUNCTION("GOOGLETRANSLATE(C331,""fr"",""en"")"),"I want to announce a disaster: the employee on the phone does not let me place a word, he constantly interrupted me to disante me ""this disaster is not covered""")</f>
        <v>I want to announce a disaster: the employee on the phone does not let me place a word, he constantly interrupted me to disante me "this disaster is not covered"</v>
      </c>
    </row>
    <row r="332" ht="15.75" customHeight="1">
      <c r="A332" s="2">
        <v>4.0</v>
      </c>
      <c r="B332" s="2" t="s">
        <v>1051</v>
      </c>
      <c r="C332" s="2" t="s">
        <v>1052</v>
      </c>
      <c r="D332" s="2" t="s">
        <v>352</v>
      </c>
      <c r="E332" s="2" t="s">
        <v>14</v>
      </c>
      <c r="F332" s="2" t="s">
        <v>15</v>
      </c>
      <c r="G332" s="2" t="s">
        <v>242</v>
      </c>
      <c r="H332" s="2" t="s">
        <v>99</v>
      </c>
      <c r="I332" s="2" t="str">
        <f>IFERROR(__xludf.DUMMYFUNCTION("GOOGLETRANSLATE(C332,""fr"",""en"")"),"I am satisfied, I have all my insurance at home
Nothing to say, fast and available
The prices are good, the website is intuitive,
I highly recommend.
")</f>
        <v>I am satisfied, I have all my insurance at home
Nothing to say, fast and available
The prices are good, the website is intuitive,
I highly recommend.
</v>
      </c>
    </row>
    <row r="333" ht="15.75" customHeight="1">
      <c r="A333" s="2">
        <v>5.0</v>
      </c>
      <c r="B333" s="2" t="s">
        <v>1053</v>
      </c>
      <c r="C333" s="2" t="s">
        <v>1054</v>
      </c>
      <c r="D333" s="2" t="s">
        <v>43</v>
      </c>
      <c r="E333" s="2" t="s">
        <v>14</v>
      </c>
      <c r="F333" s="2" t="s">
        <v>15</v>
      </c>
      <c r="G333" s="2" t="s">
        <v>1055</v>
      </c>
      <c r="H333" s="2" t="s">
        <v>166</v>
      </c>
      <c r="I333" s="2" t="str">
        <f>IFERROR(__xludf.DUMMYFUNCTION("GOOGLETRANSLATE(C333,""fr"",""en"")"),"I very satisfied with the advisor and the explanations received. I highly recommend this insurance. Go there with your eyes closed! Very attractive price compared to competition!")</f>
        <v>I very satisfied with the advisor and the explanations received. I highly recommend this insurance. Go there with your eyes closed! Very attractive price compared to competition!</v>
      </c>
    </row>
    <row r="334" ht="15.75" customHeight="1">
      <c r="A334" s="2">
        <v>5.0</v>
      </c>
      <c r="B334" s="2" t="s">
        <v>1056</v>
      </c>
      <c r="C334" s="2" t="s">
        <v>1057</v>
      </c>
      <c r="D334" s="2" t="s">
        <v>43</v>
      </c>
      <c r="E334" s="2" t="s">
        <v>14</v>
      </c>
      <c r="F334" s="2" t="s">
        <v>15</v>
      </c>
      <c r="G334" s="2" t="s">
        <v>675</v>
      </c>
      <c r="H334" s="2" t="s">
        <v>68</v>
      </c>
      <c r="I334" s="2" t="str">
        <f>IFERROR(__xludf.DUMMYFUNCTION("GOOGLETRANSLATE(C334,""fr"",""en"")"),"I am satisfied with the prices and the quality of services and I would recommend around me the olive assurance
Price that is really very affordable")</f>
        <v>I am satisfied with the prices and the quality of services and I would recommend around me the olive assurance
Price that is really very affordable</v>
      </c>
    </row>
    <row r="335" ht="15.75" customHeight="1">
      <c r="A335" s="2">
        <v>1.0</v>
      </c>
      <c r="B335" s="2" t="s">
        <v>1058</v>
      </c>
      <c r="C335" s="2" t="s">
        <v>1059</v>
      </c>
      <c r="D335" s="2" t="s">
        <v>1060</v>
      </c>
      <c r="E335" s="2" t="s">
        <v>144</v>
      </c>
      <c r="F335" s="2" t="s">
        <v>15</v>
      </c>
      <c r="G335" s="2" t="s">
        <v>1061</v>
      </c>
      <c r="H335" s="2" t="s">
        <v>197</v>
      </c>
      <c r="I335" s="2" t="str">
        <f>IFERROR(__xludf.DUMMYFUNCTION("GOOGLETRANSLATE(C335,""fr"",""en"")"),"Catastrophic! Annual contributions increases of around 60 to 80%, contribution at 50 € for a dog goes to € 80 the following year) that you have to spend 1 hour or more to renegotiate with customer service which sends you to the Quality service which can b"&amp;"e reached after 20/30 min!")</f>
        <v>Catastrophic! Annual contributions increases of around 60 to 80%, contribution at 50 € for a dog goes to € 80 the following year) that you have to spend 1 hour or more to renegotiate with customer service which sends you to the Quality service which can be reached after 20/30 min!</v>
      </c>
    </row>
    <row r="336" ht="15.75" customHeight="1">
      <c r="A336" s="2">
        <v>2.0</v>
      </c>
      <c r="B336" s="2" t="s">
        <v>1062</v>
      </c>
      <c r="C336" s="2" t="s">
        <v>1063</v>
      </c>
      <c r="D336" s="2" t="s">
        <v>195</v>
      </c>
      <c r="E336" s="2" t="s">
        <v>25</v>
      </c>
      <c r="F336" s="2" t="s">
        <v>15</v>
      </c>
      <c r="G336" s="2" t="s">
        <v>927</v>
      </c>
      <c r="H336" s="2" t="s">
        <v>533</v>
      </c>
      <c r="I336" s="2" t="str">
        <f>IFERROR(__xludf.DUMMYFUNCTION("GOOGLETRANSLATE(C336,""fr"",""en"")"),"Living abroad, I live in hell to take over. Their procedures are incredibly slow and complex, and their service very badly internationalized.")</f>
        <v>Living abroad, I live in hell to take over. Their procedures are incredibly slow and complex, and their service very badly internationalized.</v>
      </c>
    </row>
    <row r="337" ht="15.75" customHeight="1">
      <c r="A337" s="2">
        <v>2.0</v>
      </c>
      <c r="B337" s="2" t="s">
        <v>1064</v>
      </c>
      <c r="C337" s="2" t="s">
        <v>1065</v>
      </c>
      <c r="D337" s="2" t="s">
        <v>207</v>
      </c>
      <c r="E337" s="2" t="s">
        <v>35</v>
      </c>
      <c r="F337" s="2" t="s">
        <v>15</v>
      </c>
      <c r="G337" s="2" t="s">
        <v>1066</v>
      </c>
      <c r="H337" s="2" t="s">
        <v>192</v>
      </c>
      <c r="I337" s="2" t="str">
        <f>IFERROR(__xludf.DUMMYFUNCTION("GOOGLETRANSLATE(C337,""fr"",""en"")"),"I asked for a quote for dental treatment for my son on March 28. We are May 20 and I still have no response. Despite several reminders by phone. The waiting time on the phone can go up to 30 minutes, to get no help. To shorten the waiting time on the phon"&amp;"e La Mutuelle highlights its friendly site. I do not very well understand how a mutual site underlines its conviviality, but in short, let's go. Besides, impossible to access my space insured on the site. The technical service was not able to solve this p"&amp;"roblem, despite several reminders on this subject as well.
By asking to speak to a manager, I was guided directly to the satisfaction survey, so I had simply hung up on the nose. Mutual experience just deceased for the moment.")</f>
        <v>I asked for a quote for dental treatment for my son on March 28. We are May 20 and I still have no response. Despite several reminders by phone. The waiting time on the phone can go up to 30 minutes, to get no help. To shorten the waiting time on the phone La Mutuelle highlights its friendly site. I do not very well understand how a mutual site underlines its conviviality, but in short, let's go. Besides, impossible to access my space insured on the site. The technical service was not able to solve this problem, despite several reminders on this subject as well.
By asking to speak to a manager, I was guided directly to the satisfaction survey, so I had simply hung up on the nose. Mutual experience just deceased for the moment.</v>
      </c>
    </row>
    <row r="338" ht="15.75" customHeight="1">
      <c r="A338" s="2">
        <v>5.0</v>
      </c>
      <c r="B338" s="2" t="s">
        <v>1067</v>
      </c>
      <c r="C338" s="2" t="s">
        <v>1068</v>
      </c>
      <c r="D338" s="2" t="s">
        <v>352</v>
      </c>
      <c r="E338" s="2" t="s">
        <v>14</v>
      </c>
      <c r="F338" s="2" t="s">
        <v>15</v>
      </c>
      <c r="G338" s="2" t="s">
        <v>126</v>
      </c>
      <c r="H338" s="2" t="s">
        <v>72</v>
      </c>
      <c r="I338" s="2" t="str">
        <f>IFERROR(__xludf.DUMMYFUNCTION("GOOGLETRANSLATE(C338,""fr"",""en"")"),"I am completely satisfied with GMF, for the car and the home. I recommend it. Very correct and very good customer relationship price. Really top.")</f>
        <v>I am completely satisfied with GMF, for the car and the home. I recommend it. Very correct and very good customer relationship price. Really top.</v>
      </c>
    </row>
    <row r="339" ht="15.75" customHeight="1">
      <c r="A339" s="2">
        <v>2.0</v>
      </c>
      <c r="B339" s="2" t="s">
        <v>1069</v>
      </c>
      <c r="C339" s="2" t="s">
        <v>1070</v>
      </c>
      <c r="D339" s="2" t="s">
        <v>179</v>
      </c>
      <c r="E339" s="2" t="s">
        <v>14</v>
      </c>
      <c r="F339" s="2" t="s">
        <v>15</v>
      </c>
      <c r="G339" s="2" t="s">
        <v>1071</v>
      </c>
      <c r="H339" s="2" t="s">
        <v>146</v>
      </c>
      <c r="I339" s="2" t="str">
        <f>IFERROR(__xludf.DUMMYFUNCTION("GOOGLETRANSLATE(C339,""fr"",""en"")"),"I have never had sinister, and yet I leave a negative comment.
I ask to have my spouse as a secondary driver, I am told OK and when I receive the documents he does not appear.
Whenever I ask this insurance for the slightest thing, they are unable to do "&amp;"things correctly.
Client with them since 2017, it will be my last year with them. I prefer to pay 50 € more expensive elsewhere and no longer have bored.")</f>
        <v>I have never had sinister, and yet I leave a negative comment.
I ask to have my spouse as a secondary driver, I am told OK and when I receive the documents he does not appear.
Whenever I ask this insurance for the slightest thing, they are unable to do things correctly.
Client with them since 2017, it will be my last year with them. I prefer to pay 50 € more expensive elsewhere and no longer have bored.</v>
      </c>
    </row>
    <row r="340" ht="15.75" customHeight="1">
      <c r="A340" s="2">
        <v>3.0</v>
      </c>
      <c r="B340" s="2" t="s">
        <v>1072</v>
      </c>
      <c r="C340" s="2" t="s">
        <v>1073</v>
      </c>
      <c r="D340" s="2" t="s">
        <v>55</v>
      </c>
      <c r="E340" s="2" t="s">
        <v>56</v>
      </c>
      <c r="F340" s="2" t="s">
        <v>15</v>
      </c>
      <c r="G340" s="2" t="s">
        <v>1074</v>
      </c>
      <c r="H340" s="2" t="s">
        <v>197</v>
      </c>
      <c r="I340" s="2" t="str">
        <f>IFERROR(__xludf.DUMMYFUNCTION("GOOGLETRANSLATE(C340,""fr"",""en"")"),"After a disaster, despite my reminders, adding testimonies of passers -by, no news of the people in charge of my file.
Immobilized vehicle for more than a month.
No empathy. No feedback.
Lamentable.
Insurance that I strongly recommend.
I will change "&amp;"as soon as possible
")</f>
        <v>After a disaster, despite my reminders, adding testimonies of passers -by, no news of the people in charge of my file.
Immobilized vehicle for more than a month.
No empathy. No feedback.
Lamentable.
Insurance that I strongly recommend.
I will change as soon as possible
</v>
      </c>
    </row>
    <row r="341" ht="15.75" customHeight="1">
      <c r="A341" s="2">
        <v>1.0</v>
      </c>
      <c r="B341" s="2" t="s">
        <v>1075</v>
      </c>
      <c r="C341" s="2" t="s">
        <v>1076</v>
      </c>
      <c r="D341" s="2" t="s">
        <v>19</v>
      </c>
      <c r="E341" s="2" t="s">
        <v>25</v>
      </c>
      <c r="F341" s="2" t="s">
        <v>15</v>
      </c>
      <c r="G341" s="2" t="s">
        <v>1077</v>
      </c>
      <c r="H341" s="2" t="s">
        <v>82</v>
      </c>
      <c r="I341" s="2" t="str">
        <f>IFERROR(__xludf.DUMMYFUNCTION("GOOGLETRANSLATE(C341,""fr"",""en"")"),"Since this year Mutavie has been removing less well the euro background of his very first contracts when the costs were identical to see higher Mutavie knows that his first subscribers are often over 70 years old and can no longer change his contract whic"&amp;"h would make them lose all Their advantages of taxation during the transmission of their Mutavie flight heritage its former members and will steal them until the end of their day to better remunerate the new members and make its products more attractive M"&amp;"utavie betrayed its former members by inspiring them confidence with Beautiful words tel that Solidaire Solidaire and always values ​​highlighted until last year do not trust Mutavie Insurance-Vie de la Macif who in a few years will invent a new contract "&amp;"to pay less that which now exists")</f>
        <v>Since this year Mutavie has been removing less well the euro background of his very first contracts when the costs were identical to see higher Mutavie knows that his first subscribers are often over 70 years old and can no longer change his contract which would make them lose all Their advantages of taxation during the transmission of their Mutavie flight heritage its former members and will steal them until the end of their day to better remunerate the new members and make its products more attractive Mutavie betrayed its former members by inspiring them confidence with Beautiful words tel that Solidaire Solidaire and always values ​​highlighted until last year do not trust Mutavie Insurance-Vie de la Macif who in a few years will invent a new contract to pay less that which now exists</v>
      </c>
    </row>
    <row r="342" ht="15.75" customHeight="1">
      <c r="A342" s="2">
        <v>1.0</v>
      </c>
      <c r="B342" s="2" t="s">
        <v>1078</v>
      </c>
      <c r="C342" s="2" t="s">
        <v>1079</v>
      </c>
      <c r="D342" s="2" t="s">
        <v>224</v>
      </c>
      <c r="E342" s="2" t="s">
        <v>35</v>
      </c>
      <c r="F342" s="2" t="s">
        <v>15</v>
      </c>
      <c r="G342" s="2" t="s">
        <v>1080</v>
      </c>
      <c r="H342" s="2" t="s">
        <v>283</v>
      </c>
      <c r="I342" s="2" t="str">
        <f>IFERROR(__xludf.DUMMYFUNCTION("GOOGLETRANSLATE(C342,""fr"",""en"")"),"Unscrupulous broker accomplices, hopper, presenting himself as social security services to update the files-one advice, withdraw immediately after electronic signature to customer service, and set up actions of all to the prosecutor of the prosecutor of t"&amp;"he prosecutor Republic of the constituency of your residence.")</f>
        <v>Unscrupulous broker accomplices, hopper, presenting himself as social security services to update the files-one advice, withdraw immediately after electronic signature to customer service, and set up actions of all to the prosecutor of the prosecutor of the prosecutor Republic of the constituency of your residence.</v>
      </c>
    </row>
    <row r="343" ht="15.75" customHeight="1">
      <c r="A343" s="2">
        <v>1.0</v>
      </c>
      <c r="B343" s="2" t="s">
        <v>1081</v>
      </c>
      <c r="C343" s="2" t="s">
        <v>1082</v>
      </c>
      <c r="D343" s="2" t="s">
        <v>224</v>
      </c>
      <c r="E343" s="2" t="s">
        <v>35</v>
      </c>
      <c r="F343" s="2" t="s">
        <v>15</v>
      </c>
      <c r="G343" s="2" t="s">
        <v>1083</v>
      </c>
      <c r="H343" s="2" t="s">
        <v>201</v>
      </c>
      <c r="I343" s="2" t="str">
        <f>IFERROR(__xludf.DUMMYFUNCTION("GOOGLETRANSLATE(C343,""fr"",""en"")"),"Hello,
I was approached this day by a broker making me the article in the Mutual Neolia.
The young lady asks me for some information to be able to send me my contract. She wants to know my date of birth as well as my laptop number to be able to send me "&amp;"the documentation. Memory, I ask her why she needs to know all of this when she apparently has my address. So I ask him what it is used for. She takes me out the article ""I understand that you are wary with all the telephone demarchages that we receive t"&amp;"oday but do not worry it's just to be able to send the documentation."" Finally I give her this 2 information and there she asks me for my family situation and my Iban number. Why ?? I thought she only needed 2 information and there we are at my banking n"&amp;"umber ??! She tries again to reassure me again by telling me that it is normal, it is not a scam, she explains to me that on my EDF, telephone, etc. invoices, etc. There is my IBAN number, right? Yes, indeed but because it was I who gave them after having"&amp;" signed a contract, not before! In short, she kills me, she gives me her names and surnames (there I have a serious doubt but good ..., her number, etc.). In short, I give him. She tells me that I will receive an SMS. Indeed, but it is not a doc! She asks"&amp;" me to read what is written. I read it halfway and I did well since in this SMS there is a code to make an electronic signature !!! Fortunately, I didn't give him full! After Moult Palabre I finally managed to get rid of it and in view of the comments I j"&amp;"ust read here I did!
You are forced to take out insurance without having a contract under the eyes apart from a few well -chosen explanations. We always have the choice to terminate then but we are forced to hand! Especially when she tells me that I will"&amp;" receive the mail within the postal deadlines (14 days later as I read here it is the postal deadlines ??!).
In short, super angry with this abusive canvassing.
Neoliane I don't greet you!")</f>
        <v>Hello,
I was approached this day by a broker making me the article in the Mutual Neolia.
The young lady asks me for some information to be able to send me my contract. She wants to know my date of birth as well as my laptop number to be able to send me the documentation. Memory, I ask her why she needs to know all of this when she apparently has my address. So I ask him what it is used for. She takes me out the article "I understand that you are wary with all the telephone demarchages that we receive today but do not worry it's just to be able to send the documentation." Finally I give her this 2 information and there she asks me for my family situation and my Iban number. Why ?? I thought she only needed 2 information and there we are at my banking number ??! She tries again to reassure me again by telling me that it is normal, it is not a scam, she explains to me that on my EDF, telephone, etc. invoices, etc. There is my IBAN number, right? Yes, indeed but because it was I who gave them after having signed a contract, not before! In short, she kills me, she gives me her names and surnames (there I have a serious doubt but good ..., her number, etc.). In short, I give him. She tells me that I will receive an SMS. Indeed, but it is not a doc! She asks me to read what is written. I read it halfway and I did well since in this SMS there is a code to make an electronic signature !!! Fortunately, I didn't give him full! After Moult Palabre I finally managed to get rid of it and in view of the comments I just read here I did!
You are forced to take out insurance without having a contract under the eyes apart from a few well -chosen explanations. We always have the choice to terminate then but we are forced to hand! Especially when she tells me that I will receive the mail within the postal deadlines (14 days later as I read here it is the postal deadlines ??!).
In short, super angry with this abusive canvassing.
Neoliane I don't greet you!</v>
      </c>
    </row>
    <row r="344" ht="15.75" customHeight="1">
      <c r="A344" s="2">
        <v>1.0</v>
      </c>
      <c r="B344" s="2" t="s">
        <v>1084</v>
      </c>
      <c r="C344" s="2" t="s">
        <v>1085</v>
      </c>
      <c r="D344" s="2" t="s">
        <v>338</v>
      </c>
      <c r="E344" s="2" t="s">
        <v>144</v>
      </c>
      <c r="F344" s="2" t="s">
        <v>15</v>
      </c>
      <c r="G344" s="2" t="s">
        <v>1086</v>
      </c>
      <c r="H344" s="2" t="s">
        <v>68</v>
      </c>
      <c r="I344" s="2" t="str">
        <f>IFERROR(__xludf.DUMMYFUNCTION("GOOGLETRANSLATE(C344,""fr"",""en"")"),"Exorbitant price compared to the reimbursement penalized by an equally exorbitant deductible
By saving the monthly amount of insurance, you count a substantial capital in the event of a hard blow for your GADOGAAN pet")</f>
        <v>Exorbitant price compared to the reimbursement penalized by an equally exorbitant deductible
By saving the monthly amount of insurance, you count a substantial capital in the event of a hard blow for your GADOGAAN pet</v>
      </c>
    </row>
    <row r="345" ht="15.75" customHeight="1">
      <c r="A345" s="2">
        <v>1.0</v>
      </c>
      <c r="B345" s="2" t="s">
        <v>1087</v>
      </c>
      <c r="C345" s="2" t="s">
        <v>1088</v>
      </c>
      <c r="D345" s="2" t="s">
        <v>369</v>
      </c>
      <c r="E345" s="2" t="s">
        <v>35</v>
      </c>
      <c r="F345" s="2" t="s">
        <v>15</v>
      </c>
      <c r="G345" s="2" t="s">
        <v>1089</v>
      </c>
      <c r="H345" s="2" t="s">
        <v>438</v>
      </c>
      <c r="I345" s="2" t="str">
        <f>IFERROR(__xludf.DUMMYFUNCTION("GOOGLETRANSLATE(C345,""fr"",""en"")"),"Harmony Public Service: very very average. Claims nearly 1000 EUR on 2018 that the paying organization would not have taken on 2018. A steeped recovery letter, without explanation, on the eve of the holidays.
Not serious")</f>
        <v>Harmony Public Service: very very average. Claims nearly 1000 EUR on 2018 that the paying organization would not have taken on 2018. A steeped recovery letter, without explanation, on the eve of the holidays.
Not serious</v>
      </c>
    </row>
    <row r="346" ht="15.75" customHeight="1">
      <c r="A346" s="2">
        <v>1.0</v>
      </c>
      <c r="B346" s="2" t="s">
        <v>1090</v>
      </c>
      <c r="C346" s="2" t="s">
        <v>1091</v>
      </c>
      <c r="D346" s="2" t="s">
        <v>220</v>
      </c>
      <c r="E346" s="2" t="s">
        <v>35</v>
      </c>
      <c r="F346" s="2" t="s">
        <v>15</v>
      </c>
      <c r="G346" s="2" t="s">
        <v>779</v>
      </c>
      <c r="H346" s="2" t="s">
        <v>197</v>
      </c>
      <c r="I346" s="2" t="str">
        <f>IFERROR(__xludf.DUMMYFUNCTION("GOOGLETRANSLATE(C346,""fr"",""en"")"),"Pfff what to say .... nothing positive ...
Huge deadlines in reimbursements, it is impossible to have customer service by phone (18 tests and I abandoned), no return to the emails sent ... and the reimbursement level compared to the price: to flee .... I"&amp;" AI Close my contract since the end of June and I still expect reimbursements linked to the subscription period. We are in September ... everything is said.")</f>
        <v>Pfff what to say .... nothing positive ...
Huge deadlines in reimbursements, it is impossible to have customer service by phone (18 tests and I abandoned), no return to the emails sent ... and the reimbursement level compared to the price: to flee .... I AI Close my contract since the end of June and I still expect reimbursements linked to the subscription period. We are in September ... everything is said.</v>
      </c>
    </row>
    <row r="347" ht="15.75" customHeight="1">
      <c r="A347" s="2">
        <v>4.0</v>
      </c>
      <c r="B347" s="2" t="s">
        <v>1092</v>
      </c>
      <c r="C347" s="2" t="s">
        <v>1093</v>
      </c>
      <c r="D347" s="2" t="s">
        <v>43</v>
      </c>
      <c r="E347" s="2" t="s">
        <v>14</v>
      </c>
      <c r="F347" s="2" t="s">
        <v>15</v>
      </c>
      <c r="G347" s="2" t="s">
        <v>374</v>
      </c>
      <c r="H347" s="2" t="s">
        <v>68</v>
      </c>
      <c r="I347" s="2" t="str">
        <f>IFERROR(__xludf.DUMMYFUNCTION("GOOGLETRANSLATE(C347,""fr"",""en"")"),"Very efficient and fast I am happy with my contracts at Olivier Insurance and des. Advantages that it allows me to save every month and over the year")</f>
        <v>Very efficient and fast I am happy with my contracts at Olivier Insurance and des. Advantages that it allows me to save every month and over the year</v>
      </c>
    </row>
    <row r="348" ht="15.75" customHeight="1">
      <c r="A348" s="2">
        <v>5.0</v>
      </c>
      <c r="B348" s="2" t="s">
        <v>1094</v>
      </c>
      <c r="C348" s="2" t="s">
        <v>1095</v>
      </c>
      <c r="D348" s="2" t="s">
        <v>13</v>
      </c>
      <c r="E348" s="2" t="s">
        <v>14</v>
      </c>
      <c r="F348" s="2" t="s">
        <v>15</v>
      </c>
      <c r="G348" s="2" t="s">
        <v>887</v>
      </c>
      <c r="H348" s="2" t="s">
        <v>99</v>
      </c>
      <c r="I348" s="2" t="str">
        <f>IFERROR(__xludf.DUMMYFUNCTION("GOOGLETRANSLATE(C348,""fr"",""en"")"),"Prices suit me
Very fast and very clear insurance for everything
Filling the perfect folder.
Hoping to receive the green card very quickly")</f>
        <v>Prices suit me
Very fast and very clear insurance for everything
Filling the perfect folder.
Hoping to receive the green card very quickly</v>
      </c>
    </row>
    <row r="349" ht="15.75" customHeight="1">
      <c r="A349" s="2">
        <v>5.0</v>
      </c>
      <c r="B349" s="2" t="s">
        <v>1096</v>
      </c>
      <c r="C349" s="2" t="s">
        <v>1097</v>
      </c>
      <c r="D349" s="2" t="s">
        <v>13</v>
      </c>
      <c r="E349" s="2" t="s">
        <v>14</v>
      </c>
      <c r="F349" s="2" t="s">
        <v>15</v>
      </c>
      <c r="G349" s="2" t="s">
        <v>802</v>
      </c>
      <c r="H349" s="2" t="s">
        <v>272</v>
      </c>
      <c r="I349" s="2" t="str">
        <f>IFERROR(__xludf.DUMMYFUNCTION("GOOGLETRANSLATE(C349,""fr"",""en"")"),"Simple, cheap and practical.
Thank you Direct Assurance.
Hopefully that in the event of a problem you will be effective too ...
Let's go for a year then we'll see")</f>
        <v>Simple, cheap and practical.
Thank you Direct Assurance.
Hopefully that in the event of a problem you will be effective too ...
Let's go for a year then we'll see</v>
      </c>
    </row>
    <row r="350" ht="15.75" customHeight="1">
      <c r="A350" s="2">
        <v>1.0</v>
      </c>
      <c r="B350" s="2" t="s">
        <v>1098</v>
      </c>
      <c r="C350" s="2" t="s">
        <v>1099</v>
      </c>
      <c r="D350" s="2" t="s">
        <v>207</v>
      </c>
      <c r="E350" s="2" t="s">
        <v>35</v>
      </c>
      <c r="F350" s="2" t="s">
        <v>15</v>
      </c>
      <c r="G350" s="2" t="s">
        <v>606</v>
      </c>
      <c r="H350" s="2" t="s">
        <v>272</v>
      </c>
      <c r="I350" s="2" t="str">
        <f>IFERROR(__xludf.DUMMYFUNCTION("GOOGLETRANSLATE(C350,""fr"",""en"")"),"I have never seen a mutual as much incompetent as it is. After the death of my child born without life impossible to be reimbursed for the funeral costs however included in my mutual that I pay all me. Until today I am fighting to be reimbursed. In additi"&amp;"on, a very long wait to be able to have someone at the end if it does not hang on to you. Have sent me to the meadows of my HR at the level of the company to be able to be reimbursed. A real disaster.")</f>
        <v>I have never seen a mutual as much incompetent as it is. After the death of my child born without life impossible to be reimbursed for the funeral costs however included in my mutual that I pay all me. Until today I am fighting to be reimbursed. In addition, a very long wait to be able to have someone at the end if it does not hang on to you. Have sent me to the meadows of my HR at the level of the company to be able to be reimbursed. A real disaster.</v>
      </c>
    </row>
    <row r="351" ht="15.75" customHeight="1">
      <c r="A351" s="2">
        <v>5.0</v>
      </c>
      <c r="B351" s="2" t="s">
        <v>1100</v>
      </c>
      <c r="C351" s="2" t="s">
        <v>1101</v>
      </c>
      <c r="D351" s="2" t="s">
        <v>448</v>
      </c>
      <c r="E351" s="2" t="s">
        <v>112</v>
      </c>
      <c r="F351" s="2" t="s">
        <v>15</v>
      </c>
      <c r="G351" s="2" t="s">
        <v>1102</v>
      </c>
      <c r="H351" s="2" t="s">
        <v>52</v>
      </c>
      <c r="I351" s="2" t="str">
        <f>IFERROR(__xludf.DUMMYFUNCTION("GOOGLETRANSLATE(C351,""fr"",""en"")"),"Super accompaniment to the telecuser! With easy -to -take steps! I will recommend this service to other people around me.")</f>
        <v>Super accompaniment to the telecuser! With easy -to -take steps! I will recommend this service to other people around me.</v>
      </c>
    </row>
    <row r="352" ht="15.75" customHeight="1">
      <c r="A352" s="2">
        <v>1.0</v>
      </c>
      <c r="B352" s="2" t="s">
        <v>1103</v>
      </c>
      <c r="C352" s="2" t="s">
        <v>1104</v>
      </c>
      <c r="D352" s="2" t="s">
        <v>308</v>
      </c>
      <c r="E352" s="2" t="s">
        <v>14</v>
      </c>
      <c r="F352" s="2" t="s">
        <v>15</v>
      </c>
      <c r="G352" s="2" t="s">
        <v>1105</v>
      </c>
      <c r="H352" s="2" t="s">
        <v>442</v>
      </c>
      <c r="I352" s="2" t="str">
        <f>IFERROR(__xludf.DUMMYFUNCTION("GOOGLETRANSLATE(C352,""fr"",""en"")"),"Eallianz car insurance has subscribed for 2 months and I have still not received my green card despite the very many telephone reminders and email.
I am told that she will go by mail the same day I call and I am waiting for several days without seeing an"&amp;"ything arrive in my mailbox. I call again, same scenario. I am at the end of my nerves, customer service is of an incompetence without name.")</f>
        <v>Eallianz car insurance has subscribed for 2 months and I have still not received my green card despite the very many telephone reminders and email.
I am told that she will go by mail the same day I call and I am waiting for several days without seeing anything arrive in my mailbox. I call again, same scenario. I am at the end of my nerves, customer service is of an incompetence without name.</v>
      </c>
    </row>
    <row r="353" ht="15.75" customHeight="1">
      <c r="A353" s="2">
        <v>1.0</v>
      </c>
      <c r="B353" s="2" t="s">
        <v>1106</v>
      </c>
      <c r="C353" s="2" t="s">
        <v>1107</v>
      </c>
      <c r="D353" s="2" t="s">
        <v>13</v>
      </c>
      <c r="E353" s="2" t="s">
        <v>14</v>
      </c>
      <c r="F353" s="2" t="s">
        <v>15</v>
      </c>
      <c r="G353" s="2" t="s">
        <v>1108</v>
      </c>
      <c r="H353" s="2" t="s">
        <v>192</v>
      </c>
      <c r="I353" s="2" t="str">
        <f>IFERROR(__xludf.DUMMYFUNCTION("GOOGLETRANSLATE(C353,""fr"",""en"")"),"Lower the prices! Insurance has become too expensive today and a prices reconsideration in small homes of less than 70 m2 would be welcome.")</f>
        <v>Lower the prices! Insurance has become too expensive today and a prices reconsideration in small homes of less than 70 m2 would be welcome.</v>
      </c>
    </row>
    <row r="354" ht="15.75" customHeight="1">
      <c r="A354" s="2">
        <v>3.0</v>
      </c>
      <c r="B354" s="2" t="s">
        <v>1109</v>
      </c>
      <c r="C354" s="2" t="s">
        <v>1110</v>
      </c>
      <c r="D354" s="2" t="s">
        <v>34</v>
      </c>
      <c r="E354" s="2" t="s">
        <v>35</v>
      </c>
      <c r="F354" s="2" t="s">
        <v>15</v>
      </c>
      <c r="G354" s="2" t="s">
        <v>1111</v>
      </c>
      <c r="H354" s="2" t="s">
        <v>335</v>
      </c>
      <c r="I354" s="2" t="str">
        <f>IFERROR(__xludf.DUMMYFUNCTION("GOOGLETRANSLATE(C354,""fr"",""en"")"),"Hello to all I have subscribed since 01 01 2019 Attention everything that Santiane offers there is eel under rock I just took a subscription at home I was sancing from having nothing to get out of my pocket to make me do a pair of glasses And in the end w"&amp;"hen I go to the optician I have to pay for the whole without being reimbursed this mutual and not good at all, careful and the offshooting proposal that melts are bogus especially their proposal as a carte blanche c must He tells you yes his good and when"&amp;" cous you serve as a carte blanche his opposite of what he told you I made myself have a beauty attention with this mutual")</f>
        <v>Hello to all I have subscribed since 01 01 2019 Attention everything that Santiane offers there is eel under rock I just took a subscription at home I was sancing from having nothing to get out of my pocket to make me do a pair of glasses And in the end when I go to the optician I have to pay for the whole without being reimbursed this mutual and not good at all, careful and the offshooting proposal that melts are bogus especially their proposal as a carte blanche c must He tells you yes his good and when cous you serve as a carte blanche his opposite of what he told you I made myself have a beauty attention with this mutual</v>
      </c>
    </row>
    <row r="355" ht="15.75" customHeight="1">
      <c r="A355" s="2">
        <v>1.0</v>
      </c>
      <c r="B355" s="2" t="s">
        <v>1112</v>
      </c>
      <c r="C355" s="2" t="s">
        <v>1113</v>
      </c>
      <c r="D355" s="2" t="s">
        <v>116</v>
      </c>
      <c r="E355" s="2" t="s">
        <v>35</v>
      </c>
      <c r="F355" s="2" t="s">
        <v>15</v>
      </c>
      <c r="G355" s="2" t="s">
        <v>1114</v>
      </c>
      <c r="H355" s="2" t="s">
        <v>335</v>
      </c>
      <c r="I355" s="2" t="str">
        <f>IFERROR(__xludf.DUMMYFUNCTION("GOOGLETRANSLATE(C355,""fr"",""en"")"),"Increases in shameless contributions in 2019 for an offer dispersed on uninteresting points at the expense of the essentials. A heavy and totally ineffective communication system that is robotic and increasingly cuts the member of his mutual. A solidarity"&amp;" discourse that masks the realities of very questionable management.")</f>
        <v>Increases in shameless contributions in 2019 for an offer dispersed on uninteresting points at the expense of the essentials. A heavy and totally ineffective communication system that is robotic and increasingly cuts the member of his mutual. A solidarity discourse that masks the realities of very questionable management.</v>
      </c>
    </row>
    <row r="356" ht="15.75" customHeight="1">
      <c r="A356" s="2">
        <v>3.0</v>
      </c>
      <c r="B356" s="2" t="s">
        <v>1115</v>
      </c>
      <c r="C356" s="2" t="s">
        <v>1116</v>
      </c>
      <c r="D356" s="2" t="s">
        <v>13</v>
      </c>
      <c r="E356" s="2" t="s">
        <v>14</v>
      </c>
      <c r="F356" s="2" t="s">
        <v>15</v>
      </c>
      <c r="G356" s="2" t="s">
        <v>1117</v>
      </c>
      <c r="H356" s="2" t="s">
        <v>146</v>
      </c>
      <c r="I356" s="2" t="str">
        <f>IFERROR(__xludf.DUMMYFUNCTION("GOOGLETRANSLATE(C356,""fr"",""en"")"),"Thank you for the proposed quote I am satisfied with the price offered the guarantees offered are the same as the quote I made at AXA and you are cheaper")</f>
        <v>Thank you for the proposed quote I am satisfied with the price offered the guarantees offered are the same as the quote I made at AXA and you are cheaper</v>
      </c>
    </row>
    <row r="357" ht="15.75" customHeight="1">
      <c r="A357" s="2">
        <v>3.0</v>
      </c>
      <c r="B357" s="2" t="s">
        <v>1118</v>
      </c>
      <c r="C357" s="2" t="s">
        <v>1119</v>
      </c>
      <c r="D357" s="2" t="s">
        <v>106</v>
      </c>
      <c r="E357" s="2" t="s">
        <v>14</v>
      </c>
      <c r="F357" s="2" t="s">
        <v>15</v>
      </c>
      <c r="G357" s="2" t="s">
        <v>1120</v>
      </c>
      <c r="H357" s="2" t="s">
        <v>131</v>
      </c>
      <c r="I357" s="2" t="str">
        <f>IFERROR(__xludf.DUMMYFUNCTION("GOOGLETRANSLATE(C357,""fr"",""en"")"),"Consider making a reduction, when renewing insurance, to compensate for confinement. Many of the insurance companies are made this commercial gesture which was appreciated by motorists.
Otherwise I am fully satisfied by this company")</f>
        <v>Consider making a reduction, when renewing insurance, to compensate for confinement. Many of the insurance companies are made this commercial gesture which was appreciated by motorists.
Otherwise I am fully satisfied by this company</v>
      </c>
    </row>
    <row r="358" ht="15.75" customHeight="1">
      <c r="A358" s="2">
        <v>5.0</v>
      </c>
      <c r="B358" s="2" t="s">
        <v>1121</v>
      </c>
      <c r="C358" s="2" t="s">
        <v>1122</v>
      </c>
      <c r="D358" s="2" t="s">
        <v>34</v>
      </c>
      <c r="E358" s="2" t="s">
        <v>35</v>
      </c>
      <c r="F358" s="2" t="s">
        <v>15</v>
      </c>
      <c r="G358" s="2" t="s">
        <v>1123</v>
      </c>
      <c r="H358" s="2" t="s">
        <v>209</v>
      </c>
      <c r="I358" s="2" t="str">
        <f>IFERROR(__xludf.DUMMYFUNCTION("GOOGLETRANSLATE(C358,""fr"",""en"")"),"Very good explanation of data
Price more than correct price level for a family of 3 people
By cons see the website which puts more than 3 months to open requests")</f>
        <v>Very good explanation of data
Price more than correct price level for a family of 3 people
By cons see the website which puts more than 3 months to open requests</v>
      </c>
    </row>
    <row r="359" ht="15.75" customHeight="1">
      <c r="A359" s="2">
        <v>3.0</v>
      </c>
      <c r="B359" s="2" t="s">
        <v>1124</v>
      </c>
      <c r="C359" s="2" t="s">
        <v>1125</v>
      </c>
      <c r="D359" s="2" t="s">
        <v>43</v>
      </c>
      <c r="E359" s="2" t="s">
        <v>14</v>
      </c>
      <c r="F359" s="2" t="s">
        <v>15</v>
      </c>
      <c r="G359" s="2" t="s">
        <v>1126</v>
      </c>
      <c r="H359" s="2" t="s">
        <v>166</v>
      </c>
      <c r="I359" s="2" t="str">
        <f>IFERROR(__xludf.DUMMYFUNCTION("GOOGLETRANSLATE(C359,""fr"",""en"")"),"Insurance remains insurance at the moment I only had a breakdown in 3 years assistance repair at the top. Contact top. For the rest not needed at the moment by wishing that this continues")</f>
        <v>Insurance remains insurance at the moment I only had a breakdown in 3 years assistance repair at the top. Contact top. For the rest not needed at the moment by wishing that this continues</v>
      </c>
    </row>
    <row r="360" ht="15.75" customHeight="1">
      <c r="A360" s="2">
        <v>5.0</v>
      </c>
      <c r="B360" s="2" t="s">
        <v>1127</v>
      </c>
      <c r="C360" s="2" t="s">
        <v>1128</v>
      </c>
      <c r="D360" s="2" t="s">
        <v>43</v>
      </c>
      <c r="E360" s="2" t="s">
        <v>14</v>
      </c>
      <c r="F360" s="2" t="s">
        <v>15</v>
      </c>
      <c r="G360" s="2" t="s">
        <v>1129</v>
      </c>
      <c r="H360" s="2" t="s">
        <v>72</v>
      </c>
      <c r="I360" s="2" t="str">
        <f>IFERROR(__xludf.DUMMYFUNCTION("GOOGLETRANSLATE(C360,""fr"",""en"")"),"I am very satisfied with your services there is very good file management ?? Thank you for all your attention.
I would recommend those around me.")</f>
        <v>I am very satisfied with your services there is very good file management ?? Thank you for all your attention.
I would recommend those around me.</v>
      </c>
    </row>
    <row r="361" ht="15.75" customHeight="1">
      <c r="A361" s="2">
        <v>1.0</v>
      </c>
      <c r="B361" s="2" t="s">
        <v>1130</v>
      </c>
      <c r="C361" s="2" t="s">
        <v>1131</v>
      </c>
      <c r="D361" s="2" t="s">
        <v>156</v>
      </c>
      <c r="E361" s="2" t="s">
        <v>14</v>
      </c>
      <c r="F361" s="2" t="s">
        <v>15</v>
      </c>
      <c r="G361" s="2" t="s">
        <v>123</v>
      </c>
      <c r="H361" s="2" t="s">
        <v>123</v>
      </c>
      <c r="I361" s="2" t="str">
        <f>IFERROR(__xludf.DUMMYFUNCTION("GOOGLETRANSLATE(C361,""fr"",""en"")"),"We call them to have information on our contracts, they answer us anything (what did you misunderstand my name? My license plate? You couldn't tell me that you misunderstood or not find my File ????) and behind we find ourselves not being able to get the "&amp;"car out of the garage because we cannot pay directly the 550 euros requested !!!!")</f>
        <v>We call them to have information on our contracts, they answer us anything (what did you misunderstand my name? My license plate? You couldn't tell me that you misunderstood or not find my File ????) and behind we find ourselves not being able to get the car out of the garage because we cannot pay directly the 550 euros requested !!!!</v>
      </c>
    </row>
    <row r="362" ht="15.75" customHeight="1">
      <c r="A362" s="2">
        <v>1.0</v>
      </c>
      <c r="B362" s="2" t="s">
        <v>1132</v>
      </c>
      <c r="C362" s="2" t="s">
        <v>1133</v>
      </c>
      <c r="D362" s="2" t="s">
        <v>19</v>
      </c>
      <c r="E362" s="2" t="s">
        <v>14</v>
      </c>
      <c r="F362" s="2" t="s">
        <v>15</v>
      </c>
      <c r="G362" s="2" t="s">
        <v>1134</v>
      </c>
      <c r="H362" s="2" t="s">
        <v>150</v>
      </c>
      <c r="I362" s="2" t="str">
        <f>IFERROR(__xludf.DUMMYFUNCTION("GOOGLETRANSLATE(C362,""fr"",""en"")"),"The Macif does not keep its commitments! I scored my son in 2015 for driving accompanied to the ECF (French driving school), with a Macif commitment to pay us a check for 100 euros to obtaining her driving license (he's Acts an offer offered to MACIF memb"&amp;"ers in partnership with MACIF and ECF).
I carried out the procedures in the rules with a commitment bulletin fulfilled and stamped by the Macif in 2015 and given to the ECF.
My son has just had his license last September, I recalled the Macif to her com"&amp;"mitments and there bad surprise, a counselor tells me unresolved that the Macif stops paying the 100 euros.
To drive the highlight of disappointment, I asked the Macif to add my son as a secondary driver (excluding professional use) on the 1994 Twingo, a"&amp;"nd there, the Macif announces me an additional 700 euros per year? While in most other mutuals the addition of a secondary driver is most often free.
Macif member for 30 years with 50 percent of bonuses, so far I have been proud to be a Macif member, t"&amp;"oday, I am almost ashamed.
Disappointed member.")</f>
        <v>The Macif does not keep its commitments! I scored my son in 2015 for driving accompanied to the ECF (French driving school), with a Macif commitment to pay us a check for 100 euros to obtaining her driving license (he's Acts an offer offered to MACIF members in partnership with MACIF and ECF).
I carried out the procedures in the rules with a commitment bulletin fulfilled and stamped by the Macif in 2015 and given to the ECF.
My son has just had his license last September, I recalled the Macif to her commitments and there bad surprise, a counselor tells me unresolved that the Macif stops paying the 100 euros.
To drive the highlight of disappointment, I asked the Macif to add my son as a secondary driver (excluding professional use) on the 1994 Twingo, and there, the Macif announces me an additional 700 euros per year? While in most other mutuals the addition of a secondary driver is most often free.
Macif member for 30 years with 50 percent of bonuses, so far I have been proud to be a Macif member, today, I am almost ashamed.
Disappointed member.</v>
      </c>
    </row>
    <row r="363" ht="15.75" customHeight="1">
      <c r="A363" s="2">
        <v>4.0</v>
      </c>
      <c r="B363" s="2" t="s">
        <v>1135</v>
      </c>
      <c r="C363" s="2" t="s">
        <v>1136</v>
      </c>
      <c r="D363" s="2" t="s">
        <v>13</v>
      </c>
      <c r="E363" s="2" t="s">
        <v>14</v>
      </c>
      <c r="F363" s="2" t="s">
        <v>15</v>
      </c>
      <c r="G363" s="2" t="s">
        <v>138</v>
      </c>
      <c r="H363" s="2" t="s">
        <v>72</v>
      </c>
      <c r="I363" s="2" t="str">
        <f>IFERROR(__xludf.DUMMYFUNCTION("GOOGLETRANSLATE(C363,""fr"",""en"")"),"I am satisfied ..... to see later
Thank you for your quote I hope I will stay a long time, for a very long time in your insurance company")</f>
        <v>I am satisfied ..... to see later
Thank you for your quote I hope I will stay a long time, for a very long time in your insurance company</v>
      </c>
    </row>
    <row r="364" ht="15.75" customHeight="1">
      <c r="A364" s="2">
        <v>1.0</v>
      </c>
      <c r="B364" s="2" t="s">
        <v>1137</v>
      </c>
      <c r="C364" s="2" t="s">
        <v>1138</v>
      </c>
      <c r="D364" s="2" t="s">
        <v>207</v>
      </c>
      <c r="E364" s="2" t="s">
        <v>35</v>
      </c>
      <c r="F364" s="2" t="s">
        <v>15</v>
      </c>
      <c r="G364" s="2" t="s">
        <v>1139</v>
      </c>
      <c r="H364" s="2" t="s">
        <v>236</v>
      </c>
      <c r="I364" s="2" t="str">
        <f>IFERROR(__xludf.DUMMYFUNCTION("GOOGLETRANSLATE(C364,""fr"",""en"")"),"Too bad we can't put 0 stars in satisfaction! For 4 months I have not returned concerning my dental quote. I nevertheless went to my dentist doing my care I send the bill 1 month after they answer me that information is missing on it while in the meantime"&amp;" I had it 4 times on the phone !! It is unacceptable such a lack of professionalism of all platforms like managers !!")</f>
        <v>Too bad we can't put 0 stars in satisfaction! For 4 months I have not returned concerning my dental quote. I nevertheless went to my dentist doing my care I send the bill 1 month after they answer me that information is missing on it while in the meantime I had it 4 times on the phone !! It is unacceptable such a lack of professionalism of all platforms like managers !!</v>
      </c>
    </row>
    <row r="365" ht="15.75" customHeight="1">
      <c r="A365" s="2">
        <v>2.0</v>
      </c>
      <c r="B365" s="2" t="s">
        <v>1140</v>
      </c>
      <c r="C365" s="2" t="s">
        <v>1141</v>
      </c>
      <c r="D365" s="2" t="s">
        <v>13</v>
      </c>
      <c r="E365" s="2" t="s">
        <v>85</v>
      </c>
      <c r="F365" s="2" t="s">
        <v>15</v>
      </c>
      <c r="G365" s="2" t="s">
        <v>1142</v>
      </c>
      <c r="H365" s="2" t="s">
        <v>721</v>
      </c>
      <c r="I365" s="2" t="str">
        <f>IFERROR(__xludf.DUMMYFUNCTION("GOOGLETRANSLATE(C365,""fr"",""en"")"),"The worst assurance that you can find, especially avoided, when you would have a problem, sure they are going to leave you alone, the only sentence they know is ""no it's not us"" even before finishing your lyrics. It's been 1 month and whatever I declare"&amp;"d a claim and they no longer answer my emails or calls ...")</f>
        <v>The worst assurance that you can find, especially avoided, when you would have a problem, sure they are going to leave you alone, the only sentence they know is "no it's not us" even before finishing your lyrics. It's been 1 month and whatever I declared a claim and they no longer answer my emails or calls ...</v>
      </c>
    </row>
    <row r="366" ht="15.75" customHeight="1">
      <c r="A366" s="2">
        <v>1.0</v>
      </c>
      <c r="B366" s="2" t="s">
        <v>1143</v>
      </c>
      <c r="C366" s="2" t="s">
        <v>1144</v>
      </c>
      <c r="D366" s="2" t="s">
        <v>13</v>
      </c>
      <c r="E366" s="2" t="s">
        <v>85</v>
      </c>
      <c r="F366" s="2" t="s">
        <v>15</v>
      </c>
      <c r="G366" s="2" t="s">
        <v>1145</v>
      </c>
      <c r="H366" s="2" t="s">
        <v>166</v>
      </c>
      <c r="I366" s="2" t="str">
        <f>IFERROR(__xludf.DUMMYFUNCTION("GOOGLETRANSLATE(C366,""fr"",""en"")"),"Null insurance in the event of water damage, I took more than 4 months to finish to finally pay the almost all of the claim for which I was not responsible of course.
They are incompetent, bad times and do everything to drag so as not to reimburse
It is"&amp;" a real sandal, flee at full speed")</f>
        <v>Null insurance in the event of water damage, I took more than 4 months to finish to finally pay the almost all of the claim for which I was not responsible of course.
They are incompetent, bad times and do everything to drag so as not to reimburse
It is a real sandal, flee at full speed</v>
      </c>
    </row>
    <row r="367" ht="15.75" customHeight="1">
      <c r="A367" s="2">
        <v>4.0</v>
      </c>
      <c r="B367" s="2" t="s">
        <v>1146</v>
      </c>
      <c r="C367" s="2" t="s">
        <v>1147</v>
      </c>
      <c r="D367" s="2" t="s">
        <v>55</v>
      </c>
      <c r="E367" s="2" t="s">
        <v>56</v>
      </c>
      <c r="F367" s="2" t="s">
        <v>15</v>
      </c>
      <c r="G367" s="2" t="s">
        <v>1148</v>
      </c>
      <c r="H367" s="2" t="s">
        <v>68</v>
      </c>
      <c r="I367" s="2" t="str">
        <f>IFERROR(__xludf.DUMMYFUNCTION("GOOGLETRANSLATE(C367,""fr"",""en"")"),"Top and fast: April was super effective in the processing of my request, I recommend and Tarfi as trivial as low cost Euroassurance and so on")</f>
        <v>Top and fast: April was super effective in the processing of my request, I recommend and Tarfi as trivial as low cost Euroassurance and so on</v>
      </c>
    </row>
    <row r="368" ht="15.75" customHeight="1">
      <c r="A368" s="2">
        <v>5.0</v>
      </c>
      <c r="B368" s="2" t="s">
        <v>1149</v>
      </c>
      <c r="C368" s="2" t="s">
        <v>1150</v>
      </c>
      <c r="D368" s="2" t="s">
        <v>34</v>
      </c>
      <c r="E368" s="2" t="s">
        <v>35</v>
      </c>
      <c r="F368" s="2" t="s">
        <v>15</v>
      </c>
      <c r="G368" s="2" t="s">
        <v>72</v>
      </c>
      <c r="H368" s="2" t="s">
        <v>72</v>
      </c>
      <c r="I368" s="2" t="str">
        <f>IFERROR(__xludf.DUMMYFUNCTION("GOOGLETRANSLATE(C368,""fr"",""en"")"),"I just came into telephone contact with Santiane, being completely lost in the way of taking steps with my mutual insurance company. I could not find myself among the various entities such as Santiane, Malakoff-Humanis (Ma Mutuelle), Neo Santé, Viamédis, "&amp;"Osys Provoyance, Mutua Gestion, Néoliane, all these organizations appearing as document entries provided by Santiane when I joined.
It is therefore Lissa of the Santiane network who welcomed me very kindly and who finally allowed me (after 8 months of me"&amp;"mbership) to clear this jungle and especially to understand and learn to use all the services that are me proposed.
Another big thank you to Lissa")</f>
        <v>I just came into telephone contact with Santiane, being completely lost in the way of taking steps with my mutual insurance company. I could not find myself among the various entities such as Santiane, Malakoff-Humanis (Ma Mutuelle), Neo Santé, Viamédis, Osys Provoyance, Mutua Gestion, Néoliane, all these organizations appearing as document entries provided by Santiane when I joined.
It is therefore Lissa of the Santiane network who welcomed me very kindly and who finally allowed me (after 8 months of membership) to clear this jungle and especially to understand and learn to use all the services that are me proposed.
Another big thank you to Lissa</v>
      </c>
    </row>
    <row r="369" ht="15.75" customHeight="1">
      <c r="A369" s="2">
        <v>1.0</v>
      </c>
      <c r="B369" s="2" t="s">
        <v>1151</v>
      </c>
      <c r="C369" s="2" t="s">
        <v>1152</v>
      </c>
      <c r="D369" s="2" t="s">
        <v>13</v>
      </c>
      <c r="E369" s="2" t="s">
        <v>14</v>
      </c>
      <c r="F369" s="2" t="s">
        <v>15</v>
      </c>
      <c r="G369" s="2" t="s">
        <v>1153</v>
      </c>
      <c r="H369" s="2" t="s">
        <v>533</v>
      </c>
      <c r="I369" s="2" t="str">
        <f>IFERROR(__xludf.DUMMYFUNCTION("GOOGLETRANSLATE(C369,""fr"",""en"")"),"Insured any risk and victim of a vehicle flight. Their flight service have done everything so as not to industrial me, after almost two months of anxiety.
The value of the property estimated at € 18,000, they will not pay me a penny.
I enter into disp"&amp;"ute procedure and probably lawyers etc ...
It is up to you to disgust this system practicing the double penalty.
But otherwise indeed it is not expensive.
I had advised several friends to go to their home for their prices, I will quickly advise t"&amp;"hem to make back machine")</f>
        <v>Insured any risk and victim of a vehicle flight. Their flight service have done everything so as not to industrial me, after almost two months of anxiety.
The value of the property estimated at € 18,000, they will not pay me a penny.
I enter into dispute procedure and probably lawyers etc ...
It is up to you to disgust this system practicing the double penalty.
But otherwise indeed it is not expensive.
I had advised several friends to go to their home for their prices, I will quickly advise them to make back machine</v>
      </c>
    </row>
    <row r="370" ht="15.75" customHeight="1">
      <c r="A370" s="2">
        <v>3.0</v>
      </c>
      <c r="B370" s="2" t="s">
        <v>1154</v>
      </c>
      <c r="C370" s="2" t="s">
        <v>1155</v>
      </c>
      <c r="D370" s="2" t="s">
        <v>43</v>
      </c>
      <c r="E370" s="2" t="s">
        <v>14</v>
      </c>
      <c r="F370" s="2" t="s">
        <v>15</v>
      </c>
      <c r="G370" s="2" t="s">
        <v>445</v>
      </c>
      <c r="H370" s="2" t="s">
        <v>99</v>
      </c>
      <c r="I370" s="2" t="str">
        <f>IFERROR(__xludf.DUMMYFUNCTION("GOOGLETRANSLATE(C370,""fr"",""en"")"),"Satisfied with the price to see later and the service which will be prescribed according to future and possible request here is good day to you cordially")</f>
        <v>Satisfied with the price to see later and the service which will be prescribed according to future and possible request here is good day to you cordially</v>
      </c>
    </row>
    <row r="371" ht="15.75" customHeight="1">
      <c r="A371" s="2">
        <v>1.0</v>
      </c>
      <c r="B371" s="2" t="s">
        <v>1156</v>
      </c>
      <c r="C371" s="2" t="s">
        <v>1157</v>
      </c>
      <c r="D371" s="2" t="s">
        <v>278</v>
      </c>
      <c r="E371" s="2" t="s">
        <v>85</v>
      </c>
      <c r="F371" s="2" t="s">
        <v>15</v>
      </c>
      <c r="G371" s="2" t="s">
        <v>52</v>
      </c>
      <c r="H371" s="2" t="s">
        <v>52</v>
      </c>
      <c r="I371" s="2" t="str">
        <f>IFERROR(__xludf.DUMMYFUNCTION("GOOGLETRANSLATE(C371,""fr"",""en"")"),"Following a claim declared on 1/07/2020 and not resolved to date (01/03/2021) I would like to say that I am absolutely not satisfied with the matmut services. This absolutely does not call into question the friendliness of the interlocutors except an unpl"&amp;"easant person, but the organization in the processing of files and the reactivity of the Matmut.
Indeed, if I do not take responsibility for regularly calling the Matmut to advance the file, I am not kept knowing anything in the decision -making.
The ex"&amp;"pert I had to do has, in my opinion, absolutely not been in the reality of the damage committed by the claim. He went so far as to mention, at the Matmut, that the damaged sofa was due to a manufacturing defect. He did not even have the courage to tell me"&amp;" during the appointment surely for fear that I dispute because it is completely false.
I inform you that I had to do, on several occasions, to experts during claims (fire, water damage ...) and that I have never encountered concerns as with this gentlema"&amp;"n.
In conclusion I would not advise those around me to ensure at home.
Cordially")</f>
        <v>Following a claim declared on 1/07/2020 and not resolved to date (01/03/2021) I would like to say that I am absolutely not satisfied with the matmut services. This absolutely does not call into question the friendliness of the interlocutors except an unpleasant person, but the organization in the processing of files and the reactivity of the Matmut.
Indeed, if I do not take responsibility for regularly calling the Matmut to advance the file, I am not kept knowing anything in the decision -making.
The expert I had to do has, in my opinion, absolutely not been in the reality of the damage committed by the claim. He went so far as to mention, at the Matmut, that the damaged sofa was due to a manufacturing defect. He did not even have the courage to tell me during the appointment surely for fear that I dispute because it is completely false.
I inform you that I had to do, on several occasions, to experts during claims (fire, water damage ...) and that I have never encountered concerns as with this gentleman.
In conclusion I would not advise those around me to ensure at home.
Cordially</v>
      </c>
    </row>
    <row r="372" ht="15.75" customHeight="1">
      <c r="A372" s="2">
        <v>1.0</v>
      </c>
      <c r="B372" s="2" t="s">
        <v>1158</v>
      </c>
      <c r="C372" s="2" t="s">
        <v>1159</v>
      </c>
      <c r="D372" s="2" t="s">
        <v>19</v>
      </c>
      <c r="E372" s="2" t="s">
        <v>14</v>
      </c>
      <c r="F372" s="2" t="s">
        <v>15</v>
      </c>
      <c r="G372" s="2" t="s">
        <v>319</v>
      </c>
      <c r="H372" s="2" t="s">
        <v>319</v>
      </c>
      <c r="I372" s="2" t="str">
        <f>IFERROR(__xludf.DUMMYFUNCTION("GOOGLETRANSLATE(C372,""fr"",""en"")"),"Good advice, never take out any contract with this company.
0% wrong in a traffic accident and I should personally pay for certain parts.
I terminate all my contracts with this company.")</f>
        <v>Good advice, never take out any contract with this company.
0% wrong in a traffic accident and I should personally pay for certain parts.
I terminate all my contracts with this company.</v>
      </c>
    </row>
    <row r="373" ht="15.75" customHeight="1">
      <c r="A373" s="2">
        <v>3.0</v>
      </c>
      <c r="B373" s="2" t="s">
        <v>1160</v>
      </c>
      <c r="C373" s="2" t="s">
        <v>1161</v>
      </c>
      <c r="D373" s="2" t="s">
        <v>43</v>
      </c>
      <c r="E373" s="2" t="s">
        <v>14</v>
      </c>
      <c r="F373" s="2" t="s">
        <v>15</v>
      </c>
      <c r="G373" s="2" t="s">
        <v>1162</v>
      </c>
      <c r="H373" s="2" t="s">
        <v>217</v>
      </c>
      <c r="I373" s="2" t="str">
        <f>IFERROR(__xludf.DUMMYFUNCTION("GOOGLETRANSLATE(C373,""fr"",""en"")"),"Too high price for someone who has had the permit for 25 years and who has these 12 points, because I have not been insured for over three years.
Cordially")</f>
        <v>Too high price for someone who has had the permit for 25 years and who has these 12 points, because I have not been insured for over three years.
Cordially</v>
      </c>
    </row>
    <row r="374" ht="15.75" customHeight="1">
      <c r="A374" s="2">
        <v>5.0</v>
      </c>
      <c r="B374" s="2" t="s">
        <v>1163</v>
      </c>
      <c r="C374" s="2" t="s">
        <v>1164</v>
      </c>
      <c r="D374" s="2" t="s">
        <v>448</v>
      </c>
      <c r="E374" s="2" t="s">
        <v>112</v>
      </c>
      <c r="F374" s="2" t="s">
        <v>15</v>
      </c>
      <c r="G374" s="2" t="s">
        <v>1165</v>
      </c>
      <c r="H374" s="2" t="s">
        <v>72</v>
      </c>
      <c r="I374" s="2" t="str">
        <f>IFERROR(__xludf.DUMMYFUNCTION("GOOGLETRANSLATE(C374,""fr"",""en"")"),"Availability Explanation and responsiveness We have already asked Zenup in the past for our main residence and we are very satis")</f>
        <v>Availability Explanation and responsiveness We have already asked Zenup in the past for our main residence and we are very satis</v>
      </c>
    </row>
    <row r="375" ht="15.75" customHeight="1">
      <c r="A375" s="2">
        <v>4.0</v>
      </c>
      <c r="B375" s="2" t="s">
        <v>1166</v>
      </c>
      <c r="C375" s="2" t="s">
        <v>1167</v>
      </c>
      <c r="D375" s="2" t="s">
        <v>13</v>
      </c>
      <c r="E375" s="2" t="s">
        <v>14</v>
      </c>
      <c r="F375" s="2" t="s">
        <v>15</v>
      </c>
      <c r="G375" s="2" t="s">
        <v>68</v>
      </c>
      <c r="H375" s="2" t="s">
        <v>68</v>
      </c>
      <c r="I375" s="2" t="str">
        <f>IFERROR(__xludf.DUMMYFUNCTION("GOOGLETRANSLATE(C375,""fr"",""en"")"),"Very satisfied with personalized advice
Insured quickly and easily reachable even if I hope I don't have to do it during the year ;-)
The price remains correct for car insurance.
")</f>
        <v>Very satisfied with personalized advice
Insured quickly and easily reachable even if I hope I don't have to do it during the year ;-)
The price remains correct for car insurance.
</v>
      </c>
    </row>
    <row r="376" ht="15.75" customHeight="1">
      <c r="A376" s="2">
        <v>1.0</v>
      </c>
      <c r="B376" s="2" t="s">
        <v>1168</v>
      </c>
      <c r="C376" s="2" t="s">
        <v>1169</v>
      </c>
      <c r="D376" s="2" t="s">
        <v>106</v>
      </c>
      <c r="E376" s="2" t="s">
        <v>14</v>
      </c>
      <c r="F376" s="2" t="s">
        <v>15</v>
      </c>
      <c r="G376" s="2" t="s">
        <v>1170</v>
      </c>
      <c r="H376" s="2" t="s">
        <v>264</v>
      </c>
      <c r="I376" s="2" t="str">
        <f>IFERROR(__xludf.DUMMYFUNCTION("GOOGLETRANSLATE(C376,""fr"",""en"")"),"Deplorable. I am currently in a claim (responsibility to be determined but a witness informs me). Pacifica clearly explained to me that I will not be compensated, responsible or not, because I only had to make sure all risks. After allusions that I would "&amp;"surely have caused the accident. I'm 6 months pregnant, would I crazy?! Disastrous management! Ignoble allusions, pressure strokes to destroy my vehicle without being compensated ... to flee!")</f>
        <v>Deplorable. I am currently in a claim (responsibility to be determined but a witness informs me). Pacifica clearly explained to me that I will not be compensated, responsible or not, because I only had to make sure all risks. After allusions that I would surely have caused the accident. I'm 6 months pregnant, would I crazy?! Disastrous management! Ignoble allusions, pressure strokes to destroy my vehicle without being compensated ... to flee!</v>
      </c>
    </row>
    <row r="377" ht="15.75" customHeight="1">
      <c r="A377" s="2">
        <v>4.0</v>
      </c>
      <c r="B377" s="2" t="s">
        <v>1171</v>
      </c>
      <c r="C377" s="2" t="s">
        <v>1172</v>
      </c>
      <c r="D377" s="2" t="s">
        <v>13</v>
      </c>
      <c r="E377" s="2" t="s">
        <v>14</v>
      </c>
      <c r="F377" s="2" t="s">
        <v>15</v>
      </c>
      <c r="G377" s="2" t="s">
        <v>498</v>
      </c>
      <c r="H377" s="2" t="s">
        <v>99</v>
      </c>
      <c r="I377" s="2" t="str">
        <f>IFERROR(__xludf.DUMMYFUNCTION("GOOGLETRANSLATE(C377,""fr"",""en"")"),"Satisfied with the service. The price suits me compared to other insurers. Even if, I always find it expensive. But I hope to lower it next year.")</f>
        <v>Satisfied with the service. The price suits me compared to other insurers. Even if, I always find it expensive. But I hope to lower it next year.</v>
      </c>
    </row>
    <row r="378" ht="15.75" customHeight="1">
      <c r="A378" s="2">
        <v>1.0</v>
      </c>
      <c r="B378" s="2" t="s">
        <v>1173</v>
      </c>
      <c r="C378" s="2" t="s">
        <v>1174</v>
      </c>
      <c r="D378" s="2" t="s">
        <v>13</v>
      </c>
      <c r="E378" s="2" t="s">
        <v>14</v>
      </c>
      <c r="F378" s="2" t="s">
        <v>15</v>
      </c>
      <c r="G378" s="2" t="s">
        <v>1175</v>
      </c>
      <c r="H378" s="2" t="s">
        <v>166</v>
      </c>
      <c r="I378" s="2" t="str">
        <f>IFERROR(__xludf.DUMMYFUNCTION("GOOGLETRANSLATE(C378,""fr"",""en"")"),"They are very nice and full of promise before making you sign a contract, but a faith that it is done they discuss themselves as soon as they can in the first glitch under perfectly false pretexts.
Exonted from absolutely while abusively interpreting v"&amp;"ery practical blurred clauses in their contracts. Systematically refuse to take responsibility. They refuse to take care of the damage on your vehicle because you are not in ""any risk"", while the responsible third party is identified. It's up to you to "&amp;"get rid of the opposing part.
Following this refusal, when they are asked to apply the Defense and Appeal Guarantee to pay experts and lawyers, they claim that the damage on your vehicles are not covered, the Defense and appeal warranty cannot apply no"&amp;" more. Never seen !
In short, they sell you without telling you a piece of green paper which offers for protection only a vague civil liability and the right to be in good standing with the cops.
Obliged to scream to assert his rights. Even the most"&amp;" low-cost insurance do better.")</f>
        <v>They are very nice and full of promise before making you sign a contract, but a faith that it is done they discuss themselves as soon as they can in the first glitch under perfectly false pretexts.
Exonted from absolutely while abusively interpreting very practical blurred clauses in their contracts. Systematically refuse to take responsibility. They refuse to take care of the damage on your vehicle because you are not in "any risk", while the responsible third party is identified. It's up to you to get rid of the opposing part.
Following this refusal, when they are asked to apply the Defense and Appeal Guarantee to pay experts and lawyers, they claim that the damage on your vehicles are not covered, the Defense and appeal warranty cannot apply no more. Never seen !
In short, they sell you without telling you a piece of green paper which offers for protection only a vague civil liability and the right to be in good standing with the cops.
Obliged to scream to assert his rights. Even the most low-cost insurance do better.</v>
      </c>
    </row>
    <row r="379" ht="15.75" customHeight="1">
      <c r="A379" s="2">
        <v>1.0</v>
      </c>
      <c r="B379" s="2" t="s">
        <v>1176</v>
      </c>
      <c r="C379" s="2" t="s">
        <v>1177</v>
      </c>
      <c r="D379" s="2" t="s">
        <v>179</v>
      </c>
      <c r="E379" s="2" t="s">
        <v>14</v>
      </c>
      <c r="F379" s="2" t="s">
        <v>15</v>
      </c>
      <c r="G379" s="2" t="s">
        <v>1178</v>
      </c>
      <c r="H379" s="2" t="s">
        <v>1050</v>
      </c>
      <c r="I379" s="2" t="str">
        <f>IFERROR(__xludf.DUMMYFUNCTION("GOOGLETRANSLATE(C379,""fr"",""en"")"),"Customer since 2011 for 3 contracts.
Terminated within 10 days for 3 non -responsible claims:
2014: Ice broom
2016: Ice breakdown and theft of my rims
I had the bad idea to call them for a modification of my contract (pro journeys) = terminated within"&amp;" 10 days.")</f>
        <v>Customer since 2011 for 3 contracts.
Terminated within 10 days for 3 non -responsible claims:
2014: Ice broom
2016: Ice breakdown and theft of my rims
I had the bad idea to call them for a modification of my contract (pro journeys) = terminated within 10 days.</v>
      </c>
    </row>
    <row r="380" ht="15.75" customHeight="1">
      <c r="A380" s="2">
        <v>4.0</v>
      </c>
      <c r="B380" s="2" t="s">
        <v>1179</v>
      </c>
      <c r="C380" s="2" t="s">
        <v>1180</v>
      </c>
      <c r="D380" s="2" t="s">
        <v>224</v>
      </c>
      <c r="E380" s="2" t="s">
        <v>35</v>
      </c>
      <c r="F380" s="2" t="s">
        <v>15</v>
      </c>
      <c r="G380" s="2" t="s">
        <v>1181</v>
      </c>
      <c r="H380" s="2" t="s">
        <v>72</v>
      </c>
      <c r="I380" s="2" t="str">
        <f>IFERROR(__xludf.DUMMYFUNCTION("GOOGLETRANSLATE(C380,""fr"",""en"")"),"Very good advice on our listening I just subscribed but the guarantee that he offers me we seem to be correct and the advisor that I had online was very kind")</f>
        <v>Very good advice on our listening I just subscribed but the guarantee that he offers me we seem to be correct and the advisor that I had online was very kind</v>
      </c>
    </row>
    <row r="381" ht="15.75" customHeight="1">
      <c r="A381" s="2">
        <v>4.0</v>
      </c>
      <c r="B381" s="2" t="s">
        <v>1182</v>
      </c>
      <c r="C381" s="2" t="s">
        <v>1183</v>
      </c>
      <c r="D381" s="2" t="s">
        <v>13</v>
      </c>
      <c r="E381" s="2" t="s">
        <v>14</v>
      </c>
      <c r="F381" s="2" t="s">
        <v>15</v>
      </c>
      <c r="G381" s="2" t="s">
        <v>302</v>
      </c>
      <c r="H381" s="2" t="s">
        <v>99</v>
      </c>
      <c r="I381" s="2" t="str">
        <f>IFERROR(__xludf.DUMMYFUNCTION("GOOGLETRANSLATE(C381,""fr"",""en"")"),"Speed ​​of the online subscription service at correct prices
I have 3 vehicles insured at home.
I systematically recommend direct insurance to my loved ones")</f>
        <v>Speed ​​of the online subscription service at correct prices
I have 3 vehicles insured at home.
I systematically recommend direct insurance to my loved ones</v>
      </c>
    </row>
    <row r="382" ht="15.75" customHeight="1">
      <c r="A382" s="2">
        <v>5.0</v>
      </c>
      <c r="B382" s="2" t="s">
        <v>1184</v>
      </c>
      <c r="C382" s="2" t="s">
        <v>1185</v>
      </c>
      <c r="D382" s="2" t="s">
        <v>43</v>
      </c>
      <c r="E382" s="2" t="s">
        <v>14</v>
      </c>
      <c r="F382" s="2" t="s">
        <v>15</v>
      </c>
      <c r="G382" s="2" t="s">
        <v>138</v>
      </c>
      <c r="H382" s="2" t="s">
        <v>72</v>
      </c>
      <c r="I382" s="2" t="str">
        <f>IFERROR(__xludf.DUMMYFUNCTION("GOOGLETRANSLATE(C382,""fr"",""en"")"),"I am satisfied with the price and the service, the interesting prices, I have not encountered any problem encountered, clear and precise explanation, no ambiguity,")</f>
        <v>I am satisfied with the price and the service, the interesting prices, I have not encountered any problem encountered, clear and precise explanation, no ambiguity,</v>
      </c>
    </row>
    <row r="383" ht="15.75" customHeight="1">
      <c r="A383" s="2">
        <v>1.0</v>
      </c>
      <c r="B383" s="2" t="s">
        <v>1186</v>
      </c>
      <c r="C383" s="2" t="s">
        <v>1187</v>
      </c>
      <c r="D383" s="2" t="s">
        <v>80</v>
      </c>
      <c r="E383" s="2" t="s">
        <v>14</v>
      </c>
      <c r="F383" s="2" t="s">
        <v>15</v>
      </c>
      <c r="G383" s="2" t="s">
        <v>1188</v>
      </c>
      <c r="H383" s="2" t="s">
        <v>371</v>
      </c>
      <c r="I383" s="2" t="str">
        <f>IFERROR(__xludf.DUMMYFUNCTION("GOOGLETRANSLATE(C383,""fr"",""en"")"),"I have just received my RC with an increase of 11.27%, the car +6.93% I Wait for the provident statement ... of insurance increased last year. Notice arrived 18 days before the scope). I am taken hostage. I haven't had an accident and I have been a custom"&amp;"er since 1993 ... AXA needs money to make these shopping!")</f>
        <v>I have just received my RC with an increase of 11.27%, the car +6.93% I Wait for the provident statement ... of insurance increased last year. Notice arrived 18 days before the scope). I am taken hostage. I haven't had an accident and I have been a customer since 1993 ... AXA needs money to make these shopping!</v>
      </c>
    </row>
    <row r="384" ht="15.75" customHeight="1">
      <c r="A384" s="2">
        <v>1.0</v>
      </c>
      <c r="B384" s="2" t="s">
        <v>1189</v>
      </c>
      <c r="C384" s="2" t="s">
        <v>1190</v>
      </c>
      <c r="D384" s="2" t="s">
        <v>308</v>
      </c>
      <c r="E384" s="2" t="s">
        <v>14</v>
      </c>
      <c r="F384" s="2" t="s">
        <v>15</v>
      </c>
      <c r="G384" s="2" t="s">
        <v>1191</v>
      </c>
      <c r="H384" s="2" t="s">
        <v>123</v>
      </c>
      <c r="I384" s="2" t="str">
        <f>IFERROR(__xludf.DUMMYFUNCTION("GOOGLETRANSLATE(C384,""fr"",""en"")"),"Price interest in the first year, then they increase their prices. Despite a bonus that increases, prices are increasing because Allianz reserves the right to modify its prices as they see fit. So with more bonuses, I pay 240 euros more annually than the "&amp;"previous year. Deductibles are high but the guarantees are low")</f>
        <v>Price interest in the first year, then they increase their prices. Despite a bonus that increases, prices are increasing because Allianz reserves the right to modify its prices as they see fit. So with more bonuses, I pay 240 euros more annually than the previous year. Deductibles are high but the guarantees are low</v>
      </c>
    </row>
    <row r="385" ht="15.75" customHeight="1">
      <c r="A385" s="2">
        <v>2.0</v>
      </c>
      <c r="B385" s="2" t="s">
        <v>1192</v>
      </c>
      <c r="C385" s="2" t="s">
        <v>1193</v>
      </c>
      <c r="D385" s="2" t="s">
        <v>365</v>
      </c>
      <c r="E385" s="2" t="s">
        <v>14</v>
      </c>
      <c r="F385" s="2" t="s">
        <v>15</v>
      </c>
      <c r="G385" s="2" t="s">
        <v>1194</v>
      </c>
      <c r="H385" s="2" t="s">
        <v>721</v>
      </c>
      <c r="I385" s="2" t="str">
        <f>IFERROR(__xludf.DUMMYFUNCTION("GOOGLETRANSLATE(C385,""fr"",""en"")"),"A member for over 40 years, I stayed 8 years without a car, while regularly driving cars (family, rentals ...). Today, being again the owner of a vehicle I learn that I can no longer benefit from my 50%bonus! It disappears after 5 years! No possibility of"&amp;" having a commercial gesture for members of the old date !!! well done! I think I'm going to see elsewhere, for my other insurances too! Why stay faithful to ""a mutualist spirit"" that only works in a sense! I will have no trouble finding the same covers"&amp;" for cheaper in addition!")</f>
        <v>A member for over 40 years, I stayed 8 years without a car, while regularly driving cars (family, rentals ...). Today, being again the owner of a vehicle I learn that I can no longer benefit from my 50%bonus! It disappears after 5 years! No possibility of having a commercial gesture for members of the old date !!! well done! I think I'm going to see elsewhere, for my other insurances too! Why stay faithful to "a mutualist spirit" that only works in a sense! I will have no trouble finding the same covers for cheaper in addition!</v>
      </c>
    </row>
    <row r="386" ht="15.75" customHeight="1">
      <c r="A386" s="2">
        <v>4.0</v>
      </c>
      <c r="B386" s="2" t="s">
        <v>1195</v>
      </c>
      <c r="C386" s="2" t="s">
        <v>1196</v>
      </c>
      <c r="D386" s="2" t="s">
        <v>111</v>
      </c>
      <c r="E386" s="2" t="s">
        <v>35</v>
      </c>
      <c r="F386" s="2" t="s">
        <v>15</v>
      </c>
      <c r="G386" s="2" t="s">
        <v>1197</v>
      </c>
      <c r="H386" s="2" t="s">
        <v>293</v>
      </c>
      <c r="I386" s="2" t="str">
        <f>IFERROR(__xludf.DUMMYFUNCTION("GOOGLETRANSLATE(C386,""fr"",""en"")"),"I am satisfied, interesting price.
Can you tell me if I will receive a card.
Looking forward to reading you
THANK YOU GOOD NIGHT
Stephane Jamon")</f>
        <v>I am satisfied, interesting price.
Can you tell me if I will receive a card.
Looking forward to reading you
THANK YOU GOOD NIGHT
Stephane Jamon</v>
      </c>
    </row>
    <row r="387" ht="15.75" customHeight="1">
      <c r="A387" s="2">
        <v>3.0</v>
      </c>
      <c r="B387" s="2" t="s">
        <v>1198</v>
      </c>
      <c r="C387" s="2" t="s">
        <v>1199</v>
      </c>
      <c r="D387" s="2" t="s">
        <v>19</v>
      </c>
      <c r="E387" s="2" t="s">
        <v>14</v>
      </c>
      <c r="F387" s="2" t="s">
        <v>15</v>
      </c>
      <c r="G387" s="2" t="s">
        <v>1025</v>
      </c>
      <c r="H387" s="2" t="s">
        <v>31</v>
      </c>
      <c r="I387" s="2" t="str">
        <f>IFERROR(__xludf.DUMMYFUNCTION("GOOGLETRANSLATE(C387,""fr"",""en"")"),"The Macif could make a better price has been ensuring for 48 years at the Macif of course 50% bonus plus 15% despite this I pay 460 euros a little expensive I have a quote at 275 euros per year")</f>
        <v>The Macif could make a better price has been ensuring for 48 years at the Macif of course 50% bonus plus 15% despite this I pay 460 euros a little expensive I have a quote at 275 euros per year</v>
      </c>
    </row>
    <row r="388" ht="15.75" customHeight="1">
      <c r="A388" s="2">
        <v>4.0</v>
      </c>
      <c r="B388" s="2" t="s">
        <v>1200</v>
      </c>
      <c r="C388" s="2" t="s">
        <v>1201</v>
      </c>
      <c r="D388" s="2" t="s">
        <v>13</v>
      </c>
      <c r="E388" s="2" t="s">
        <v>14</v>
      </c>
      <c r="F388" s="2" t="s">
        <v>15</v>
      </c>
      <c r="G388" s="2" t="s">
        <v>1202</v>
      </c>
      <c r="H388" s="2" t="s">
        <v>99</v>
      </c>
      <c r="I388" s="2" t="str">
        <f>IFERROR(__xludf.DUMMYFUNCTION("GOOGLETRANSLATE(C388,""fr"",""en"")"),"We will see the rest on the reimbursement of the 2 months offered for 2nd subscription of the automotive contract, I am waiting to see the rest and if this is the case I can get an idea and sponsor.")</f>
        <v>We will see the rest on the reimbursement of the 2 months offered for 2nd subscription of the automotive contract, I am waiting to see the rest and if this is the case I can get an idea and sponsor.</v>
      </c>
    </row>
    <row r="389" ht="15.75" customHeight="1">
      <c r="A389" s="2">
        <v>3.0</v>
      </c>
      <c r="B389" s="2" t="s">
        <v>1203</v>
      </c>
      <c r="C389" s="2" t="s">
        <v>1204</v>
      </c>
      <c r="D389" s="2" t="s">
        <v>80</v>
      </c>
      <c r="E389" s="2" t="s">
        <v>14</v>
      </c>
      <c r="F389" s="2" t="s">
        <v>15</v>
      </c>
      <c r="G389" s="2" t="s">
        <v>1205</v>
      </c>
      <c r="H389" s="2" t="s">
        <v>31</v>
      </c>
      <c r="I389" s="2" t="str">
        <f>IFERROR(__xludf.DUMMYFUNCTION("GOOGLETRANSLATE(C389,""fr"",""en"")"),"The guarantees are correct the real plus is assistance 0 km and the duration of vehicle loan in the event of a problem, it must be said that a small negative point exists, it is necessary to be vigilant on the price increases each year .")</f>
        <v>The guarantees are correct the real plus is assistance 0 km and the duration of vehicle loan in the event of a problem, it must be said that a small negative point exists, it is necessary to be vigilant on the price increases each year .</v>
      </c>
    </row>
    <row r="390" ht="15.75" customHeight="1">
      <c r="A390" s="2">
        <v>4.0</v>
      </c>
      <c r="B390" s="2" t="s">
        <v>1206</v>
      </c>
      <c r="C390" s="2" t="s">
        <v>1207</v>
      </c>
      <c r="D390" s="2" t="s">
        <v>13</v>
      </c>
      <c r="E390" s="2" t="s">
        <v>14</v>
      </c>
      <c r="F390" s="2" t="s">
        <v>15</v>
      </c>
      <c r="G390" s="2" t="s">
        <v>138</v>
      </c>
      <c r="H390" s="2" t="s">
        <v>72</v>
      </c>
      <c r="I390" s="2" t="str">
        <f>IFERROR(__xludf.DUMMYFUNCTION("GOOGLETRANSLATE(C390,""fr"",""en"")"),"Effective simple to understand more correct price than the rest of the insurer, which is why I advise this insurance and that all my car contracts are here")</f>
        <v>Effective simple to understand more correct price than the rest of the insurer, which is why I advise this insurance and that all my car contracts are here</v>
      </c>
    </row>
    <row r="391" ht="15.75" customHeight="1">
      <c r="A391" s="2">
        <v>1.0</v>
      </c>
      <c r="B391" s="2" t="s">
        <v>1208</v>
      </c>
      <c r="C391" s="2" t="s">
        <v>1209</v>
      </c>
      <c r="D391" s="2" t="s">
        <v>121</v>
      </c>
      <c r="E391" s="2" t="s">
        <v>85</v>
      </c>
      <c r="F391" s="2" t="s">
        <v>15</v>
      </c>
      <c r="G391" s="2" t="s">
        <v>1210</v>
      </c>
      <c r="H391" s="2" t="s">
        <v>37</v>
      </c>
      <c r="I391" s="2" t="str">
        <f>IFERROR(__xludf.DUMMYFUNCTION("GOOGLETRANSLATE(C391,""fr"",""en"")"),"I had a claim due to the storm the expert of this insurance made me pass for a liar. The assurance of course and for her part it is a shame to have such a sinister and not want to compensate me more. My allor housing contract that this disaster has taken "&amp;"place.demain I will terminate my car insurance who and also with them .ma daughter has a housing contract she will also terminate it as well as my sister what is this insurance to flee. will ask for a counter expertise and I will go so far to prove EU I a"&amp;"m not a liar. A advice does not go to Groupama he will take your contributions and once you have a disaster goodbye. they were not serious. Alllar follow my advice to flee this insurance")</f>
        <v>I had a claim due to the storm the expert of this insurance made me pass for a liar. The assurance of course and for her part it is a shame to have such a sinister and not want to compensate me more. My allor housing contract that this disaster has taken place.demain I will terminate my car insurance who and also with them .ma daughter has a housing contract she will also terminate it as well as my sister what is this insurance to flee. will ask for a counter expertise and I will go so far to prove EU I am not a liar. A advice does not go to Groupama he will take your contributions and once you have a disaster goodbye. they were not serious. Alllar follow my advice to flee this insurance</v>
      </c>
    </row>
    <row r="392" ht="15.75" customHeight="1">
      <c r="A392" s="2">
        <v>1.0</v>
      </c>
      <c r="B392" s="2" t="s">
        <v>1211</v>
      </c>
      <c r="C392" s="2" t="s">
        <v>1212</v>
      </c>
      <c r="D392" s="2" t="s">
        <v>24</v>
      </c>
      <c r="E392" s="2" t="s">
        <v>112</v>
      </c>
      <c r="F392" s="2" t="s">
        <v>15</v>
      </c>
      <c r="G392" s="2" t="s">
        <v>117</v>
      </c>
      <c r="H392" s="2" t="s">
        <v>118</v>
      </c>
      <c r="I392" s="2" t="str">
        <f>IFERROR(__xludf.DUMMYFUNCTION("GOOGLETRANSLATE(C392,""fr"",""en"")"),"On stop since July 02, 2019 due to illness, and after 120 days of deficiency, no news of this insurer, I transmitted today a bet remains through my legal protection and awaits the rest. Obvious bad faith and a lack of respect from telephone advisers.")</f>
        <v>On stop since July 02, 2019 due to illness, and after 120 days of deficiency, no news of this insurer, I transmitted today a bet remains through my legal protection and awaits the rest. Obvious bad faith and a lack of respect from telephone advisers.</v>
      </c>
    </row>
    <row r="393" ht="15.75" customHeight="1">
      <c r="A393" s="2">
        <v>4.0</v>
      </c>
      <c r="B393" s="2" t="s">
        <v>1213</v>
      </c>
      <c r="C393" s="2" t="s">
        <v>1214</v>
      </c>
      <c r="D393" s="2" t="s">
        <v>55</v>
      </c>
      <c r="E393" s="2" t="s">
        <v>56</v>
      </c>
      <c r="F393" s="2" t="s">
        <v>15</v>
      </c>
      <c r="G393" s="2" t="s">
        <v>1215</v>
      </c>
      <c r="H393" s="2" t="s">
        <v>68</v>
      </c>
      <c r="I393" s="2" t="str">
        <f>IFERROR(__xludf.DUMMYFUNCTION("GOOGLETRANSLATE(C393,""fr"",""en"")"),"Perfect very practical everything is done from the house and already been insured for a boat there is some tempt the prices are very correct and well explained cordially")</f>
        <v>Perfect very practical everything is done from the house and already been insured for a boat there is some tempt the prices are very correct and well explained cordially</v>
      </c>
    </row>
    <row r="394" ht="15.75" customHeight="1">
      <c r="A394" s="2">
        <v>2.0</v>
      </c>
      <c r="B394" s="2" t="s">
        <v>1216</v>
      </c>
      <c r="C394" s="2" t="s">
        <v>1217</v>
      </c>
      <c r="D394" s="2" t="s">
        <v>1218</v>
      </c>
      <c r="E394" s="2" t="s">
        <v>317</v>
      </c>
      <c r="F394" s="2" t="s">
        <v>15</v>
      </c>
      <c r="G394" s="2" t="s">
        <v>1219</v>
      </c>
      <c r="H394" s="2" t="s">
        <v>118</v>
      </c>
      <c r="I394" s="2" t="str">
        <f>IFERROR(__xludf.DUMMYFUNCTION("GOOGLETRANSLATE(C394,""fr"",""en"")"),"Hello,
Customer service refuses to look in front !!! Refuse to hear things, do not answer on the phone, send letters without leaving the contact details to answer !!!!
go through")</f>
        <v>Hello,
Customer service refuses to look in front !!! Refuse to hear things, do not answer on the phone, send letters without leaving the contact details to answer !!!!
go through</v>
      </c>
    </row>
    <row r="395" ht="15.75" customHeight="1">
      <c r="A395" s="2">
        <v>5.0</v>
      </c>
      <c r="B395" s="2" t="s">
        <v>1220</v>
      </c>
      <c r="C395" s="2" t="s">
        <v>1221</v>
      </c>
      <c r="D395" s="2" t="s">
        <v>1222</v>
      </c>
      <c r="E395" s="2" t="s">
        <v>56</v>
      </c>
      <c r="F395" s="2" t="s">
        <v>15</v>
      </c>
      <c r="G395" s="2" t="s">
        <v>1223</v>
      </c>
      <c r="H395" s="2" t="s">
        <v>995</v>
      </c>
      <c r="I395" s="2" t="str">
        <f>IFERROR(__xludf.DUMMYFUNCTION("GOOGLETRANSLATE(C395,""fr"",""en"")"),"Already, when I take my insurance, it was super fast and easy. All by internet, the site is super well done and clear. Unfortunately, some time I had a disaster and there too, really nothing to say, fast management, attentive advisers. I recommend Peyrac "&amp;"Insurance")</f>
        <v>Already, when I take my insurance, it was super fast and easy. All by internet, the site is super well done and clear. Unfortunately, some time I had a disaster and there too, really nothing to say, fast management, attentive advisers. I recommend Peyrac Insurance</v>
      </c>
    </row>
    <row r="396" ht="15.75" customHeight="1">
      <c r="A396" s="2">
        <v>5.0</v>
      </c>
      <c r="B396" s="2" t="s">
        <v>1224</v>
      </c>
      <c r="C396" s="2" t="s">
        <v>1225</v>
      </c>
      <c r="D396" s="2" t="s">
        <v>13</v>
      </c>
      <c r="E396" s="2" t="s">
        <v>14</v>
      </c>
      <c r="F396" s="2" t="s">
        <v>15</v>
      </c>
      <c r="G396" s="2" t="s">
        <v>1226</v>
      </c>
      <c r="H396" s="2" t="s">
        <v>68</v>
      </c>
      <c r="I396" s="2" t="str">
        <f>IFERROR(__xludf.DUMMYFUNCTION("GOOGLETRANSLATE(C396,""fr"",""en"")"),"Practical, ease of online transaction, zero paper, ecological approach. Competitive rates, speed of contractualization. Monthly payments adapted to my situation.")</f>
        <v>Practical, ease of online transaction, zero paper, ecological approach. Competitive rates, speed of contractualization. Monthly payments adapted to my situation.</v>
      </c>
    </row>
    <row r="397" ht="15.75" customHeight="1">
      <c r="A397" s="2">
        <v>3.0</v>
      </c>
      <c r="B397" s="2" t="s">
        <v>1227</v>
      </c>
      <c r="C397" s="2" t="s">
        <v>1228</v>
      </c>
      <c r="D397" s="2" t="s">
        <v>34</v>
      </c>
      <c r="E397" s="2" t="s">
        <v>35</v>
      </c>
      <c r="F397" s="2" t="s">
        <v>15</v>
      </c>
      <c r="G397" s="2" t="s">
        <v>1229</v>
      </c>
      <c r="H397" s="2" t="s">
        <v>27</v>
      </c>
      <c r="I397" s="2" t="str">
        <f>IFERROR(__xludf.DUMMYFUNCTION("GOOGLETRANSLATE(C397,""fr"",""en"")"),"I was very well informed by the Gwendal salesperson who was very professional and helped me in my efforts. Excellent interpersonal skills, courteous, very kind. I thank him.")</f>
        <v>I was very well informed by the Gwendal salesperson who was very professional and helped me in my efforts. Excellent interpersonal skills, courteous, very kind. I thank him.</v>
      </c>
    </row>
    <row r="398" ht="15.75" customHeight="1">
      <c r="A398" s="2">
        <v>5.0</v>
      </c>
      <c r="B398" s="2" t="s">
        <v>1230</v>
      </c>
      <c r="C398" s="2" t="s">
        <v>1231</v>
      </c>
      <c r="D398" s="2" t="s">
        <v>13</v>
      </c>
      <c r="E398" s="2" t="s">
        <v>14</v>
      </c>
      <c r="F398" s="2" t="s">
        <v>15</v>
      </c>
      <c r="G398" s="2" t="s">
        <v>686</v>
      </c>
      <c r="H398" s="2" t="s">
        <v>72</v>
      </c>
      <c r="I398" s="2" t="str">
        <f>IFERROR(__xludf.DUMMYFUNCTION("GOOGLETRANSLATE(C398,""fr"",""en"")"),"I am satisfied with the service, very reasonable price, I highly recommend
I will advise my whole family to secure their vehicles at home")</f>
        <v>I am satisfied with the service, very reasonable price, I highly recommend
I will advise my whole family to secure their vehicles at home</v>
      </c>
    </row>
    <row r="399" ht="15.75" customHeight="1">
      <c r="A399" s="2">
        <v>1.0</v>
      </c>
      <c r="B399" s="2" t="s">
        <v>1232</v>
      </c>
      <c r="C399" s="2" t="s">
        <v>1233</v>
      </c>
      <c r="D399" s="2" t="s">
        <v>34</v>
      </c>
      <c r="E399" s="2" t="s">
        <v>35</v>
      </c>
      <c r="F399" s="2" t="s">
        <v>15</v>
      </c>
      <c r="G399" s="2" t="s">
        <v>1234</v>
      </c>
      <c r="H399" s="2" t="s">
        <v>313</v>
      </c>
      <c r="I399" s="2" t="str">
        <f>IFERROR(__xludf.DUMMYFUNCTION("GOOGLETRANSLATE(C399,""fr"",""en"")"),"very very mismanagement just after membership .. I really regret this membership
I have already tested 3 mutuals, but this experience is really something else (I note 1/20)
The 1 is for communication before membership")</f>
        <v>very very mismanagement just after membership .. I really regret this membership
I have already tested 3 mutuals, but this experience is really something else (I note 1/20)
The 1 is for communication before membership</v>
      </c>
    </row>
    <row r="400" ht="15.75" customHeight="1">
      <c r="A400" s="2">
        <v>4.0</v>
      </c>
      <c r="B400" s="2" t="s">
        <v>1235</v>
      </c>
      <c r="C400" s="2" t="s">
        <v>1236</v>
      </c>
      <c r="D400" s="2" t="s">
        <v>13</v>
      </c>
      <c r="E400" s="2" t="s">
        <v>14</v>
      </c>
      <c r="F400" s="2" t="s">
        <v>15</v>
      </c>
      <c r="G400" s="2" t="s">
        <v>98</v>
      </c>
      <c r="H400" s="2" t="s">
        <v>99</v>
      </c>
      <c r="I400" s="2" t="str">
        <f>IFERROR(__xludf.DUMMYFUNCTION("GOOGLETRANSLATE(C400,""fr"",""en"")"),"Fast and clear insurance I was already insured for a golf 6 without incident so I come back with my eyes closed I would recommend you to the family or friends without worries")</f>
        <v>Fast and clear insurance I was already insured for a golf 6 without incident so I come back with my eyes closed I would recommend you to the family or friends without worries</v>
      </c>
    </row>
    <row r="401" ht="15.75" customHeight="1">
      <c r="A401" s="2">
        <v>1.0</v>
      </c>
      <c r="B401" s="2" t="s">
        <v>1237</v>
      </c>
      <c r="C401" s="2" t="s">
        <v>1238</v>
      </c>
      <c r="D401" s="2" t="s">
        <v>308</v>
      </c>
      <c r="E401" s="2" t="s">
        <v>25</v>
      </c>
      <c r="F401" s="2" t="s">
        <v>15</v>
      </c>
      <c r="G401" s="2" t="s">
        <v>309</v>
      </c>
      <c r="H401" s="2" t="s">
        <v>16</v>
      </c>
      <c r="I401" s="2" t="str">
        <f>IFERROR(__xludf.DUMMYFUNCTION("GOOGLETRANSLATE(C401,""fr"",""en"")"),"We are in the case of a succession and await the payment of funds ..... without any response from the Allianz headquarters in Strasbourg. The coronavirus had to decimate the succession managers. ??????")</f>
        <v>We are in the case of a succession and await the payment of funds ..... without any response from the Allianz headquarters in Strasbourg. The coronavirus had to decimate the succession managers. ??????</v>
      </c>
    </row>
    <row r="402" ht="15.75" customHeight="1">
      <c r="A402" s="2">
        <v>5.0</v>
      </c>
      <c r="B402" s="2" t="s">
        <v>1239</v>
      </c>
      <c r="C402" s="2" t="s">
        <v>1240</v>
      </c>
      <c r="D402" s="2" t="s">
        <v>13</v>
      </c>
      <c r="E402" s="2" t="s">
        <v>14</v>
      </c>
      <c r="F402" s="2" t="s">
        <v>15</v>
      </c>
      <c r="G402" s="2" t="s">
        <v>1241</v>
      </c>
      <c r="H402" s="2" t="s">
        <v>99</v>
      </c>
      <c r="I402" s="2" t="str">
        <f>IFERROR(__xludf.DUMMYFUNCTION("GOOGLETRANSLATE(C402,""fr"",""en"")"),"I am currently satisfied with the service and the speed and the ease of online subscription. I did not have an apparent difficulty in this subscription.")</f>
        <v>I am currently satisfied with the service and the speed and the ease of online subscription. I did not have an apparent difficulty in this subscription.</v>
      </c>
    </row>
    <row r="403" ht="15.75" customHeight="1">
      <c r="A403" s="2">
        <v>5.0</v>
      </c>
      <c r="B403" s="2" t="s">
        <v>1242</v>
      </c>
      <c r="C403" s="2" t="s">
        <v>1243</v>
      </c>
      <c r="D403" s="2" t="s">
        <v>13</v>
      </c>
      <c r="E403" s="2" t="s">
        <v>14</v>
      </c>
      <c r="F403" s="2" t="s">
        <v>15</v>
      </c>
      <c r="G403" s="2" t="s">
        <v>1244</v>
      </c>
      <c r="H403" s="2" t="s">
        <v>166</v>
      </c>
      <c r="I403" s="2" t="str">
        <f>IFERROR(__xludf.DUMMYFUNCTION("GOOGLETRANSLATE(C403,""fr"",""en"")"),"I am satisfied with the Direct Insurance services and the quality of the relationship with customer service.
No other comments to express for the moment.")</f>
        <v>I am satisfied with the Direct Insurance services and the quality of the relationship with customer service.
No other comments to express for the moment.</v>
      </c>
    </row>
    <row r="404" ht="15.75" customHeight="1">
      <c r="A404" s="2">
        <v>3.0</v>
      </c>
      <c r="B404" s="2" t="s">
        <v>1245</v>
      </c>
      <c r="C404" s="2" t="s">
        <v>1246</v>
      </c>
      <c r="D404" s="2" t="s">
        <v>13</v>
      </c>
      <c r="E404" s="2" t="s">
        <v>14</v>
      </c>
      <c r="F404" s="2" t="s">
        <v>15</v>
      </c>
      <c r="G404" s="2" t="s">
        <v>1247</v>
      </c>
      <c r="H404" s="2" t="s">
        <v>229</v>
      </c>
      <c r="I404" s="2" t="str">
        <f>IFERROR(__xludf.DUMMYFUNCTION("GOOGLETRANSLATE(C404,""fr"",""en"")"),"When we are already a customer we are less interesting")</f>
        <v>When we are already a customer we are less interesting</v>
      </c>
    </row>
    <row r="405" ht="15.75" customHeight="1">
      <c r="A405" s="2">
        <v>3.0</v>
      </c>
      <c r="B405" s="2" t="s">
        <v>1248</v>
      </c>
      <c r="C405" s="2" t="s">
        <v>1249</v>
      </c>
      <c r="D405" s="2" t="s">
        <v>1250</v>
      </c>
      <c r="E405" s="2" t="s">
        <v>112</v>
      </c>
      <c r="F405" s="2" t="s">
        <v>15</v>
      </c>
      <c r="G405" s="2" t="s">
        <v>1120</v>
      </c>
      <c r="H405" s="2" t="s">
        <v>131</v>
      </c>
      <c r="I405" s="2" t="str">
        <f>IFERROR(__xludf.DUMMYFUNCTION("GOOGLETRANSLATE(C405,""fr"",""en"")"),"Hello everyone, I think the best way to make it heard by Naoassur Suravenir is to do a group action in court .... For my part I took a lawyer specializing in insurance ...
I am available for a group action!")</f>
        <v>Hello everyone, I think the best way to make it heard by Naoassur Suravenir is to do a group action in court .... For my part I took a lawyer specializing in insurance ...
I am available for a group action!</v>
      </c>
    </row>
    <row r="406" ht="15.75" customHeight="1">
      <c r="A406" s="2">
        <v>1.0</v>
      </c>
      <c r="B406" s="2" t="s">
        <v>1251</v>
      </c>
      <c r="C406" s="2" t="s">
        <v>1252</v>
      </c>
      <c r="D406" s="2" t="s">
        <v>43</v>
      </c>
      <c r="E406" s="2" t="s">
        <v>14</v>
      </c>
      <c r="F406" s="2" t="s">
        <v>15</v>
      </c>
      <c r="G406" s="2" t="s">
        <v>1253</v>
      </c>
      <c r="H406" s="2" t="s">
        <v>371</v>
      </c>
      <c r="I406" s="2" t="str">
        <f>IFERROR(__xludf.DUMMYFUNCTION("GOOGLETRANSLATE(C406,""fr"",""en"")"),"Nothing more to say, except that I do not advise to insure themselves at home, especially since the contract was not put in my name but that of my mother. Why, they said it's like that with us.")</f>
        <v>Nothing more to say, except that I do not advise to insure themselves at home, especially since the contract was not put in my name but that of my mother. Why, they said it's like that with us.</v>
      </c>
    </row>
    <row r="407" ht="15.75" customHeight="1">
      <c r="A407" s="2">
        <v>1.0</v>
      </c>
      <c r="B407" s="2" t="s">
        <v>1254</v>
      </c>
      <c r="C407" s="2" t="s">
        <v>1255</v>
      </c>
      <c r="D407" s="2" t="s">
        <v>352</v>
      </c>
      <c r="E407" s="2" t="s">
        <v>14</v>
      </c>
      <c r="F407" s="2" t="s">
        <v>15</v>
      </c>
      <c r="G407" s="2" t="s">
        <v>689</v>
      </c>
      <c r="H407" s="2" t="s">
        <v>99</v>
      </c>
      <c r="I407" s="2" t="str">
        <f>IFERROR(__xludf.DUMMYFUNCTION("GOOGLETRANSLATE(C407,""fr"",""en"")"),"Insured for 20 years at home 1 Auto sinister which takes fire because of a short circuit on battery then fire which spends on the hedge of the neighbor and my shelter I call the service since February and no progress or for me Neither for my neighbor in s"&amp;"hort incompetent person on the phone ... I do not continue I am disgusted ...
I do not recommend this insurance ...")</f>
        <v>Insured for 20 years at home 1 Auto sinister which takes fire because of a short circuit on battery then fire which spends on the hedge of the neighbor and my shelter I call the service since February and no progress or for me Neither for my neighbor in short incompetent person on the phone ... I do not continue I am disgusted ...
I do not recommend this insurance ...</v>
      </c>
    </row>
    <row r="408" ht="15.75" customHeight="1">
      <c r="A408" s="2">
        <v>1.0</v>
      </c>
      <c r="B408" s="2" t="s">
        <v>1256</v>
      </c>
      <c r="C408" s="2" t="s">
        <v>1257</v>
      </c>
      <c r="D408" s="2" t="s">
        <v>97</v>
      </c>
      <c r="E408" s="2" t="s">
        <v>56</v>
      </c>
      <c r="F408" s="2" t="s">
        <v>15</v>
      </c>
      <c r="G408" s="2" t="s">
        <v>99</v>
      </c>
      <c r="H408" s="2" t="s">
        <v>99</v>
      </c>
      <c r="I408" s="2" t="str">
        <f>IFERROR(__xludf.DUMMYFUNCTION("GOOGLETRANSLATE(C408,""fr"",""en"")"),"Hello,
I bought a 125 cm3, I took the insurance directly from the dealer no problem that went super well! But when I compared the prices with my Macif insurer, it was twice as expensive! For the same thing!
Specialist in two wheels and low prices! ....."&amp;"
Cordially,")</f>
        <v>Hello,
I bought a 125 cm3, I took the insurance directly from the dealer no problem that went super well! But when I compared the prices with my Macif insurer, it was twice as expensive! For the same thing!
Specialist in two wheels and low prices! .....
Cordially,</v>
      </c>
    </row>
    <row r="409" ht="15.75" customHeight="1">
      <c r="A409" s="2">
        <v>5.0</v>
      </c>
      <c r="B409" s="2" t="s">
        <v>1258</v>
      </c>
      <c r="C409" s="2" t="s">
        <v>1259</v>
      </c>
      <c r="D409" s="2" t="s">
        <v>43</v>
      </c>
      <c r="E409" s="2" t="s">
        <v>14</v>
      </c>
      <c r="F409" s="2" t="s">
        <v>15</v>
      </c>
      <c r="G409" s="2" t="s">
        <v>646</v>
      </c>
      <c r="H409" s="2" t="s">
        <v>52</v>
      </c>
      <c r="I409" s="2" t="str">
        <f>IFERROR(__xludf.DUMMYFUNCTION("GOOGLETRANSLATE(C409,""fr"",""en"")"),"Service satisfied
Good price
Listening staff
Reachable quickly by phone
Very accessible site
Very good support for customers
very responsive")</f>
        <v>Service satisfied
Good price
Listening staff
Reachable quickly by phone
Very accessible site
Very good support for customers
very responsive</v>
      </c>
    </row>
    <row r="410" ht="15.75" customHeight="1">
      <c r="A410" s="2">
        <v>4.0</v>
      </c>
      <c r="B410" s="2" t="s">
        <v>1260</v>
      </c>
      <c r="C410" s="2" t="s">
        <v>1261</v>
      </c>
      <c r="D410" s="2" t="s">
        <v>179</v>
      </c>
      <c r="E410" s="2" t="s">
        <v>14</v>
      </c>
      <c r="F410" s="2" t="s">
        <v>15</v>
      </c>
      <c r="G410" s="2" t="s">
        <v>1262</v>
      </c>
      <c r="H410" s="2" t="s">
        <v>371</v>
      </c>
      <c r="I410" s="2" t="str">
        <f>IFERROR(__xludf.DUMMYFUNCTION("GOOGLETRANSLATE(C410,""fr"",""en"")"),"Compared to other insurances I am rather satisfied given the various quotes received by other automotive insurance companies.")</f>
        <v>Compared to other insurances I am rather satisfied given the various quotes received by other automotive insurance companies.</v>
      </c>
    </row>
    <row r="411" ht="15.75" customHeight="1">
      <c r="A411" s="2">
        <v>4.0</v>
      </c>
      <c r="B411" s="2" t="s">
        <v>1263</v>
      </c>
      <c r="C411" s="2" t="s">
        <v>1264</v>
      </c>
      <c r="D411" s="2" t="s">
        <v>352</v>
      </c>
      <c r="E411" s="2" t="s">
        <v>14</v>
      </c>
      <c r="F411" s="2" t="s">
        <v>15</v>
      </c>
      <c r="G411" s="2" t="s">
        <v>126</v>
      </c>
      <c r="H411" s="2" t="s">
        <v>72</v>
      </c>
      <c r="I411" s="2" t="str">
        <f>IFERROR(__xludf.DUMMYFUNCTION("GOOGLETRANSLATE(C411,""fr"",""en"")"),"No complaints on the services offered by GMF, whether for housing, car or health. Rather cheap, very responsive. And above all, easily reachable! And that is really not the case for all insurance ...
")</f>
        <v>No complaints on the services offered by GMF, whether for housing, car or health. Rather cheap, very responsive. And above all, easily reachable! And that is really not the case for all insurance ...
</v>
      </c>
    </row>
    <row r="412" ht="15.75" customHeight="1">
      <c r="A412" s="2">
        <v>4.0</v>
      </c>
      <c r="B412" s="2" t="s">
        <v>1265</v>
      </c>
      <c r="C412" s="2" t="s">
        <v>1266</v>
      </c>
      <c r="D412" s="2" t="s">
        <v>13</v>
      </c>
      <c r="E412" s="2" t="s">
        <v>14</v>
      </c>
      <c r="F412" s="2" t="s">
        <v>15</v>
      </c>
      <c r="G412" s="2" t="s">
        <v>1226</v>
      </c>
      <c r="H412" s="2" t="s">
        <v>68</v>
      </c>
      <c r="I412" s="2" t="str">
        <f>IFERROR(__xludf.DUMMYFUNCTION("GOOGLETRANSLATE(C412,""fr"",""en"")"),"Simple and practical, interesting price, remains to be seen how it will happen in the case of a disaster. How to make the Declaration, to whom, in short, a lot of questions.")</f>
        <v>Simple and practical, interesting price, remains to be seen how it will happen in the case of a disaster. How to make the Declaration, to whom, in short, a lot of questions.</v>
      </c>
    </row>
    <row r="413" ht="15.75" customHeight="1">
      <c r="A413" s="2">
        <v>2.0</v>
      </c>
      <c r="B413" s="2" t="s">
        <v>1267</v>
      </c>
      <c r="C413" s="2" t="s">
        <v>1268</v>
      </c>
      <c r="D413" s="2" t="s">
        <v>106</v>
      </c>
      <c r="E413" s="2" t="s">
        <v>85</v>
      </c>
      <c r="F413" s="2" t="s">
        <v>15</v>
      </c>
      <c r="G413" s="2" t="s">
        <v>1269</v>
      </c>
      <c r="H413" s="2" t="s">
        <v>31</v>
      </c>
      <c r="I413" s="2" t="str">
        <f>IFERROR(__xludf.DUMMYFUNCTION("GOOGLETRANSLATE(C413,""fr"",""en"")"),"After 20 years of loyalty, my mother is undergoing a disaster in the slab. It's been almost 3 months, the leak was invisible and resulted in too much damage. Tiled and earthenware, mold that appears in the wall, foul odor.
Pacifica decides to mandate an "&amp;"expert. Texa Expertise: which sets me expertise in Visio Conference, I wait a few hours before the expert
Contact because he was in RTT .....
A real deaf dialogue, he refused to take care of the damage following the claim. He ends up asking me for a quo"&amp;"te from the work but refuses to take charge of the repair !!! In fact, this company is no more and no less than an expertise company that saves Pacifica on the back of the insured. And today, they still want an expertise but there!
My mom who has health "&amp;"problems lives in a house without being able to use her kitchen and in the smell of mold, while her state of health is fragile.
I will seek new insurance for my mom as soon as this file will be settled.
TO FLEE.")</f>
        <v>After 20 years of loyalty, my mother is undergoing a disaster in the slab. It's been almost 3 months, the leak was invisible and resulted in too much damage. Tiled and earthenware, mold that appears in the wall, foul odor.
Pacifica decides to mandate an expert. Texa Expertise: which sets me expertise in Visio Conference, I wait a few hours before the expert
Contact because he was in RTT .....
A real deaf dialogue, he refused to take care of the damage following the claim. He ends up asking me for a quote from the work but refuses to take charge of the repair !!! In fact, this company is no more and no less than an expertise company that saves Pacifica on the back of the insured. And today, they still want an expertise but there!
My mom who has health problems lives in a house without being able to use her kitchen and in the smell of mold, while her state of health is fragile.
I will seek new insurance for my mom as soon as this file will be settled.
TO FLEE.</v>
      </c>
    </row>
    <row r="414" ht="15.75" customHeight="1">
      <c r="A414" s="2">
        <v>1.0</v>
      </c>
      <c r="B414" s="2" t="s">
        <v>1270</v>
      </c>
      <c r="C414" s="2" t="s">
        <v>1271</v>
      </c>
      <c r="D414" s="2" t="s">
        <v>43</v>
      </c>
      <c r="E414" s="2" t="s">
        <v>14</v>
      </c>
      <c r="F414" s="2" t="s">
        <v>15</v>
      </c>
      <c r="G414" s="2" t="s">
        <v>1272</v>
      </c>
      <c r="H414" s="2" t="s">
        <v>264</v>
      </c>
      <c r="I414" s="2" t="str">
        <f>IFERROR(__xludf.DUMMYFUNCTION("GOOGLETRANSLATE(C414,""fr"",""en"")"),"To flee !!!!")</f>
        <v>To flee !!!!</v>
      </c>
    </row>
    <row r="415" ht="15.75" customHeight="1">
      <c r="A415" s="2">
        <v>1.0</v>
      </c>
      <c r="B415" s="2" t="s">
        <v>1273</v>
      </c>
      <c r="C415" s="2" t="s">
        <v>1274</v>
      </c>
      <c r="D415" s="2" t="s">
        <v>43</v>
      </c>
      <c r="E415" s="2" t="s">
        <v>14</v>
      </c>
      <c r="F415" s="2" t="s">
        <v>15</v>
      </c>
      <c r="G415" s="2" t="s">
        <v>1275</v>
      </c>
      <c r="H415" s="2" t="s">
        <v>319</v>
      </c>
      <c r="I415" s="2" t="str">
        <f>IFERROR(__xludf.DUMMYFUNCTION("GOOGLETRANSLATE(C415,""fr"",""en"")"),"Insurance which only increases its price, they terminated my contract for unpaid when I paid my invoice on time and now ask me to reimburse the entire sum of insurance without being insured (while I I have already paid for several months).")</f>
        <v>Insurance which only increases its price, they terminated my contract for unpaid when I paid my invoice on time and now ask me to reimburse the entire sum of insurance without being insured (while I I have already paid for several months).</v>
      </c>
    </row>
    <row r="416" ht="15.75" customHeight="1">
      <c r="A416" s="2">
        <v>4.0</v>
      </c>
      <c r="B416" s="2" t="s">
        <v>1276</v>
      </c>
      <c r="C416" s="2" t="s">
        <v>1277</v>
      </c>
      <c r="D416" s="2" t="s">
        <v>448</v>
      </c>
      <c r="E416" s="2" t="s">
        <v>112</v>
      </c>
      <c r="F416" s="2" t="s">
        <v>15</v>
      </c>
      <c r="G416" s="2" t="s">
        <v>1278</v>
      </c>
      <c r="H416" s="2" t="s">
        <v>192</v>
      </c>
      <c r="I416" s="2" t="str">
        <f>IFERROR(__xludf.DUMMYFUNCTION("GOOGLETRANSLATE(C416,""fr"",""en"")"),"I am very satisfied with the speed and communication exchanged with the services. For the quote and the start of the mortgage loan insurance contract.")</f>
        <v>I am very satisfied with the speed and communication exchanged with the services. For the quote and the start of the mortgage loan insurance contract.</v>
      </c>
    </row>
    <row r="417" ht="15.75" customHeight="1">
      <c r="A417" s="2">
        <v>5.0</v>
      </c>
      <c r="B417" s="2" t="s">
        <v>1279</v>
      </c>
      <c r="C417" s="2" t="s">
        <v>1280</v>
      </c>
      <c r="D417" s="2" t="s">
        <v>43</v>
      </c>
      <c r="E417" s="2" t="s">
        <v>14</v>
      </c>
      <c r="F417" s="2" t="s">
        <v>15</v>
      </c>
      <c r="G417" s="2" t="s">
        <v>1281</v>
      </c>
      <c r="H417" s="2" t="s">
        <v>236</v>
      </c>
      <c r="I417" s="2" t="str">
        <f>IFERROR(__xludf.DUMMYFUNCTION("GOOGLETRANSLATE(C417,""fr"",""en"")"),"Insurers we have by phone are very professional. They take the time to explain the guarantees related to contracts and are very reactive.
For prices: I am very satisfied because when I see that I have topissimal guarantees and that I pay 60 € less per mo"&amp;"nth when the Matmut assumed me with basic guarantees, I did not have the options subscribed to the 'Olivier for an exorbitant price and each time I called you never treat my request ...
What one thing to say: thank you the olive tree! Finally human and c"&amp;"ompetent people! I highly recommend!")</f>
        <v>Insurers we have by phone are very professional. They take the time to explain the guarantees related to contracts and are very reactive.
For prices: I am very satisfied because when I see that I have topissimal guarantees and that I pay 60 € less per month when the Matmut assumed me with basic guarantees, I did not have the options subscribed to the 'Olivier for an exorbitant price and each time I called you never treat my request ...
What one thing to say: thank you the olive tree! Finally human and competent people! I highly recommend!</v>
      </c>
    </row>
    <row r="418" ht="15.75" customHeight="1">
      <c r="A418" s="2">
        <v>5.0</v>
      </c>
      <c r="B418" s="2" t="s">
        <v>1282</v>
      </c>
      <c r="C418" s="2" t="s">
        <v>1283</v>
      </c>
      <c r="D418" s="2" t="s">
        <v>34</v>
      </c>
      <c r="E418" s="2" t="s">
        <v>35</v>
      </c>
      <c r="F418" s="2" t="s">
        <v>15</v>
      </c>
      <c r="G418" s="2" t="s">
        <v>1284</v>
      </c>
      <c r="H418" s="2" t="s">
        <v>150</v>
      </c>
      <c r="I418" s="2" t="str">
        <f>IFERROR(__xludf.DUMMYFUNCTION("GOOGLETRANSLATE(C418,""fr"",""en"")"),"Experts in their fields nothing to say. Solicit after my request immediately call quote submitted good explanations as a professional ... satisfied with my contract. thank you.")</f>
        <v>Experts in their fields nothing to say. Solicit after my request immediately call quote submitted good explanations as a professional ... satisfied with my contract. thank you.</v>
      </c>
    </row>
    <row r="419" ht="15.75" customHeight="1">
      <c r="A419" s="2">
        <v>5.0</v>
      </c>
      <c r="B419" s="2" t="s">
        <v>1285</v>
      </c>
      <c r="C419" s="2" t="s">
        <v>1286</v>
      </c>
      <c r="D419" s="2" t="s">
        <v>34</v>
      </c>
      <c r="E419" s="2" t="s">
        <v>35</v>
      </c>
      <c r="F419" s="2" t="s">
        <v>15</v>
      </c>
      <c r="G419" s="2" t="s">
        <v>471</v>
      </c>
      <c r="H419" s="2" t="s">
        <v>37</v>
      </c>
      <c r="I419" s="2" t="str">
        <f>IFERROR(__xludf.DUMMYFUNCTION("GOOGLETRANSLATE(C419,""fr"",""en"")"),"I am very satisfied with Santiane, and the people who contacted me helped me fill out the documents, and reported the advantages to me.")</f>
        <v>I am very satisfied with Santiane, and the people who contacted me helped me fill out the documents, and reported the advantages to me.</v>
      </c>
    </row>
    <row r="420" ht="15.75" customHeight="1">
      <c r="A420" s="2">
        <v>1.0</v>
      </c>
      <c r="B420" s="2" t="s">
        <v>1287</v>
      </c>
      <c r="C420" s="2" t="s">
        <v>1288</v>
      </c>
      <c r="D420" s="2" t="s">
        <v>156</v>
      </c>
      <c r="E420" s="2" t="s">
        <v>14</v>
      </c>
      <c r="F420" s="2" t="s">
        <v>15</v>
      </c>
      <c r="G420" s="2" t="s">
        <v>1289</v>
      </c>
      <c r="H420" s="2" t="s">
        <v>236</v>
      </c>
      <c r="I420" s="2" t="str">
        <f>IFERROR(__xludf.DUMMYFUNCTION("GOOGLETRANSLATE(C420,""fr"",""en"")"),"After two responsible material accidents, the Maaf resilled you. In addition after the accidents I underwent an increase in what I had to pay before finally being terminated.")</f>
        <v>After two responsible material accidents, the Maaf resilled you. In addition after the accidents I underwent an increase in what I had to pay before finally being terminated.</v>
      </c>
    </row>
    <row r="421" ht="15.75" customHeight="1">
      <c r="A421" s="2">
        <v>1.0</v>
      </c>
      <c r="B421" s="2" t="s">
        <v>1290</v>
      </c>
      <c r="C421" s="2" t="s">
        <v>1291</v>
      </c>
      <c r="D421" s="2" t="s">
        <v>559</v>
      </c>
      <c r="E421" s="2" t="s">
        <v>317</v>
      </c>
      <c r="F421" s="2" t="s">
        <v>15</v>
      </c>
      <c r="G421" s="2" t="s">
        <v>1292</v>
      </c>
      <c r="H421" s="2" t="s">
        <v>185</v>
      </c>
      <c r="I421" s="2" t="str">
        <f>IFERROR(__xludf.DUMMYFUNCTION("GOOGLETRANSLATE(C421,""fr"",""en"")"),"business leaders, run away!
If you have taken provident contracts hope never to need it because there begins the obstacle course; As all testimonies denounces it, all artifices are used so as not to or delay the maximum payment of compensation due; I com"&amp;"e forced to use this forum to denounce the incorrect methods of this company and try to make it act")</f>
        <v>business leaders, run away!
If you have taken provident contracts hope never to need it because there begins the obstacle course; As all testimonies denounces it, all artifices are used so as not to or delay the maximum payment of compensation due; I come forced to use this forum to denounce the incorrect methods of this company and try to make it act</v>
      </c>
    </row>
    <row r="422" ht="15.75" customHeight="1">
      <c r="A422" s="2">
        <v>5.0</v>
      </c>
      <c r="B422" s="2" t="s">
        <v>1293</v>
      </c>
      <c r="C422" s="2" t="s">
        <v>1294</v>
      </c>
      <c r="D422" s="2" t="s">
        <v>97</v>
      </c>
      <c r="E422" s="2" t="s">
        <v>56</v>
      </c>
      <c r="F422" s="2" t="s">
        <v>15</v>
      </c>
      <c r="G422" s="2" t="s">
        <v>1295</v>
      </c>
      <c r="H422" s="2" t="s">
        <v>68</v>
      </c>
      <c r="I422" s="2" t="str">
        <f>IFERROR(__xludf.DUMMYFUNCTION("GOOGLETRANSLATE(C422,""fr"",""en"")"),"It was the company that offered me the best price in view of the guarantees, all companies and mutuals combined. The terms of payment by semester or year -round are very practical.")</f>
        <v>It was the company that offered me the best price in view of the guarantees, all companies and mutuals combined. The terms of payment by semester or year -round are very practical.</v>
      </c>
    </row>
    <row r="423" ht="15.75" customHeight="1">
      <c r="A423" s="2">
        <v>3.0</v>
      </c>
      <c r="B423" s="2" t="s">
        <v>1296</v>
      </c>
      <c r="C423" s="2" t="s">
        <v>1297</v>
      </c>
      <c r="D423" s="2" t="s">
        <v>207</v>
      </c>
      <c r="E423" s="2" t="s">
        <v>35</v>
      </c>
      <c r="F423" s="2" t="s">
        <v>15</v>
      </c>
      <c r="G423" s="2" t="s">
        <v>1298</v>
      </c>
      <c r="H423" s="2" t="s">
        <v>118</v>
      </c>
      <c r="I423" s="2" t="str">
        <f>IFERROR(__xludf.DUMMYFUNCTION("GOOGLETRANSLATE(C423,""fr"",""en"")"),"Mutual business therefore unfortunately not the choice but quality of service 0 !!! I have been waiting for an answer since Monday following a quote for management of glasses We are impossible Thursday to have them at such and do not respond to the email "&amp;"either !! I will go back to my HR service is a shame !!!")</f>
        <v>Mutual business therefore unfortunately not the choice but quality of service 0 !!! I have been waiting for an answer since Monday following a quote for management of glasses We are impossible Thursday to have them at such and do not respond to the email either !! I will go back to my HR service is a shame !!!</v>
      </c>
    </row>
    <row r="424" ht="15.75" customHeight="1">
      <c r="A424" s="2">
        <v>2.0</v>
      </c>
      <c r="B424" s="2" t="s">
        <v>1299</v>
      </c>
      <c r="C424" s="2" t="s">
        <v>1300</v>
      </c>
      <c r="D424" s="2" t="s">
        <v>43</v>
      </c>
      <c r="E424" s="2" t="s">
        <v>14</v>
      </c>
      <c r="F424" s="2" t="s">
        <v>15</v>
      </c>
      <c r="G424" s="2" t="s">
        <v>1301</v>
      </c>
      <c r="H424" s="2" t="s">
        <v>108</v>
      </c>
      <c r="I424" s="2" t="str">
        <f>IFERROR(__xludf.DUMMYFUNCTION("GOOGLETRANSLATE(C424,""fr"",""en"")"),"I sponsored my brother -in -law who signed 2 contracts with them and he made a quote on the internet before. Suddenly he refuses sponsorship. Despite having contacted them they remain on their position and always refuse to sponsor. Therefore I will leave "&amp;"them. They make no commercial effort so here. Hello insurance !!")</f>
        <v>I sponsored my brother -in -law who signed 2 contracts with them and he made a quote on the internet before. Suddenly he refuses sponsorship. Despite having contacted them they remain on their position and always refuse to sponsor. Therefore I will leave them. They make no commercial effort so here. Hello insurance !!</v>
      </c>
    </row>
    <row r="425" ht="15.75" customHeight="1">
      <c r="A425" s="2">
        <v>5.0</v>
      </c>
      <c r="B425" s="2" t="s">
        <v>1302</v>
      </c>
      <c r="C425" s="2" t="s">
        <v>1303</v>
      </c>
      <c r="D425" s="2" t="s">
        <v>43</v>
      </c>
      <c r="E425" s="2" t="s">
        <v>14</v>
      </c>
      <c r="F425" s="2" t="s">
        <v>15</v>
      </c>
      <c r="G425" s="2" t="s">
        <v>1304</v>
      </c>
      <c r="H425" s="2" t="s">
        <v>272</v>
      </c>
      <c r="I425" s="2" t="str">
        <f>IFERROR(__xludf.DUMMYFUNCTION("GOOGLETRANSLATE(C425,""fr"",""en"")"),"Very very correct compared to other insurances that press you to sign I did not feel harassing since I had to ask for a free reminder thank you")</f>
        <v>Very very correct compared to other insurances that press you to sign I did not feel harassing since I had to ask for a free reminder thank you</v>
      </c>
    </row>
    <row r="426" ht="15.75" customHeight="1">
      <c r="A426" s="2">
        <v>3.0</v>
      </c>
      <c r="B426" s="2" t="s">
        <v>1305</v>
      </c>
      <c r="C426" s="2" t="s">
        <v>1306</v>
      </c>
      <c r="D426" s="2" t="s">
        <v>365</v>
      </c>
      <c r="E426" s="2" t="s">
        <v>14</v>
      </c>
      <c r="F426" s="2" t="s">
        <v>15</v>
      </c>
      <c r="G426" s="2" t="s">
        <v>1307</v>
      </c>
      <c r="H426" s="2" t="s">
        <v>1050</v>
      </c>
      <c r="I426" s="2" t="str">
        <f>IFERROR(__xludf.DUMMYFUNCTION("GOOGLETRANSLATE(C426,""fr"",""en"")"),"My son was broken a glass of his car this week. The goal of the thieves (s): to open the car and steal your road bike bought a month ago, value 2000 euros, bike for which the whole family has contributed and from which it was enchanted.
That day he had t"&amp;"o go on a surprise weekend with his girlfriend and cycle with her.")</f>
        <v>My son was broken a glass of his car this week. The goal of the thieves (s): to open the car and steal your road bike bought a month ago, value 2000 euros, bike for which the whole family has contributed and from which it was enchanted.
That day he had to go on a surprise weekend with his girlfriend and cycle with her.</v>
      </c>
    </row>
    <row r="427" ht="15.75" customHeight="1">
      <c r="A427" s="2">
        <v>3.0</v>
      </c>
      <c r="B427" s="2" t="s">
        <v>1308</v>
      </c>
      <c r="C427" s="2" t="s">
        <v>1309</v>
      </c>
      <c r="D427" s="2" t="s">
        <v>116</v>
      </c>
      <c r="E427" s="2" t="s">
        <v>35</v>
      </c>
      <c r="F427" s="2" t="s">
        <v>15</v>
      </c>
      <c r="G427" s="2" t="s">
        <v>1310</v>
      </c>
      <c r="H427" s="2" t="s">
        <v>192</v>
      </c>
      <c r="I427" s="2" t="str">
        <f>IFERROR(__xludf.DUMMYFUNCTION("GOOGLETRANSLATE(C427,""fr"",""en"")"),"Hello, I agree with negative opinions; I left MGEN after 20 years mutual too much and very badly reimbursed. I am at the mage it is a mutual public service which is very good Contribution and reimburse very quickly, I recommend it, I found it on the inter"&amp;"net.")</f>
        <v>Hello, I agree with negative opinions; I left MGEN after 20 years mutual too much and very badly reimbursed. I am at the mage it is a mutual public service which is very good Contribution and reimburse very quickly, I recommend it, I found it on the internet.</v>
      </c>
    </row>
    <row r="428" ht="15.75" customHeight="1">
      <c r="A428" s="2">
        <v>4.0</v>
      </c>
      <c r="B428" s="2" t="s">
        <v>1311</v>
      </c>
      <c r="C428" s="2" t="s">
        <v>1312</v>
      </c>
      <c r="D428" s="2" t="s">
        <v>13</v>
      </c>
      <c r="E428" s="2" t="s">
        <v>14</v>
      </c>
      <c r="F428" s="2" t="s">
        <v>15</v>
      </c>
      <c r="G428" s="2" t="s">
        <v>99</v>
      </c>
      <c r="H428" s="2" t="s">
        <v>99</v>
      </c>
      <c r="I428" s="2" t="str">
        <f>IFERROR(__xludf.DUMMYFUNCTION("GOOGLETRANSLATE(C428,""fr"",""en"")"),"The prices are more than resonable. Easy to make a quote in just a few clicks.
I'm waiting to see if it will be so easy to obtain the contracts with the green sticker")</f>
        <v>The prices are more than resonable. Easy to make a quote in just a few clicks.
I'm waiting to see if it will be so easy to obtain the contracts with the green sticker</v>
      </c>
    </row>
    <row r="429" ht="15.75" customHeight="1">
      <c r="A429" s="2">
        <v>3.0</v>
      </c>
      <c r="B429" s="2" t="s">
        <v>1313</v>
      </c>
      <c r="C429" s="2" t="s">
        <v>1314</v>
      </c>
      <c r="D429" s="2" t="s">
        <v>129</v>
      </c>
      <c r="E429" s="2" t="s">
        <v>35</v>
      </c>
      <c r="F429" s="2" t="s">
        <v>15</v>
      </c>
      <c r="G429" s="2" t="s">
        <v>371</v>
      </c>
      <c r="H429" s="2" t="s">
        <v>371</v>
      </c>
      <c r="I429" s="2" t="str">
        <f>IFERROR(__xludf.DUMMYFUNCTION("GOOGLETRANSLATE(C429,""fr"",""en"")"),"I have been a member of the MGP for 5 years, I left interior because I never managed to find someone competent to solve my reimbursement problems or just my requests for information. I do not encounter any difficulty in the MGP because I go directly to th"&amp;"e Toulouse agency and I have always dealt with dynamic, smiling and competent advisers.")</f>
        <v>I have been a member of the MGP for 5 years, I left interior because I never managed to find someone competent to solve my reimbursement problems or just my requests for information. I do not encounter any difficulty in the MGP because I go directly to the Toulouse agency and I have always dealt with dynamic, smiling and competent advisers.</v>
      </c>
    </row>
    <row r="430" ht="15.75" customHeight="1">
      <c r="A430" s="2">
        <v>4.0</v>
      </c>
      <c r="B430" s="2" t="s">
        <v>1315</v>
      </c>
      <c r="C430" s="2" t="s">
        <v>1316</v>
      </c>
      <c r="D430" s="2" t="s">
        <v>55</v>
      </c>
      <c r="E430" s="2" t="s">
        <v>56</v>
      </c>
      <c r="F430" s="2" t="s">
        <v>15</v>
      </c>
      <c r="G430" s="2" t="s">
        <v>1317</v>
      </c>
      <c r="H430" s="2" t="s">
        <v>272</v>
      </c>
      <c r="I430" s="2" t="str">
        <f>IFERROR(__xludf.DUMMYFUNCTION("GOOGLETRANSLATE(C430,""fr"",""en"")"),"As part of my son's cyclo insurance, I am satisfied with the service, quick, easy to fulfill.
Very correct conditions.
I recommend")</f>
        <v>As part of my son's cyclo insurance, I am satisfied with the service, quick, easy to fulfill.
Very correct conditions.
I recommend</v>
      </c>
    </row>
    <row r="431" ht="15.75" customHeight="1">
      <c r="A431" s="2">
        <v>1.0</v>
      </c>
      <c r="B431" s="2" t="s">
        <v>1318</v>
      </c>
      <c r="C431" s="2" t="s">
        <v>1319</v>
      </c>
      <c r="D431" s="2" t="s">
        <v>13</v>
      </c>
      <c r="E431" s="2" t="s">
        <v>14</v>
      </c>
      <c r="F431" s="2" t="s">
        <v>15</v>
      </c>
      <c r="G431" s="2" t="s">
        <v>779</v>
      </c>
      <c r="H431" s="2" t="s">
        <v>166</v>
      </c>
      <c r="I431" s="2" t="str">
        <f>IFERROR(__xludf.DUMMYFUNCTION("GOOGLETRANSLATE(C431,""fr"",""en"")"),"I really advise you direct insurance (now Avanssur)
For 6 years I paid a serenity pack at 110 € per month for a 320D. This serenity pack turned into a stress pack during a non -responsible disaster (police pv + video of the accident recorded). Direct Ins"&amp;"urance (Avanssur) did not want to take care of. It is really shameful knowing that for 6 years I have declared only one non -responsible claim and above all it is opposing insurance that will pay the damage, Direct Insurance had only exercised the appeal "&amp;"against the 'Author of the facts.
Direct Insurance (Avanssur) Not only did they refuse to appeal against the opposing party but also terminated my contract for reason (risk worsening).
I have initiated of course a legal proceedings against them and be"&amp;" reassured it will not only take the material but also moral damage.")</f>
        <v>I really advise you direct insurance (now Avanssur)
For 6 years I paid a serenity pack at 110 € per month for a 320D. This serenity pack turned into a stress pack during a non -responsible disaster (police pv + video of the accident recorded). Direct Insurance (Avanssur) did not want to take care of. It is really shameful knowing that for 6 years I have declared only one non -responsible claim and above all it is opposing insurance that will pay the damage, Direct Insurance had only exercised the appeal against the 'Author of the facts.
Direct Insurance (Avanssur) Not only did they refuse to appeal against the opposing party but also terminated my contract for reason (risk worsening).
I have initiated of course a legal proceedings against them and be reassured it will not only take the material but also moral damage.</v>
      </c>
    </row>
    <row r="432" ht="15.75" customHeight="1">
      <c r="A432" s="2">
        <v>1.0</v>
      </c>
      <c r="B432" s="2" t="s">
        <v>1320</v>
      </c>
      <c r="C432" s="2" t="s">
        <v>1321</v>
      </c>
      <c r="D432" s="2" t="s">
        <v>43</v>
      </c>
      <c r="E432" s="2" t="s">
        <v>14</v>
      </c>
      <c r="F432" s="2" t="s">
        <v>15</v>
      </c>
      <c r="G432" s="2" t="s">
        <v>1322</v>
      </c>
      <c r="H432" s="2" t="s">
        <v>131</v>
      </c>
      <c r="I432" s="2" t="str">
        <f>IFERROR(__xludf.DUMMYFUNCTION("GOOGLETRANSLATE(C432,""fr"",""en"")"),"Do not let yourself be with the attractive prices ... they only increase each year. My bonus increases, and each year I fight so that my price is regulated.
Supposedly, it is increased because of the claims around my house.
In the end, in 3 years I was "&amp;"increased by 300 €, I had only one break of ice in almost 3 years, it is expensive the windshield. I move in October in a house with garage and alarm etc ... I would solve direct")</f>
        <v>Do not let yourself be with the attractive prices ... they only increase each year. My bonus increases, and each year I fight so that my price is regulated.
Supposedly, it is increased because of the claims around my house.
In the end, in 3 years I was increased by 300 €, I had only one break of ice in almost 3 years, it is expensive the windshield. I move in October in a house with garage and alarm etc ... I would solve direct</v>
      </c>
    </row>
    <row r="433" ht="15.75" customHeight="1">
      <c r="A433" s="2">
        <v>4.0</v>
      </c>
      <c r="B433" s="2" t="s">
        <v>1323</v>
      </c>
      <c r="C433" s="2" t="s">
        <v>1324</v>
      </c>
      <c r="D433" s="2" t="s">
        <v>55</v>
      </c>
      <c r="E433" s="2" t="s">
        <v>56</v>
      </c>
      <c r="F433" s="2" t="s">
        <v>15</v>
      </c>
      <c r="G433" s="2" t="s">
        <v>544</v>
      </c>
      <c r="H433" s="2" t="s">
        <v>192</v>
      </c>
      <c r="I433" s="2" t="str">
        <f>IFERROR(__xludf.DUMMYFUNCTION("GOOGLETRANSLATE(C433,""fr"",""en"")"),"Simple, effective, fast.
Playful and simple interface. Very fast. Extremely interesting price, almost 30% as competition. I advise.")</f>
        <v>Simple, effective, fast.
Playful and simple interface. Very fast. Extremely interesting price, almost 30% as competition. I advise.</v>
      </c>
    </row>
    <row r="434" ht="15.75" customHeight="1">
      <c r="A434" s="2">
        <v>5.0</v>
      </c>
      <c r="B434" s="2" t="s">
        <v>1325</v>
      </c>
      <c r="C434" s="2" t="s">
        <v>1326</v>
      </c>
      <c r="D434" s="2" t="s">
        <v>34</v>
      </c>
      <c r="E434" s="2" t="s">
        <v>35</v>
      </c>
      <c r="F434" s="2" t="s">
        <v>15</v>
      </c>
      <c r="G434" s="2" t="s">
        <v>793</v>
      </c>
      <c r="H434" s="2" t="s">
        <v>52</v>
      </c>
      <c r="I434" s="2" t="str">
        <f>IFERROR(__xludf.DUMMYFUNCTION("GOOGLETRANSLATE(C434,""fr"",""en"")"),"Very good Alimatou relationship.
Explanations at the top .. really I am delighted to have taken out my contract with Santiane.
I highly recommend")</f>
        <v>Very good Alimatou relationship.
Explanations at the top .. really I am delighted to have taken out my contract with Santiane.
I highly recommend</v>
      </c>
    </row>
    <row r="435" ht="15.75" customHeight="1">
      <c r="A435" s="2">
        <v>5.0</v>
      </c>
      <c r="B435" s="2" t="s">
        <v>1327</v>
      </c>
      <c r="C435" s="2" t="s">
        <v>1328</v>
      </c>
      <c r="D435" s="2" t="s">
        <v>55</v>
      </c>
      <c r="E435" s="2" t="s">
        <v>56</v>
      </c>
      <c r="F435" s="2" t="s">
        <v>15</v>
      </c>
      <c r="G435" s="2" t="s">
        <v>1295</v>
      </c>
      <c r="H435" s="2" t="s">
        <v>68</v>
      </c>
      <c r="I435" s="2" t="str">
        <f>IFERROR(__xludf.DUMMYFUNCTION("GOOGLETRANSLATE(C435,""fr"",""en"")"),"Fast and effective !
I change insurers, discovering April Moto I am delighted with their speed, their fares and the ease of access via the Internet, I recommend.")</f>
        <v>Fast and effective !
I change insurers, discovering April Moto I am delighted with their speed, their fares and the ease of access via the Internet, I recommend.</v>
      </c>
    </row>
    <row r="436" ht="15.75" customHeight="1">
      <c r="A436" s="2">
        <v>5.0</v>
      </c>
      <c r="B436" s="2" t="s">
        <v>1329</v>
      </c>
      <c r="C436" s="2" t="s">
        <v>1330</v>
      </c>
      <c r="D436" s="2" t="s">
        <v>13</v>
      </c>
      <c r="E436" s="2" t="s">
        <v>14</v>
      </c>
      <c r="F436" s="2" t="s">
        <v>15</v>
      </c>
      <c r="G436" s="2" t="s">
        <v>1331</v>
      </c>
      <c r="H436" s="2" t="s">
        <v>72</v>
      </c>
      <c r="I436" s="2" t="str">
        <f>IFERROR(__xludf.DUMMYFUNCTION("GOOGLETRANSLATE(C436,""fr"",""en"")"),"For 3 years now I have been at Direct Insurance and never had problems.
I am very happy, they are serious and very professional.
I advise everyone.")</f>
        <v>For 3 years now I have been at Direct Insurance and never had problems.
I am very happy, they are serious and very professional.
I advise everyone.</v>
      </c>
    </row>
    <row r="437" ht="15.75" customHeight="1">
      <c r="A437" s="2">
        <v>4.0</v>
      </c>
      <c r="B437" s="2" t="s">
        <v>1332</v>
      </c>
      <c r="C437" s="2" t="s">
        <v>1333</v>
      </c>
      <c r="D437" s="2" t="s">
        <v>13</v>
      </c>
      <c r="E437" s="2" t="s">
        <v>14</v>
      </c>
      <c r="F437" s="2" t="s">
        <v>15</v>
      </c>
      <c r="G437" s="2" t="s">
        <v>51</v>
      </c>
      <c r="H437" s="2" t="s">
        <v>52</v>
      </c>
      <c r="I437" s="2" t="str">
        <f>IFERROR(__xludf.DUMMYFUNCTION("GOOGLETRANSLATE(C437,""fr"",""en"")"),"I have been at Direct Insurance for a very long time, and I have been very delighted to be here for several years now with my 0.50 bonus
thank you for all")</f>
        <v>I have been at Direct Insurance for a very long time, and I have been very delighted to be here for several years now with my 0.50 bonus
thank you for all</v>
      </c>
    </row>
    <row r="438" ht="15.75" customHeight="1">
      <c r="A438" s="2">
        <v>4.0</v>
      </c>
      <c r="B438" s="2" t="s">
        <v>1334</v>
      </c>
      <c r="C438" s="2" t="s">
        <v>1335</v>
      </c>
      <c r="D438" s="2" t="s">
        <v>55</v>
      </c>
      <c r="E438" s="2" t="s">
        <v>56</v>
      </c>
      <c r="F438" s="2" t="s">
        <v>15</v>
      </c>
      <c r="G438" s="2" t="s">
        <v>1336</v>
      </c>
      <c r="H438" s="2" t="s">
        <v>68</v>
      </c>
      <c r="I438" s="2" t="str">
        <f>IFERROR(__xludf.DUMMYFUNCTION("GOOGLETRANSLATE(C438,""fr"",""en"")"),"Hello
Very professional I am very satisfied with A to Z ??????
In addition with very great simplicity ...
I strongly recommend
Good road to all bikers ...")</f>
        <v>Hello
Very professional I am very satisfied with A to Z ??????
In addition with very great simplicity ...
I strongly recommend
Good road to all bikers ...</v>
      </c>
    </row>
    <row r="439" ht="15.75" customHeight="1">
      <c r="A439" s="2">
        <v>1.0</v>
      </c>
      <c r="B439" s="2" t="s">
        <v>1337</v>
      </c>
      <c r="C439" s="2" t="s">
        <v>1338</v>
      </c>
      <c r="D439" s="2" t="s">
        <v>183</v>
      </c>
      <c r="E439" s="2" t="s">
        <v>14</v>
      </c>
      <c r="F439" s="2" t="s">
        <v>15</v>
      </c>
      <c r="G439" s="2" t="s">
        <v>257</v>
      </c>
      <c r="H439" s="2" t="s">
        <v>192</v>
      </c>
      <c r="I439" s="2" t="str">
        <f>IFERROR(__xludf.DUMMYFUNCTION("GOOGLETRANSLATE(C439,""fr"",""en"")"),"TO FLEE !!!
They increased my insurance subscription from 454 to 557 euros without ever warning me.
So I call them, a very unpleasant service, the advisor speaks French badly and have nothing to do with my problem. They tell me that I was informed by po"&amp;"st (maturity notice) of this increase, but it is false! I never received anything.
They inform me that if I want to make a complaint it is by email. I send the email by explaining the problem, this time they send me the notice of maturity in PDF. Great, "&amp;"but it arrives 2 months too late, so I ask them for proof that they really sent it to me 2 months ago (La Poste stamp, reception notice) and there more response.
I cannot oppose the levy because otherwise I will be at fault, I should always this amount m"&amp;"ore interest and I would pay more expensive to ensure later in other insurance companies.
RUN AWAY !")</f>
        <v>TO FLEE !!!
They increased my insurance subscription from 454 to 557 euros without ever warning me.
So I call them, a very unpleasant service, the advisor speaks French badly and have nothing to do with my problem. They tell me that I was informed by post (maturity notice) of this increase, but it is false! I never received anything.
They inform me that if I want to make a complaint it is by email. I send the email by explaining the problem, this time they send me the notice of maturity in PDF. Great, but it arrives 2 months too late, so I ask them for proof that they really sent it to me 2 months ago (La Poste stamp, reception notice) and there more response.
I cannot oppose the levy because otherwise I will be at fault, I should always this amount more interest and I would pay more expensive to ensure later in other insurance companies.
RUN AWAY !</v>
      </c>
    </row>
    <row r="440" ht="15.75" customHeight="1">
      <c r="A440" s="2">
        <v>1.0</v>
      </c>
      <c r="B440" s="2" t="s">
        <v>1339</v>
      </c>
      <c r="C440" s="2" t="s">
        <v>1340</v>
      </c>
      <c r="D440" s="2" t="s">
        <v>308</v>
      </c>
      <c r="E440" s="2" t="s">
        <v>317</v>
      </c>
      <c r="F440" s="2" t="s">
        <v>15</v>
      </c>
      <c r="G440" s="2" t="s">
        <v>1341</v>
      </c>
      <c r="H440" s="2" t="s">
        <v>1050</v>
      </c>
      <c r="I440" s="2" t="str">
        <f>IFERROR(__xludf.DUMMYFUNCTION("GOOGLETRANSLATE(C440,""fr"",""en"")"),"Insurer impossible to contact ... I have a planning at home through my employer. I have been on sick leave since October and nothing perceived ... I pay every month I'm fed up !!")</f>
        <v>Insurer impossible to contact ... I have a planning at home through my employer. I have been on sick leave since October and nothing perceived ... I pay every month I'm fed up !!</v>
      </c>
    </row>
    <row r="441" ht="15.75" customHeight="1">
      <c r="A441" s="2">
        <v>1.0</v>
      </c>
      <c r="B441" s="2" t="s">
        <v>1342</v>
      </c>
      <c r="C441" s="2" t="s">
        <v>1343</v>
      </c>
      <c r="D441" s="2" t="s">
        <v>207</v>
      </c>
      <c r="E441" s="2" t="s">
        <v>35</v>
      </c>
      <c r="F441" s="2" t="s">
        <v>15</v>
      </c>
      <c r="G441" s="2" t="s">
        <v>724</v>
      </c>
      <c r="H441" s="2" t="s">
        <v>272</v>
      </c>
      <c r="I441" s="2" t="str">
        <f>IFERROR(__xludf.DUMMYFUNCTION("GOOGLETRANSLATE(C441,""fr"",""en"")"),"I send them a refund request via their website ...
They therefore answer me on my mailbox by ending with:
""For any future correspondence, please use the email that will be sent to you in response to your question and to keep the reference: [........] i"&amp;"n the object.""
What I did ... Except that the email address of the email which was sent to me in response is: nepas-repond@mercer.com
And if I try to do so via their website, I can only choose from the choices offered so I cannot note the reference in "&amp;"object ...
Never seen. I do not know if it is to save time in the hope of being out of time or if it is simply to discourage. For my part it is inadmissible. Flee this mutual.")</f>
        <v>I send them a refund request via their website ...
They therefore answer me on my mailbox by ending with:
"For any future correspondence, please use the email that will be sent to you in response to your question and to keep the reference: [........] in the object."
What I did ... Except that the email address of the email which was sent to me in response is: nepas-repond@mercer.com
And if I try to do so via their website, I can only choose from the choices offered so I cannot note the reference in object ...
Never seen. I do not know if it is to save time in the hope of being out of time or if it is simply to discourage. For my part it is inadmissible. Flee this mutual.</v>
      </c>
    </row>
    <row r="442" ht="15.75" customHeight="1">
      <c r="A442" s="2">
        <v>4.0</v>
      </c>
      <c r="B442" s="2" t="s">
        <v>1344</v>
      </c>
      <c r="C442" s="2" t="s">
        <v>1345</v>
      </c>
      <c r="D442" s="2" t="s">
        <v>43</v>
      </c>
      <c r="E442" s="2" t="s">
        <v>14</v>
      </c>
      <c r="F442" s="2" t="s">
        <v>15</v>
      </c>
      <c r="G442" s="2" t="s">
        <v>1346</v>
      </c>
      <c r="H442" s="2" t="s">
        <v>533</v>
      </c>
      <c r="I442" s="2" t="str">
        <f>IFERROR(__xludf.DUMMYFUNCTION("GOOGLETRANSLATE(C442,""fr"",""en"")"),"A very satisfactory service, available and very responsive advisers. The prices are among the lowest on the market. For a second contract subscribes a 15% reduction is applied.")</f>
        <v>A very satisfactory service, available and very responsive advisers. The prices are among the lowest on the market. For a second contract subscribes a 15% reduction is applied.</v>
      </c>
    </row>
    <row r="443" ht="15.75" customHeight="1">
      <c r="A443" s="2">
        <v>1.0</v>
      </c>
      <c r="B443" s="2" t="s">
        <v>1347</v>
      </c>
      <c r="C443" s="2" t="s">
        <v>1348</v>
      </c>
      <c r="D443" s="2" t="s">
        <v>220</v>
      </c>
      <c r="E443" s="2" t="s">
        <v>35</v>
      </c>
      <c r="F443" s="2" t="s">
        <v>15</v>
      </c>
      <c r="G443" s="2" t="s">
        <v>1349</v>
      </c>
      <c r="H443" s="2" t="s">
        <v>31</v>
      </c>
      <c r="I443" s="2" t="str">
        <f>IFERROR(__xludf.DUMMYFUNCTION("GOOGLETRANSLATE(C443,""fr"",""en"")"),"It is unacceptable, impossible to have someone on the phone and even leaving a message, nobody reminds you.
I change my mutual insurance from next month. Most more, mutual really expensive compared to reimbursements and these when they are made is really"&amp;" late!")</f>
        <v>It is unacceptable, impossible to have someone on the phone and even leaving a message, nobody reminds you.
I change my mutual insurance from next month. Most more, mutual really expensive compared to reimbursements and these when they are made is really late!</v>
      </c>
    </row>
    <row r="444" ht="15.75" customHeight="1">
      <c r="A444" s="2">
        <v>2.0</v>
      </c>
      <c r="B444" s="2" t="s">
        <v>1350</v>
      </c>
      <c r="C444" s="2" t="s">
        <v>1351</v>
      </c>
      <c r="D444" s="2" t="s">
        <v>43</v>
      </c>
      <c r="E444" s="2" t="s">
        <v>14</v>
      </c>
      <c r="F444" s="2" t="s">
        <v>15</v>
      </c>
      <c r="G444" s="2" t="s">
        <v>1352</v>
      </c>
      <c r="H444" s="2" t="s">
        <v>580</v>
      </c>
      <c r="I444" s="2" t="str">
        <f>IFERROR(__xludf.DUMMYFUNCTION("GOOGLETRANSLATE(C444,""fr"",""en"")"),"5th request to change my address, no answer ... on September, I redo my request and respond to your emails, as it should. Nothing is done. I worried me for a possible disaster, will you answer me?
")</f>
        <v>5th request to change my address, no answer ... on September, I redo my request and respond to your emails, as it should. Nothing is done. I worried me for a possible disaster, will you answer me?
</v>
      </c>
    </row>
    <row r="445" ht="15.75" customHeight="1">
      <c r="A445" s="2">
        <v>1.0</v>
      </c>
      <c r="B445" s="2" t="s">
        <v>1353</v>
      </c>
      <c r="C445" s="2" t="s">
        <v>1354</v>
      </c>
      <c r="D445" s="2" t="s">
        <v>80</v>
      </c>
      <c r="E445" s="2" t="s">
        <v>85</v>
      </c>
      <c r="F445" s="2" t="s">
        <v>15</v>
      </c>
      <c r="G445" s="2" t="s">
        <v>1355</v>
      </c>
      <c r="H445" s="2" t="s">
        <v>27</v>
      </c>
      <c r="I445" s="2" t="str">
        <f>IFERROR(__xludf.DUMMYFUNCTION("GOOGLETRANSLATE(C445,""fr"",""en"")"),"Permanent change of advisor, unable to give correct answers, manager more than axious on the phone! I have not had any accommodation for 15 days and I have to get back at my expense, because the work company awaits the approval of their expert! It's simpl"&amp;"y scandalous, flee, I have never seen such incompetent")</f>
        <v>Permanent change of advisor, unable to give correct answers, manager more than axious on the phone! I have not had any accommodation for 15 days and I have to get back at my expense, because the work company awaits the approval of their expert! It's simply scandalous, flee, I have never seen such incompetent</v>
      </c>
    </row>
    <row r="446" ht="15.75" customHeight="1">
      <c r="A446" s="2">
        <v>1.0</v>
      </c>
      <c r="B446" s="2" t="s">
        <v>1356</v>
      </c>
      <c r="C446" s="2" t="s">
        <v>1357</v>
      </c>
      <c r="D446" s="2" t="s">
        <v>365</v>
      </c>
      <c r="E446" s="2" t="s">
        <v>85</v>
      </c>
      <c r="F446" s="2" t="s">
        <v>15</v>
      </c>
      <c r="G446" s="2" t="s">
        <v>1358</v>
      </c>
      <c r="H446" s="2" t="s">
        <v>213</v>
      </c>
      <c r="I446" s="2" t="str">
        <f>IFERROR(__xludf.DUMMYFUNCTION("GOOGLETRANSLATE(C446,""fr"",""en"")"),"Here is the story I just experienced. Following the death of my wife, a member for over 40 years, Maif has decided to radiate all contracts, notably Raqvam Habitation. Information taken I noticed with amazement that Maif considered that we were separated "&amp;"and extrapolated divorce. From this situation it is not, totally wrong without legal basis. However Maif admitted his error on the divorce but maintained the separation on the pretext that it was mentioned during an interview with my wife. In short, I suf"&amp;"fered from the odious behavior of this company. Multiple stakeholders on the file with a different opinion, documents absent in the file, difficulty in being considered as the representative of the succession and the reception which was reserved for the S"&amp;"trasbourg agency was a horror, no condolences, suspicion with regard to my words. Unfortunately stolen bird names.
Members and future members of a distrust, Maif is no longer the militant insurer he claims to be. All your words are recorded and have retu"&amp;"rned against you if necessary in the event of a claim")</f>
        <v>Here is the story I just experienced. Following the death of my wife, a member for over 40 years, Maif has decided to radiate all contracts, notably Raqvam Habitation. Information taken I noticed with amazement that Maif considered that we were separated and extrapolated divorce. From this situation it is not, totally wrong without legal basis. However Maif admitted his error on the divorce but maintained the separation on the pretext that it was mentioned during an interview with my wife. In short, I suffered from the odious behavior of this company. Multiple stakeholders on the file with a different opinion, documents absent in the file, difficulty in being considered as the representative of the succession and the reception which was reserved for the Strasbourg agency was a horror, no condolences, suspicion with regard to my words. Unfortunately stolen bird names.
Members and future members of a distrust, Maif is no longer the militant insurer he claims to be. All your words are recorded and have returned against you if necessary in the event of a claim</v>
      </c>
    </row>
    <row r="447" ht="15.75" customHeight="1">
      <c r="A447" s="2">
        <v>4.0</v>
      </c>
      <c r="B447" s="2" t="s">
        <v>1359</v>
      </c>
      <c r="C447" s="2" t="s">
        <v>1360</v>
      </c>
      <c r="D447" s="2" t="s">
        <v>13</v>
      </c>
      <c r="E447" s="2" t="s">
        <v>14</v>
      </c>
      <c r="F447" s="2" t="s">
        <v>15</v>
      </c>
      <c r="G447" s="2" t="s">
        <v>188</v>
      </c>
      <c r="H447" s="2" t="s">
        <v>16</v>
      </c>
      <c r="I447" s="2" t="str">
        <f>IFERROR(__xludf.DUMMYFUNCTION("GOOGLETRANSLATE(C447,""fr"",""en"")"),"Unbeatable price and ratio of covers/price at the cost of a greater proportional damage deductible than the average in the event of a large sinister however capped at € 720
Delochered but easily reachable telephone customer service which wins almost each"&amp;" time in less than 5 minutes. Quite reactive and efficient assistance with many approved garages (AXA group requires). Only downside Even in TR the punctures alone excluding highways are never covered so no assistance possible for this only specific reaso"&amp;"n alas ;-(
Otherwise RAS rather regulated and online subscription process or by phone rather simple and effective ...")</f>
        <v>Unbeatable price and ratio of covers/price at the cost of a greater proportional damage deductible than the average in the event of a large sinister however capped at € 720
Delochered but easily reachable telephone customer service which wins almost each time in less than 5 minutes. Quite reactive and efficient assistance with many approved garages (AXA group requires). Only downside Even in TR the punctures alone excluding highways are never covered so no assistance possible for this only specific reason alas ;-(
Otherwise RAS rather regulated and online subscription process or by phone rather simple and effective ...</v>
      </c>
    </row>
    <row r="448" ht="15.75" customHeight="1">
      <c r="A448" s="2">
        <v>5.0</v>
      </c>
      <c r="B448" s="2" t="s">
        <v>1361</v>
      </c>
      <c r="C448" s="2" t="s">
        <v>1362</v>
      </c>
      <c r="D448" s="2" t="s">
        <v>13</v>
      </c>
      <c r="E448" s="2" t="s">
        <v>14</v>
      </c>
      <c r="F448" s="2" t="s">
        <v>15</v>
      </c>
      <c r="G448" s="2" t="s">
        <v>658</v>
      </c>
      <c r="H448" s="2" t="s">
        <v>52</v>
      </c>
      <c r="I448" s="2" t="str">
        <f>IFERROR(__xludf.DUMMYFUNCTION("GOOGLETRANSLATE(C448,""fr"",""en"")")," Since I was insured at Direct Insurance I have always been very satisfied with their services during the problems encountered about my vehicle.
Friendly and reassuring welcome. I am completely satisfied.")</f>
        <v> Since I was insured at Direct Insurance I have always been very satisfied with their services during the problems encountered about my vehicle.
Friendly and reassuring welcome. I am completely satisfied.</v>
      </c>
    </row>
    <row r="449" ht="15.75" customHeight="1">
      <c r="A449" s="2">
        <v>4.0</v>
      </c>
      <c r="B449" s="2" t="s">
        <v>1363</v>
      </c>
      <c r="C449" s="2" t="s">
        <v>1364</v>
      </c>
      <c r="D449" s="2" t="s">
        <v>13</v>
      </c>
      <c r="E449" s="2" t="s">
        <v>14</v>
      </c>
      <c r="F449" s="2" t="s">
        <v>15</v>
      </c>
      <c r="G449" s="2" t="s">
        <v>1001</v>
      </c>
      <c r="H449" s="2" t="s">
        <v>272</v>
      </c>
      <c r="I449" s="2" t="str">
        <f>IFERROR(__xludf.DUMMYFUNCTION("GOOGLETRANSLATE(C449,""fr"",""en"")"),"I am very satisfied with the quote received for my home, for my accommodation and I therefore subscribe to this offer immediately online thank you cordially")</f>
        <v>I am very satisfied with the quote received for my home, for my accommodation and I therefore subscribe to this offer immediately online thank you cordially</v>
      </c>
    </row>
    <row r="450" ht="15.75" customHeight="1">
      <c r="A450" s="2">
        <v>2.0</v>
      </c>
      <c r="B450" s="2" t="s">
        <v>1365</v>
      </c>
      <c r="C450" s="2" t="s">
        <v>1366</v>
      </c>
      <c r="D450" s="2" t="s">
        <v>13</v>
      </c>
      <c r="E450" s="2" t="s">
        <v>14</v>
      </c>
      <c r="F450" s="2" t="s">
        <v>15</v>
      </c>
      <c r="G450" s="2" t="s">
        <v>1367</v>
      </c>
      <c r="H450" s="2" t="s">
        <v>118</v>
      </c>
      <c r="I450" s="2" t="str">
        <f>IFERROR(__xludf.DUMMYFUNCTION("GOOGLETRANSLATE(C450,""fr"",""en"")"),"Non -responsible accident and all risk my vehicle for 434000km is vei and direct insurance and the expert reimburses me 700 euros while my vehicle was driving perfectly before")</f>
        <v>Non -responsible accident and all risk my vehicle for 434000km is vei and direct insurance and the expert reimburses me 700 euros while my vehicle was driving perfectly before</v>
      </c>
    </row>
    <row r="451" ht="15.75" customHeight="1">
      <c r="A451" s="2">
        <v>1.0</v>
      </c>
      <c r="B451" s="2" t="s">
        <v>1368</v>
      </c>
      <c r="C451" s="2" t="s">
        <v>1369</v>
      </c>
      <c r="D451" s="2" t="s">
        <v>183</v>
      </c>
      <c r="E451" s="2" t="s">
        <v>14</v>
      </c>
      <c r="F451" s="2" t="s">
        <v>15</v>
      </c>
      <c r="G451" s="2" t="s">
        <v>1370</v>
      </c>
      <c r="H451" s="2" t="s">
        <v>31</v>
      </c>
      <c r="I451" s="2" t="str">
        <f>IFERROR(__xludf.DUMMYFUNCTION("GOOGLETRANSLATE(C451,""fr"",""en"")"),"I am of the same opinion as the previous comments, to date I am still waiting for the compensation related to my accident on 09/12/20 .... registered letter sent since without return from them but they will soon have my news Because I will not stay there!"&amp;" Justice really has to fall on them is more than shameful !!!!!!!!!!!!!!!!!!!!!!!!")</f>
        <v>I am of the same opinion as the previous comments, to date I am still waiting for the compensation related to my accident on 09/12/20 .... registered letter sent since without return from them but they will soon have my news Because I will not stay there! Justice really has to fall on them is more than shameful !!!!!!!!!!!!!!!!!!!!!!!!</v>
      </c>
    </row>
    <row r="452" ht="15.75" customHeight="1">
      <c r="A452" s="2">
        <v>5.0</v>
      </c>
      <c r="B452" s="2" t="s">
        <v>1371</v>
      </c>
      <c r="C452" s="2" t="s">
        <v>1372</v>
      </c>
      <c r="D452" s="2" t="s">
        <v>43</v>
      </c>
      <c r="E452" s="2" t="s">
        <v>14</v>
      </c>
      <c r="F452" s="2" t="s">
        <v>15</v>
      </c>
      <c r="G452" s="2" t="s">
        <v>254</v>
      </c>
      <c r="H452" s="2" t="s">
        <v>52</v>
      </c>
      <c r="I452" s="2" t="str">
        <f>IFERROR(__xludf.DUMMYFUNCTION("GOOGLETRANSLATE(C452,""fr"",""en"")"),"Very happy, an attentive and attentive team. The prices are excellent, the services are very well explained. I highly recommend this insurance.")</f>
        <v>Very happy, an attentive and attentive team. The prices are excellent, the services are very well explained. I highly recommend this insurance.</v>
      </c>
    </row>
    <row r="453" ht="15.75" customHeight="1">
      <c r="A453" s="2">
        <v>2.0</v>
      </c>
      <c r="B453" s="2" t="s">
        <v>1373</v>
      </c>
      <c r="C453" s="2" t="s">
        <v>1374</v>
      </c>
      <c r="D453" s="2" t="s">
        <v>278</v>
      </c>
      <c r="E453" s="2" t="s">
        <v>14</v>
      </c>
      <c r="F453" s="2" t="s">
        <v>15</v>
      </c>
      <c r="G453" s="2" t="s">
        <v>1375</v>
      </c>
      <c r="H453" s="2" t="s">
        <v>82</v>
      </c>
      <c r="I453" s="2" t="str">
        <f>IFERROR(__xludf.DUMMYFUNCTION("GOOGLETRANSLATE(C453,""fr"",""en"")"),"I am very angry.
I had an accident that I do not judge myself responsible. The matmut advisers approved, the garage too, my entourage like it, an agent of the sinister service too (na because I had to call them because they were wrong of vehicles). And o"&amp;"ne of the officials of the sinister service reminds me that I am responsible. His answer: you did not have to engage on the roundabout!
So I get involved because I don't see anyone on my left, a girl who comes out of I don't know where the road cuts me o"&amp;"ff by the front to go out on my right but I am as even responsible.
After that that is said to be respected the highway code.
The Matmut advisers (Franconville Agency (95)) do very good work but the sinister service is pitiful and disrespectful.
I will"&amp;" make a letter to management because I think I can terminate.")</f>
        <v>I am very angry.
I had an accident that I do not judge myself responsible. The matmut advisers approved, the garage too, my entourage like it, an agent of the sinister service too (na because I had to call them because they were wrong of vehicles). And one of the officials of the sinister service reminds me that I am responsible. His answer: you did not have to engage on the roundabout!
So I get involved because I don't see anyone on my left, a girl who comes out of I don't know where the road cuts me off by the front to go out on my right but I am as even responsible.
After that that is said to be respected the highway code.
The Matmut advisers (Franconville Agency (95)) do very good work but the sinister service is pitiful and disrespectful.
I will make a letter to management because I think I can terminate.</v>
      </c>
    </row>
    <row r="454" ht="15.75" customHeight="1">
      <c r="A454" s="2">
        <v>2.0</v>
      </c>
      <c r="B454" s="2" t="s">
        <v>1376</v>
      </c>
      <c r="C454" s="2" t="s">
        <v>1377</v>
      </c>
      <c r="D454" s="2" t="s">
        <v>207</v>
      </c>
      <c r="E454" s="2" t="s">
        <v>35</v>
      </c>
      <c r="F454" s="2" t="s">
        <v>15</v>
      </c>
      <c r="G454" s="2" t="s">
        <v>898</v>
      </c>
      <c r="H454" s="2" t="s">
        <v>272</v>
      </c>
      <c r="I454" s="2" t="str">
        <f>IFERROR(__xludf.DUMMYFUNCTION("GOOGLETRANSLATE(C454,""fr"",""en"")"),"Frankly zero! The reimbursements are slow, their app is poorly done, it's complicated to chat with them. Very disappointed to be forced to go through them ...")</f>
        <v>Frankly zero! The reimbursements are slow, their app is poorly done, it's complicated to chat with them. Very disappointed to be forced to go through them ...</v>
      </c>
    </row>
    <row r="455" ht="15.75" customHeight="1">
      <c r="A455" s="2">
        <v>2.0</v>
      </c>
      <c r="B455" s="2" t="s">
        <v>1378</v>
      </c>
      <c r="C455" s="2" t="s">
        <v>1379</v>
      </c>
      <c r="D455" s="2" t="s">
        <v>19</v>
      </c>
      <c r="E455" s="2" t="s">
        <v>85</v>
      </c>
      <c r="F455" s="2" t="s">
        <v>15</v>
      </c>
      <c r="G455" s="2" t="s">
        <v>1380</v>
      </c>
      <c r="H455" s="2" t="s">
        <v>236</v>
      </c>
      <c r="I455" s="2" t="str">
        <f>IFERROR(__xludf.DUMMYFUNCTION("GOOGLETRANSLATE(C455,""fr"",""en"")"),"For disaster care and reimbursement, the MACIF relies on an incompetent network of experts that only refuse:
*natural disaster is to be translated by dilapidation of the house
*Damage on not insured street fence
Absence of specific contract with exclus"&amp;"ion of risks, reception and advice is more than perfectible")</f>
        <v>For disaster care and reimbursement, the MACIF relies on an incompetent network of experts that only refuse:
*natural disaster is to be translated by dilapidation of the house
*Damage on not insured street fence
Absence of specific contract with exclusion of risks, reception and advice is more than perfectible</v>
      </c>
    </row>
    <row r="456" ht="15.75" customHeight="1">
      <c r="A456" s="2">
        <v>4.0</v>
      </c>
      <c r="B456" s="2" t="s">
        <v>1381</v>
      </c>
      <c r="C456" s="2" t="s">
        <v>1382</v>
      </c>
      <c r="D456" s="2" t="s">
        <v>13</v>
      </c>
      <c r="E456" s="2" t="s">
        <v>14</v>
      </c>
      <c r="F456" s="2" t="s">
        <v>15</v>
      </c>
      <c r="G456" s="2" t="s">
        <v>724</v>
      </c>
      <c r="H456" s="2" t="s">
        <v>272</v>
      </c>
      <c r="I456" s="2" t="str">
        <f>IFERROR(__xludf.DUMMYFUNCTION("GOOGLETRANSLATE(C456,""fr"",""en"")"),"Service Whatsapp answered my questions about the insurance bonus, the online quote is quite intuitive. The dematerialized bank clearly has better prices, hope that the monitoring of insurers is up to their competitors.")</f>
        <v>Service Whatsapp answered my questions about the insurance bonus, the online quote is quite intuitive. The dematerialized bank clearly has better prices, hope that the monitoring of insurers is up to their competitors.</v>
      </c>
    </row>
    <row r="457" ht="15.75" customHeight="1">
      <c r="A457" s="2">
        <v>4.0</v>
      </c>
      <c r="B457" s="2" t="s">
        <v>1383</v>
      </c>
      <c r="C457" s="2" t="s">
        <v>1384</v>
      </c>
      <c r="D457" s="2" t="s">
        <v>43</v>
      </c>
      <c r="E457" s="2" t="s">
        <v>14</v>
      </c>
      <c r="F457" s="2" t="s">
        <v>15</v>
      </c>
      <c r="G457" s="2" t="s">
        <v>251</v>
      </c>
      <c r="H457" s="2" t="s">
        <v>99</v>
      </c>
      <c r="I457" s="2" t="str">
        <f>IFERROR(__xludf.DUMMYFUNCTION("GOOGLETRANSLATE(C457,""fr"",""en"")"),"I find this insurance very interesting, very attractive price, to see later if customer service is satisfactory in the event of a problem. I would like to be able to do the same for the home")</f>
        <v>I find this insurance very interesting, very attractive price, to see later if customer service is satisfactory in the event of a problem. I would like to be able to do the same for the home</v>
      </c>
    </row>
    <row r="458" ht="15.75" customHeight="1">
      <c r="A458" s="2">
        <v>3.0</v>
      </c>
      <c r="B458" s="2" t="s">
        <v>1385</v>
      </c>
      <c r="C458" s="2" t="s">
        <v>1386</v>
      </c>
      <c r="D458" s="2" t="s">
        <v>106</v>
      </c>
      <c r="E458" s="2" t="s">
        <v>85</v>
      </c>
      <c r="F458" s="2" t="s">
        <v>15</v>
      </c>
      <c r="G458" s="2" t="s">
        <v>1387</v>
      </c>
      <c r="H458" s="2" t="s">
        <v>45</v>
      </c>
      <c r="I458" s="2" t="str">
        <f>IFERROR(__xludf.DUMMYFUNCTION("GOOGLETRANSLATE(C458,""fr"",""en"")"),"Taken through Crédit Agricole, included in mortgage (not to say compulsory ** cough **).
We had a water damage which was taken care of fairly quickly, suddenly quite satisfied with the speed of the service. A company has been mandated to highlight the "&amp;"cause and establish a quote.
The person in charge of the file has been competent and understanding. Above all, she explained the limitations of my contract to me well and this is where it is better to have a big claim:/")</f>
        <v>Taken through Crédit Agricole, included in mortgage (not to say compulsory ** cough **).
We had a water damage which was taken care of fairly quickly, suddenly quite satisfied with the speed of the service. A company has been mandated to highlight the cause and establish a quote.
The person in charge of the file has been competent and understanding. Above all, she explained the limitations of my contract to me well and this is where it is better to have a big claim:/</v>
      </c>
    </row>
    <row r="459" ht="15.75" customHeight="1">
      <c r="A459" s="2">
        <v>5.0</v>
      </c>
      <c r="B459" s="2" t="s">
        <v>1388</v>
      </c>
      <c r="C459" s="2" t="s">
        <v>1389</v>
      </c>
      <c r="D459" s="2" t="s">
        <v>97</v>
      </c>
      <c r="E459" s="2" t="s">
        <v>56</v>
      </c>
      <c r="F459" s="2" t="s">
        <v>15</v>
      </c>
      <c r="G459" s="2" t="s">
        <v>1390</v>
      </c>
      <c r="H459" s="2" t="s">
        <v>99</v>
      </c>
      <c r="I459" s="2" t="str">
        <f>IFERROR(__xludf.DUMMYFUNCTION("GOOGLETRANSLATE(C459,""fr"",""en"")"),"I am satisfied both for the interface and by telephone assistance. As usual, the AMV service is quality and responsive.
Good day and friendly")</f>
        <v>I am satisfied both for the interface and by telephone assistance. As usual, the AMV service is quality and responsive.
Good day and friendly</v>
      </c>
    </row>
    <row r="460" ht="15.75" customHeight="1">
      <c r="A460" s="2">
        <v>3.0</v>
      </c>
      <c r="B460" s="2" t="s">
        <v>1391</v>
      </c>
      <c r="C460" s="2" t="s">
        <v>1392</v>
      </c>
      <c r="D460" s="2" t="s">
        <v>13</v>
      </c>
      <c r="E460" s="2" t="s">
        <v>14</v>
      </c>
      <c r="F460" s="2" t="s">
        <v>15</v>
      </c>
      <c r="G460" s="2" t="s">
        <v>1165</v>
      </c>
      <c r="H460" s="2" t="s">
        <v>72</v>
      </c>
      <c r="I460" s="2" t="str">
        <f>IFERROR(__xludf.DUMMYFUNCTION("GOOGLETRANSLATE(C460,""fr"",""en"")"),"I am new to you so I will see later if I would be satisfied or not. Cordially
If so I will order you to my friends and family")</f>
        <v>I am new to you so I will see later if I would be satisfied or not. Cordially
If so I will order you to my friends and family</v>
      </c>
    </row>
    <row r="461" ht="15.75" customHeight="1">
      <c r="A461" s="2">
        <v>1.0</v>
      </c>
      <c r="B461" s="2" t="s">
        <v>1393</v>
      </c>
      <c r="C461" s="2" t="s">
        <v>1394</v>
      </c>
      <c r="D461" s="2" t="s">
        <v>156</v>
      </c>
      <c r="E461" s="2" t="s">
        <v>14</v>
      </c>
      <c r="F461" s="2" t="s">
        <v>15</v>
      </c>
      <c r="G461" s="2" t="s">
        <v>213</v>
      </c>
      <c r="H461" s="2" t="s">
        <v>213</v>
      </c>
      <c r="I461" s="2" t="str">
        <f>IFERROR(__xludf.DUMMYFUNCTION("GOOGLETRANSLATE(C461,""fr"",""en"")"),"25 years insured at the MAAF without claims and fired as a malpropre after 2 declarations of justified and not responsible claims! With them everything is fine until you declare anything, at the first problem you are identified at risk and in the second, "&amp;"you are fired! All the opposite of good insurance .... to be avoided at all costs!")</f>
        <v>25 years insured at the MAAF without claims and fired as a malpropre after 2 declarations of justified and not responsible claims! With them everything is fine until you declare anything, at the first problem you are identified at risk and in the second, you are fired! All the opposite of good insurance .... to be avoided at all costs!</v>
      </c>
    </row>
    <row r="462" ht="15.75" customHeight="1">
      <c r="A462" s="2">
        <v>1.0</v>
      </c>
      <c r="B462" s="2" t="s">
        <v>1395</v>
      </c>
      <c r="C462" s="2" t="s">
        <v>1396</v>
      </c>
      <c r="D462" s="2" t="s">
        <v>179</v>
      </c>
      <c r="E462" s="2" t="s">
        <v>14</v>
      </c>
      <c r="F462" s="2" t="s">
        <v>15</v>
      </c>
      <c r="G462" s="2" t="s">
        <v>1397</v>
      </c>
      <c r="H462" s="2" t="s">
        <v>201</v>
      </c>
      <c r="I462" s="2" t="str">
        <f>IFERROR(__xludf.DUMMYFUNCTION("GOOGLETRANSLATE(C462,""fr"",""en"")"),"Eurofil client since 2012 with 50% bonuses and without any accident at home, my subscription increased without reason every year by approximately 30 euros under the pretext of an annual increase while making the quote on their site or on a comparator of '"&amp;"Insurance The price was lower.")</f>
        <v>Eurofil client since 2012 with 50% bonuses and without any accident at home, my subscription increased without reason every year by approximately 30 euros under the pretext of an annual increase while making the quote on their site or on a comparator of 'Insurance The price was lower.</v>
      </c>
    </row>
    <row r="463" ht="15.75" customHeight="1">
      <c r="A463" s="2">
        <v>1.0</v>
      </c>
      <c r="B463" s="2" t="s">
        <v>1398</v>
      </c>
      <c r="C463" s="2" t="s">
        <v>1399</v>
      </c>
      <c r="D463" s="2" t="s">
        <v>308</v>
      </c>
      <c r="E463" s="2" t="s">
        <v>14</v>
      </c>
      <c r="F463" s="2" t="s">
        <v>15</v>
      </c>
      <c r="G463" s="2" t="s">
        <v>1400</v>
      </c>
      <c r="H463" s="2" t="s">
        <v>52</v>
      </c>
      <c r="I463" s="2" t="str">
        <f>IFERROR(__xludf.DUMMYFUNCTION("GOOGLETRANSLATE(C463,""fr"",""en"")"),"Unreachable for several weeks ...
You might as well go to Carrefour insurance or others ... at least you have someone to talk to ...
Really disappointed and continues to take me despite my registered letter sent 3 weeks ago")</f>
        <v>Unreachable for several weeks ...
You might as well go to Carrefour insurance or others ... at least you have someone to talk to ...
Really disappointed and continues to take me despite my registered letter sent 3 weeks ago</v>
      </c>
    </row>
    <row r="464" ht="15.75" customHeight="1">
      <c r="A464" s="2">
        <v>3.0</v>
      </c>
      <c r="B464" s="2" t="s">
        <v>1401</v>
      </c>
      <c r="C464" s="2" t="s">
        <v>1402</v>
      </c>
      <c r="D464" s="2" t="s">
        <v>106</v>
      </c>
      <c r="E464" s="2" t="s">
        <v>14</v>
      </c>
      <c r="F464" s="2" t="s">
        <v>15</v>
      </c>
      <c r="G464" s="2" t="s">
        <v>292</v>
      </c>
      <c r="H464" s="2" t="s">
        <v>16</v>
      </c>
      <c r="I464" s="2" t="str">
        <f>IFERROR(__xludf.DUMMYFUNCTION("GOOGLETRANSLATE(C464,""fr"",""en"")"),"I thank Pacifica customer service for the efficiency of managing my accident. In the case that concerns me I have nothing to blame the staff and their politeness against their client.
Cordially.
")</f>
        <v>I thank Pacifica customer service for the efficiency of managing my accident. In the case that concerns me I have nothing to blame the staff and their politeness against their client.
Cordially.
</v>
      </c>
    </row>
    <row r="465" ht="15.75" customHeight="1">
      <c r="A465" s="2">
        <v>4.0</v>
      </c>
      <c r="B465" s="2" t="s">
        <v>1403</v>
      </c>
      <c r="C465" s="2" t="s">
        <v>1404</v>
      </c>
      <c r="D465" s="2" t="s">
        <v>1405</v>
      </c>
      <c r="E465" s="2" t="s">
        <v>1406</v>
      </c>
      <c r="F465" s="2" t="s">
        <v>15</v>
      </c>
      <c r="G465" s="2" t="s">
        <v>1145</v>
      </c>
      <c r="H465" s="2" t="s">
        <v>166</v>
      </c>
      <c r="I465" s="2" t="str">
        <f>IFERROR(__xludf.DUMMYFUNCTION("GOOGLETRANSLATE(C465,""fr"",""en"")"),"I am very satisfied with responsiveness, commercial involvement, and contract proposals in line with our expectations.
Congratulations on the quality of service
")</f>
        <v>I am very satisfied with responsiveness, commercial involvement, and contract proposals in line with our expectations.
Congratulations on the quality of service
</v>
      </c>
    </row>
    <row r="466" ht="15.75" customHeight="1">
      <c r="A466" s="2">
        <v>4.0</v>
      </c>
      <c r="B466" s="2" t="s">
        <v>1407</v>
      </c>
      <c r="C466" s="2" t="s">
        <v>1408</v>
      </c>
      <c r="D466" s="2" t="s">
        <v>13</v>
      </c>
      <c r="E466" s="2" t="s">
        <v>14</v>
      </c>
      <c r="F466" s="2" t="s">
        <v>15</v>
      </c>
      <c r="G466" s="2" t="s">
        <v>257</v>
      </c>
      <c r="H466" s="2" t="s">
        <v>192</v>
      </c>
      <c r="I466" s="2" t="str">
        <f>IFERROR(__xludf.DUMMYFUNCTION("GOOGLETRANSLATE(C466,""fr"",""en"")"),"I am satisfied with the services offered at the moment. A responsiveness for the realization of our home contract and in December for the suspension of our car contract.")</f>
        <v>I am satisfied with the services offered at the moment. A responsiveness for the realization of our home contract and in December for the suspension of our car contract.</v>
      </c>
    </row>
    <row r="467" ht="15.75" customHeight="1">
      <c r="A467" s="2">
        <v>4.0</v>
      </c>
      <c r="B467" s="2" t="s">
        <v>1409</v>
      </c>
      <c r="C467" s="2" t="s">
        <v>1410</v>
      </c>
      <c r="D467" s="2" t="s">
        <v>43</v>
      </c>
      <c r="E467" s="2" t="s">
        <v>14</v>
      </c>
      <c r="F467" s="2" t="s">
        <v>15</v>
      </c>
      <c r="G467" s="2" t="s">
        <v>331</v>
      </c>
      <c r="H467" s="2" t="s">
        <v>166</v>
      </c>
      <c r="I467" s="2" t="str">
        <f>IFERROR(__xludf.DUMMYFUNCTION("GOOGLETRANSLATE(C467,""fr"",""en"")"),"Quite satisfied, I still have to return documents that the Olivier Insurance already has.
The prices are rather correct for the service
Thank you")</f>
        <v>Quite satisfied, I still have to return documents that the Olivier Insurance already has.
The prices are rather correct for the service
Thank you</v>
      </c>
    </row>
    <row r="468" ht="15.75" customHeight="1">
      <c r="A468" s="2">
        <v>3.0</v>
      </c>
      <c r="B468" s="2" t="s">
        <v>1411</v>
      </c>
      <c r="C468" s="2" t="s">
        <v>1412</v>
      </c>
      <c r="D468" s="2" t="s">
        <v>308</v>
      </c>
      <c r="E468" s="2" t="s">
        <v>14</v>
      </c>
      <c r="F468" s="2" t="s">
        <v>15</v>
      </c>
      <c r="G468" s="2" t="s">
        <v>1413</v>
      </c>
      <c r="H468" s="2" t="s">
        <v>209</v>
      </c>
      <c r="I468" s="2" t="str">
        <f>IFERROR(__xludf.DUMMYFUNCTION("GOOGLETRANSLATE(C468,""fr"",""en"")"),"I am satisfied. I did not have sinister. I have good contacts with the advisers. I have neither nimalus bonus, so I find the contribution rate a little high")</f>
        <v>I am satisfied. I did not have sinister. I have good contacts with the advisers. I have neither nimalus bonus, so I find the contribution rate a little high</v>
      </c>
    </row>
    <row r="469" ht="15.75" customHeight="1">
      <c r="A469" s="2">
        <v>3.0</v>
      </c>
      <c r="B469" s="2" t="s">
        <v>1414</v>
      </c>
      <c r="C469" s="2" t="s">
        <v>1415</v>
      </c>
      <c r="D469" s="2" t="s">
        <v>55</v>
      </c>
      <c r="E469" s="2" t="s">
        <v>56</v>
      </c>
      <c r="F469" s="2" t="s">
        <v>15</v>
      </c>
      <c r="G469" s="2" t="s">
        <v>1416</v>
      </c>
      <c r="H469" s="2" t="s">
        <v>99</v>
      </c>
      <c r="I469" s="2" t="str">
        <f>IFERROR(__xludf.DUMMYFUNCTION("GOOGLETRANSLATE(C469,""fr"",""en"")"),"Price equivalent to competition, quality service. Good relationship with customers, quality staff, easy -to -access site. Electronic signature facilitates things")</f>
        <v>Price equivalent to competition, quality service. Good relationship with customers, quality staff, easy -to -access site. Electronic signature facilitates things</v>
      </c>
    </row>
    <row r="470" ht="15.75" customHeight="1">
      <c r="A470" s="2">
        <v>1.0</v>
      </c>
      <c r="B470" s="2" t="s">
        <v>1417</v>
      </c>
      <c r="C470" s="2" t="s">
        <v>1418</v>
      </c>
      <c r="D470" s="2" t="s">
        <v>369</v>
      </c>
      <c r="E470" s="2" t="s">
        <v>35</v>
      </c>
      <c r="F470" s="2" t="s">
        <v>15</v>
      </c>
      <c r="G470" s="2" t="s">
        <v>1419</v>
      </c>
      <c r="H470" s="2" t="s">
        <v>16</v>
      </c>
      <c r="I470" s="2" t="str">
        <f>IFERROR(__xludf.DUMMYFUNCTION("GOOGLETRANSLATE(C470,""fr"",""en"")"),"Mutual late on their side but which presses members for contributions. Suspends the contract without warning, and without delay (the first time, 3 months ago, they suspended my contract the day they received the payment of my subscription! Storage) while "&amp;"I pay the payment of their request contribution by post (certainly green stamp for the return of the regulation but all the same !!) you must be patient for their repayment deadlines and to have them on the phone .. and the word is weak .. on the other ha"&amp;"nd, they, are in no way tolerant, and even less patient, do not offer solutions in this year 2020 so special for all people like me, who find themselves unemployed. Employee I paid € 28.27 €/month, and now that I am unemployed, (small unemployment) they c"&amp;"laim me 3 months of contribution at once, from one. Especially since I have already pointed out to them 3 months ago, that so far, the amount of my subscription amounted to € 28.27 per month and rebuild me again in October, suspending , moreover, my contr"&amp;"act and claiming me 3 months of contributions at once (for October, November and December) !! The regulations were sent upon receipt of the contribution request but my contract was still suspended ... Recommended letters with receipt receipt of formal not"&amp;"ice, madness !!! I was also reassured by explaining that these letters were sent automatically and that it was not necessary to worry, only the detail is that they also suspend the contract without warning, and my concern is much more Britten on it only o"&amp;"n the threat of formal notice, but they do not seem to be aware of it! In addition, they suspend the contract in an instant, without delay, but when they receive the regulations, they need at least 10 days to regularize your situation, incredible right ??"&amp;" So in the end I pay a mutual without being covered !! It's simple, I have never undergone so much pressure from insurance and even less than a mutual, while being so unsatisfied with the service !!! I do not advise this mutual insurance for all, I have a"&amp;"lready had a lot by my different jobs, but I had never seen it anywhere else !! To flee !! I sent my subscription payment until December (in 3 checks, I was confirmed by phone that they would be taken into account, but I am waiting to see ... For the mome"&amp;"nt my contract is always suspended in Any case ...) I terminate my contract as soon as possible, at the end of my contributions already paid in advance for a coverage that I do not have at present. Finally if I manage to terminate, because according to th"&amp;"e comments, even that they do not succeed. To suspend the wrong and through the contracts they are strong but to terminate there is no one anymore. sorry to see so little professionalism")</f>
        <v>Mutual late on their side but which presses members for contributions. Suspends the contract without warning, and without delay (the first time, 3 months ago, they suspended my contract the day they received the payment of my subscription! Storage) while I pay the payment of their request contribution by post (certainly green stamp for the return of the regulation but all the same !!) you must be patient for their repayment deadlines and to have them on the phone .. and the word is weak .. on the other hand, they, are in no way tolerant, and even less patient, do not offer solutions in this year 2020 so special for all people like me, who find themselves unemployed. Employee I paid € 28.27 €/month, and now that I am unemployed, (small unemployment) they claim me 3 months of contribution at once, from one. Especially since I have already pointed out to them 3 months ago, that so far, the amount of my subscription amounted to € 28.27 per month and rebuild me again in October, suspending , moreover, my contract and claiming me 3 months of contributions at once (for October, November and December) !! The regulations were sent upon receipt of the contribution request but my contract was still suspended ... Recommended letters with receipt receipt of formal notice, madness !!! I was also reassured by explaining that these letters were sent automatically and that it was not necessary to worry, only the detail is that they also suspend the contract without warning, and my concern is much more Britten on it only on the threat of formal notice, but they do not seem to be aware of it! In addition, they suspend the contract in an instant, without delay, but when they receive the regulations, they need at least 10 days to regularize your situation, incredible right ?? So in the end I pay a mutual without being covered !! It's simple, I have never undergone so much pressure from insurance and even less than a mutual, while being so unsatisfied with the service !!! I do not advise this mutual insurance for all, I have already had a lot by my different jobs, but I had never seen it anywhere else !! To flee !! I sent my subscription payment until December (in 3 checks, I was confirmed by phone that they would be taken into account, but I am waiting to see ... For the moment my contract is always suspended in Any case ...) I terminate my contract as soon as possible, at the end of my contributions already paid in advance for a coverage that I do not have at present. Finally if I manage to terminate, because according to the comments, even that they do not succeed. To suspend the wrong and through the contracts they are strong but to terminate there is no one anymore. sorry to see so little professionalism</v>
      </c>
    </row>
    <row r="471" ht="15.75" customHeight="1">
      <c r="A471" s="2">
        <v>5.0</v>
      </c>
      <c r="B471" s="2" t="s">
        <v>1420</v>
      </c>
      <c r="C471" s="2" t="s">
        <v>1421</v>
      </c>
      <c r="D471" s="2" t="s">
        <v>13</v>
      </c>
      <c r="E471" s="2" t="s">
        <v>14</v>
      </c>
      <c r="F471" s="2" t="s">
        <v>15</v>
      </c>
      <c r="G471" s="2" t="s">
        <v>90</v>
      </c>
      <c r="H471" s="2" t="s">
        <v>72</v>
      </c>
      <c r="I471" s="2" t="str">
        <f>IFERROR(__xludf.DUMMYFUNCTION("GOOGLETRANSLATE(C471,""fr"",""en"")"),"Satisfied the price
Satisfied for everything
Rapidit to subscribe
Global satisfaction
Everything is good in these prices
Auto insurance subscriber
Habitztion insurance subscriber")</f>
        <v>Satisfied the price
Satisfied for everything
Rapidit to subscribe
Global satisfaction
Everything is good in these prices
Auto insurance subscriber
Habitztion insurance subscriber</v>
      </c>
    </row>
    <row r="472" ht="15.75" customHeight="1">
      <c r="A472" s="2">
        <v>1.0</v>
      </c>
      <c r="B472" s="2" t="s">
        <v>1422</v>
      </c>
      <c r="C472" s="2" t="s">
        <v>1423</v>
      </c>
      <c r="D472" s="2" t="s">
        <v>63</v>
      </c>
      <c r="E472" s="2" t="s">
        <v>317</v>
      </c>
      <c r="F472" s="2" t="s">
        <v>15</v>
      </c>
      <c r="G472" s="2" t="s">
        <v>1424</v>
      </c>
      <c r="H472" s="2" t="s">
        <v>166</v>
      </c>
      <c r="I472" s="2" t="str">
        <f>IFERROR(__xludf.DUMMYFUNCTION("GOOGLETRANSLATE(C472,""fr"",""en"")"),"To flee, I have undergone an Acti Project contract which is saying profitable I do not even recover the sums invested
No one, lack of advice, company to ban!")</f>
        <v>To flee, I have undergone an Acti Project contract which is saying profitable I do not even recover the sums invested
No one, lack of advice, company to ban!</v>
      </c>
    </row>
    <row r="473" ht="15.75" customHeight="1">
      <c r="A473" s="2">
        <v>4.0</v>
      </c>
      <c r="B473" s="2" t="s">
        <v>1425</v>
      </c>
      <c r="C473" s="2" t="s">
        <v>1426</v>
      </c>
      <c r="D473" s="2" t="s">
        <v>106</v>
      </c>
      <c r="E473" s="2" t="s">
        <v>85</v>
      </c>
      <c r="F473" s="2" t="s">
        <v>15</v>
      </c>
      <c r="G473" s="2" t="s">
        <v>1427</v>
      </c>
      <c r="H473" s="2" t="s">
        <v>576</v>
      </c>
      <c r="I473" s="2" t="str">
        <f>IFERROR(__xludf.DUMMYFUNCTION("GOOGLETRANSLATE(C473,""fr"",""en"")"),"Big leak in my rental apartment was fully supported by this Pacifica insurer. This is the second claim that I face with them and each time the company shows professionalism and responsiveness.")</f>
        <v>Big leak in my rental apartment was fully supported by this Pacifica insurer. This is the second claim that I face with them and each time the company shows professionalism and responsiveness.</v>
      </c>
    </row>
    <row r="474" ht="15.75" customHeight="1">
      <c r="A474" s="2">
        <v>3.0</v>
      </c>
      <c r="B474" s="2" t="s">
        <v>1428</v>
      </c>
      <c r="C474" s="2" t="s">
        <v>1429</v>
      </c>
      <c r="D474" s="2" t="s">
        <v>13</v>
      </c>
      <c r="E474" s="2" t="s">
        <v>14</v>
      </c>
      <c r="F474" s="2" t="s">
        <v>15</v>
      </c>
      <c r="G474" s="2" t="s">
        <v>672</v>
      </c>
      <c r="H474" s="2" t="s">
        <v>68</v>
      </c>
      <c r="I474" s="2" t="str">
        <f>IFERROR(__xludf.DUMMYFUNCTION("GOOGLETRANSLATE(C474,""fr"",""en"")"),"The prices no longer seem as attractive. I may plan to change insurer at the end of the year.
I will not fail to come back to you for more information.
Cordially.")</f>
        <v>The prices no longer seem as attractive. I may plan to change insurer at the end of the year.
I will not fail to come back to you for more information.
Cordially.</v>
      </c>
    </row>
    <row r="475" ht="15.75" customHeight="1">
      <c r="A475" s="2">
        <v>5.0</v>
      </c>
      <c r="B475" s="2" t="s">
        <v>1430</v>
      </c>
      <c r="C475" s="2" t="s">
        <v>1431</v>
      </c>
      <c r="D475" s="2" t="s">
        <v>55</v>
      </c>
      <c r="E475" s="2" t="s">
        <v>56</v>
      </c>
      <c r="F475" s="2" t="s">
        <v>15</v>
      </c>
      <c r="G475" s="2" t="s">
        <v>1432</v>
      </c>
      <c r="H475" s="2" t="s">
        <v>272</v>
      </c>
      <c r="I475" s="2" t="str">
        <f>IFERROR(__xludf.DUMMYFUNCTION("GOOGLETRANSLATE(C475,""fr"",""en"")"),"I am satisfied with the service, speed to carry out the quote, everything is clear.
Interesting price.
The prices suit me, ease of the procedures taken.")</f>
        <v>I am satisfied with the service, speed to carry out the quote, everything is clear.
Interesting price.
The prices suit me, ease of the procedures taken.</v>
      </c>
    </row>
    <row r="476" ht="15.75" customHeight="1">
      <c r="A476" s="2">
        <v>1.0</v>
      </c>
      <c r="B476" s="2" t="s">
        <v>1433</v>
      </c>
      <c r="C476" s="2" t="s">
        <v>1434</v>
      </c>
      <c r="D476" s="2" t="s">
        <v>352</v>
      </c>
      <c r="E476" s="2" t="s">
        <v>14</v>
      </c>
      <c r="F476" s="2" t="s">
        <v>15</v>
      </c>
      <c r="G476" s="2" t="s">
        <v>282</v>
      </c>
      <c r="H476" s="2" t="s">
        <v>283</v>
      </c>
      <c r="I476" s="2" t="str">
        <f>IFERROR(__xludf.DUMMYFUNCTION("GOOGLETRANSLATE(C476,""fr"",""en"")"),"-The ""advisor"" GMF: ""If I understand correctly, you blame our legal advisers for not bringing any help to a problem you have had for months? »»
-The GMF adherent: ""I wrote it (email), I said it (phones), you have nothing more mutualist or salesperson"&amp;" in the noble sense, you hide behind pseudos procedures"" Higth Tech "", Internet, social networks ... which make it possible to make the intervention and human presence disappear, disappearance that rhymes with profit, GMF insurance, the mutual that does"&amp;" not know you! »»
")</f>
        <v>-The "advisor" GMF: "If I understand correctly, you blame our legal advisers for not bringing any help to a problem you have had for months? »»
-The GMF adherent: "I wrote it (email), I said it (phones), you have nothing more mutualist or salesperson in the noble sense, you hide behind pseudos procedures" Higth Tech ", Internet, social networks ... which make it possible to make the intervention and human presence disappear, disappearance that rhymes with profit, GMF insurance, the mutual that does not know you! »»
</v>
      </c>
    </row>
    <row r="477" ht="15.75" customHeight="1">
      <c r="A477" s="2">
        <v>4.0</v>
      </c>
      <c r="B477" s="2" t="s">
        <v>1435</v>
      </c>
      <c r="C477" s="2" t="s">
        <v>1436</v>
      </c>
      <c r="D477" s="2" t="s">
        <v>43</v>
      </c>
      <c r="E477" s="2" t="s">
        <v>14</v>
      </c>
      <c r="F477" s="2" t="s">
        <v>15</v>
      </c>
      <c r="G477" s="2" t="s">
        <v>1126</v>
      </c>
      <c r="H477" s="2" t="s">
        <v>166</v>
      </c>
      <c r="I477" s="2" t="str">
        <f>IFERROR(__xludf.DUMMYFUNCTION("GOOGLETRANSLATE(C477,""fr"",""en"")"),"To be satisfied with it because I had no problem. And my contact with the very satisfactory staff when I had a doubt ... I hope it will continue like that")</f>
        <v>To be satisfied with it because I had no problem. And my contact with the very satisfactory staff when I had a doubt ... I hope it will continue like that</v>
      </c>
    </row>
    <row r="478" ht="15.75" customHeight="1">
      <c r="A478" s="2">
        <v>5.0</v>
      </c>
      <c r="B478" s="2" t="s">
        <v>1437</v>
      </c>
      <c r="C478" s="2" t="s">
        <v>1438</v>
      </c>
      <c r="D478" s="2" t="s">
        <v>43</v>
      </c>
      <c r="E478" s="2" t="s">
        <v>14</v>
      </c>
      <c r="F478" s="2" t="s">
        <v>15</v>
      </c>
      <c r="G478" s="2" t="s">
        <v>166</v>
      </c>
      <c r="H478" s="2" t="s">
        <v>166</v>
      </c>
      <c r="I478" s="2" t="str">
        <f>IFERROR(__xludf.DUMMYFUNCTION("GOOGLETRANSLATE(C478,""fr"",""en"")"),"I just subscribed. Fast effective everything online as I like, because no headache on the phone. To see in the future. But very good first impression
")</f>
        <v>I just subscribed. Fast effective everything online as I like, because no headache on the phone. To see in the future. But very good first impression
</v>
      </c>
    </row>
    <row r="479" ht="15.75" customHeight="1">
      <c r="A479" s="2">
        <v>1.0</v>
      </c>
      <c r="B479" s="2" t="s">
        <v>1439</v>
      </c>
      <c r="C479" s="2" t="s">
        <v>1440</v>
      </c>
      <c r="D479" s="2" t="s">
        <v>13</v>
      </c>
      <c r="E479" s="2" t="s">
        <v>14</v>
      </c>
      <c r="F479" s="2" t="s">
        <v>15</v>
      </c>
      <c r="G479" s="2" t="s">
        <v>1400</v>
      </c>
      <c r="H479" s="2" t="s">
        <v>52</v>
      </c>
      <c r="I479" s="2" t="str">
        <f>IFERROR(__xludf.DUMMYFUNCTION("GOOGLETRANSLATE(C479,""fr"",""en"")"),"I am not satisfied because the prices of your offers increase each year although the value of my vehicle is depreciated. It should be rather the opposite. In addition, you advertise by mentioning that after 3 years with you without accident and others, th"&amp;"e bonus goes to 0.50. Well that's my case and nothing!")</f>
        <v>I am not satisfied because the prices of your offers increase each year although the value of my vehicle is depreciated. It should be rather the opposite. In addition, you advertise by mentioning that after 3 years with you without accident and others, the bonus goes to 0.50. Well that's my case and nothing!</v>
      </c>
    </row>
    <row r="480" ht="15.75" customHeight="1">
      <c r="A480" s="2">
        <v>3.0</v>
      </c>
      <c r="B480" s="2" t="s">
        <v>1441</v>
      </c>
      <c r="C480" s="2" t="s">
        <v>1442</v>
      </c>
      <c r="D480" s="2" t="s">
        <v>55</v>
      </c>
      <c r="E480" s="2" t="s">
        <v>56</v>
      </c>
      <c r="F480" s="2" t="s">
        <v>15</v>
      </c>
      <c r="G480" s="2" t="s">
        <v>216</v>
      </c>
      <c r="H480" s="2" t="s">
        <v>217</v>
      </c>
      <c r="I480" s="2" t="str">
        <f>IFERROR(__xludf.DUMMYFUNCTION("GOOGLETRANSLATE(C480,""fr"",""en"")"),"I am satisfied with the service and the offer that April Moto offers. I think I can take the road serenely knowing that I am potentially well insured.")</f>
        <v>I am satisfied with the service and the offer that April Moto offers. I think I can take the road serenely knowing that I am potentially well insured.</v>
      </c>
    </row>
    <row r="481" ht="15.75" customHeight="1">
      <c r="A481" s="2">
        <v>3.0</v>
      </c>
      <c r="B481" s="2" t="s">
        <v>1443</v>
      </c>
      <c r="C481" s="2" t="s">
        <v>1444</v>
      </c>
      <c r="D481" s="2" t="s">
        <v>1445</v>
      </c>
      <c r="E481" s="2" t="s">
        <v>56</v>
      </c>
      <c r="F481" s="2" t="s">
        <v>15</v>
      </c>
      <c r="G481" s="2" t="s">
        <v>1446</v>
      </c>
      <c r="H481" s="2" t="s">
        <v>209</v>
      </c>
      <c r="I481" s="2" t="str">
        <f>IFERROR(__xludf.DUMMYFUNCTION("GOOGLETRANSLATE(C481,""fr"",""en"")"),"Shabby. Sinister closed for 6 months and still no compensation, it is impossible to reach on the phone and does not answer the recommended with AR. My contract is terminated without being notified.")</f>
        <v>Shabby. Sinister closed for 6 months and still no compensation, it is impossible to reach on the phone and does not answer the recommended with AR. My contract is terminated without being notified.</v>
      </c>
    </row>
    <row r="482" ht="15.75" customHeight="1">
      <c r="A482" s="2">
        <v>2.0</v>
      </c>
      <c r="B482" s="2" t="s">
        <v>1447</v>
      </c>
      <c r="C482" s="2" t="s">
        <v>1448</v>
      </c>
      <c r="D482" s="2" t="s">
        <v>156</v>
      </c>
      <c r="E482" s="2" t="s">
        <v>14</v>
      </c>
      <c r="F482" s="2" t="s">
        <v>15</v>
      </c>
      <c r="G482" s="2" t="s">
        <v>1449</v>
      </c>
      <c r="H482" s="2" t="s">
        <v>371</v>
      </c>
      <c r="I482" s="2" t="str">
        <f>IFERROR(__xludf.DUMMYFUNCTION("GOOGLETRANSLATE(C482,""fr"",""en"")"),"I contacted the MAAF several times by tel. And on site, and very disappointed, there is only in the ad where we listen to the customer, in reality we have what to do.")</f>
        <v>I contacted the MAAF several times by tel. And on site, and very disappointed, there is only in the ad where we listen to the customer, in reality we have what to do.</v>
      </c>
    </row>
    <row r="483" ht="15.75" customHeight="1">
      <c r="A483" s="2">
        <v>1.0</v>
      </c>
      <c r="B483" s="2" t="s">
        <v>1450</v>
      </c>
      <c r="C483" s="2" t="s">
        <v>1451</v>
      </c>
      <c r="D483" s="2" t="s">
        <v>43</v>
      </c>
      <c r="E483" s="2" t="s">
        <v>14</v>
      </c>
      <c r="F483" s="2" t="s">
        <v>15</v>
      </c>
      <c r="G483" s="2" t="s">
        <v>1452</v>
      </c>
      <c r="H483" s="2" t="s">
        <v>319</v>
      </c>
      <c r="I483" s="2" t="str">
        <f>IFERROR(__xludf.DUMMYFUNCTION("GOOGLETRANSLATE(C483,""fr"",""en"")"),"Null incompetent and bad faith the documents sent are never received or the front or back is missing when they finally come to validate an email an email of congratulations is addressed to you it is to them that it is necessary to say to reunnish all The "&amp;"documents recto the verso etc sent several times! They do not even know how to respond to simple insurance questions! I only expect one thing the end of this 1st year to quickly change! Ashamed! I beg for not having to declaire a claim with them the care "&amp;"and the compensation must be catastrophic! To really flee!")</f>
        <v>Null incompetent and bad faith the documents sent are never received or the front or back is missing when they finally come to validate an email an email of congratulations is addressed to you it is to them that it is necessary to say to reunnish all The documents recto the verso etc sent several times! They do not even know how to respond to simple insurance questions! I only expect one thing the end of this 1st year to quickly change! Ashamed! I beg for not having to declaire a claim with them the care and the compensation must be catastrophic! To really flee!</v>
      </c>
    </row>
    <row r="484" ht="15.75" customHeight="1">
      <c r="A484" s="2">
        <v>1.0</v>
      </c>
      <c r="B484" s="2" t="s">
        <v>1453</v>
      </c>
      <c r="C484" s="2" t="s">
        <v>1454</v>
      </c>
      <c r="D484" s="2" t="s">
        <v>43</v>
      </c>
      <c r="E484" s="2" t="s">
        <v>14</v>
      </c>
      <c r="F484" s="2" t="s">
        <v>15</v>
      </c>
      <c r="G484" s="2" t="s">
        <v>1455</v>
      </c>
      <c r="H484" s="2" t="s">
        <v>52</v>
      </c>
      <c r="I484" s="2" t="str">
        <f>IFERROR(__xludf.DUMMYFUNCTION("GOOGLETRANSLATE(C484,""fr"",""en"")"),"Hello
I had an accident on September 19, 2019
Still no news
I call once a month he always changes version
Almost 2 years without news
Attention !")</f>
        <v>Hello
I had an accident on September 19, 2019
Still no news
I call once a month he always changes version
Almost 2 years without news
Attention !</v>
      </c>
    </row>
    <row r="485" ht="15.75" customHeight="1">
      <c r="A485" s="2">
        <v>5.0</v>
      </c>
      <c r="B485" s="2" t="s">
        <v>1456</v>
      </c>
      <c r="C485" s="2" t="s">
        <v>1457</v>
      </c>
      <c r="D485" s="2" t="s">
        <v>43</v>
      </c>
      <c r="E485" s="2" t="s">
        <v>14</v>
      </c>
      <c r="F485" s="2" t="s">
        <v>15</v>
      </c>
      <c r="G485" s="2" t="s">
        <v>901</v>
      </c>
      <c r="H485" s="2" t="s">
        <v>99</v>
      </c>
      <c r="I485" s="2" t="str">
        <f>IFERROR(__xludf.DUMMYFUNCTION("GOOGLETRANSLATE(C485,""fr"",""en"")"),"Customer service is attentive and pleasant, which becomes rare.
It is the second vehicle insured in the home and the cumulative offer is interesting.")</f>
        <v>Customer service is attentive and pleasant, which becomes rare.
It is the second vehicle insured in the home and the cumulative offer is interesting.</v>
      </c>
    </row>
    <row r="486" ht="15.75" customHeight="1">
      <c r="A486" s="2">
        <v>2.0</v>
      </c>
      <c r="B486" s="2" t="s">
        <v>1458</v>
      </c>
      <c r="C486" s="2" t="s">
        <v>1459</v>
      </c>
      <c r="D486" s="2" t="s">
        <v>365</v>
      </c>
      <c r="E486" s="2" t="s">
        <v>14</v>
      </c>
      <c r="F486" s="2" t="s">
        <v>15</v>
      </c>
      <c r="G486" s="2" t="s">
        <v>1460</v>
      </c>
      <c r="H486" s="2" t="s">
        <v>173</v>
      </c>
      <c r="I486" s="2" t="str">
        <f>IFERROR(__xludf.DUMMYFUNCTION("GOOGLETRANSLATE(C486,""fr"",""en"")"),"Victim of a fire, my car is seriously underestimated by the expert.
A C4 of 2013 which drove 98,000, paid 12,300 euros in 2016, reimbursed 6,820 euros in 2019 (by driving 16,000 km/year)!
When a disaster falls on your head, you are abandoned unscrupulou"&amp;"s. If you have a good vehicle, look for another insurer.")</f>
        <v>Victim of a fire, my car is seriously underestimated by the expert.
A C4 of 2013 which drove 98,000, paid 12,300 euros in 2016, reimbursed 6,820 euros in 2019 (by driving 16,000 km/year)!
When a disaster falls on your head, you are abandoned unscrupulous. If you have a good vehicle, look for another insurer.</v>
      </c>
    </row>
    <row r="487" ht="15.75" customHeight="1">
      <c r="A487" s="2">
        <v>2.0</v>
      </c>
      <c r="B487" s="2" t="s">
        <v>1461</v>
      </c>
      <c r="C487" s="2" t="s">
        <v>1462</v>
      </c>
      <c r="D487" s="2" t="s">
        <v>365</v>
      </c>
      <c r="E487" s="2" t="s">
        <v>14</v>
      </c>
      <c r="F487" s="2" t="s">
        <v>15</v>
      </c>
      <c r="G487" s="2" t="s">
        <v>1463</v>
      </c>
      <c r="H487" s="2" t="s">
        <v>268</v>
      </c>
      <c r="I487" s="2" t="str">
        <f>IFERROR(__xludf.DUMMYFUNCTION("GOOGLETRANSLATE(C487,""fr"",""en"")"),"My young driver had 2 minor clashes this year with his car this year and declared them to Maif. The insurer then phoned us to tell us that next time, he didn't want to assure him anymore. We have been insured for more than 30 years at Maif with a maximum "&amp;"bonus for a long time, but that they do not take into account of course. Morality, if you have a hanging, especially don't be honest, you will be punished! La Maif, insurer ... activist? But who militates what exactly? Only for the good health of the grou"&amp;"p (as specified on its site), not that of members! There is an identity theft because the M of Maif means mutual, but perhaps they do not know what it means ... After so many years spent as a Maif member, I am bitter and disappointed To see what they have"&amp;" done with this beautiful mutual: an insurance company like the others. If you are looking for an insurer, do not trust the good discourse displayed in the pubs, you will no longer find these values ​​at the Maif.")</f>
        <v>My young driver had 2 minor clashes this year with his car this year and declared them to Maif. The insurer then phoned us to tell us that next time, he didn't want to assure him anymore. We have been insured for more than 30 years at Maif with a maximum bonus for a long time, but that they do not take into account of course. Morality, if you have a hanging, especially don't be honest, you will be punished! La Maif, insurer ... activist? But who militates what exactly? Only for the good health of the group (as specified on its site), not that of members! There is an identity theft because the M of Maif means mutual, but perhaps they do not know what it means ... After so many years spent as a Maif member, I am bitter and disappointed To see what they have done with this beautiful mutual: an insurance company like the others. If you are looking for an insurer, do not trust the good discourse displayed in the pubs, you will no longer find these values ​​at the Maif.</v>
      </c>
    </row>
    <row r="488" ht="15.75" customHeight="1">
      <c r="A488" s="2">
        <v>2.0</v>
      </c>
      <c r="B488" s="2" t="s">
        <v>1464</v>
      </c>
      <c r="C488" s="2" t="s">
        <v>1465</v>
      </c>
      <c r="D488" s="2" t="s">
        <v>34</v>
      </c>
      <c r="E488" s="2" t="s">
        <v>35</v>
      </c>
      <c r="F488" s="2" t="s">
        <v>15</v>
      </c>
      <c r="G488" s="2" t="s">
        <v>1466</v>
      </c>
      <c r="H488" s="2" t="s">
        <v>335</v>
      </c>
      <c r="I488" s="2" t="str">
        <f>IFERROR(__xludf.DUMMYFUNCTION("GOOGLETRANSLATE(C488,""fr"",""en"")"),"Attention!! They harass you to subscribe and the day you find a job they will do everything to prevent you from terminating. I had to do the documents 3 times by human resources for abusive reasons.")</f>
        <v>Attention!! They harass you to subscribe and the day you find a job they will do everything to prevent you from terminating. I had to do the documents 3 times by human resources for abusive reasons.</v>
      </c>
    </row>
    <row r="489" ht="15.75" customHeight="1">
      <c r="A489" s="2">
        <v>1.0</v>
      </c>
      <c r="B489" s="2" t="s">
        <v>1467</v>
      </c>
      <c r="C489" s="2" t="s">
        <v>1468</v>
      </c>
      <c r="D489" s="2" t="s">
        <v>278</v>
      </c>
      <c r="E489" s="2" t="s">
        <v>14</v>
      </c>
      <c r="F489" s="2" t="s">
        <v>15</v>
      </c>
      <c r="G489" s="2" t="s">
        <v>1469</v>
      </c>
      <c r="H489" s="2" t="s">
        <v>1050</v>
      </c>
      <c r="I489" s="2" t="str">
        <f>IFERROR(__xludf.DUMMYFUNCTION("GOOGLETRANSLATE(C489,""fr"",""en"")"),"Insured for over 15 years, I have never had an accident. The only incident arrived at me last summer 700 km from my home (breakdown following grilled fuse). Although this is covered by my contract, the matmut assistance could not put me in touch with a co"&amp;"nvenience store. It was a German who passed by there who kindly converted me.")</f>
        <v>Insured for over 15 years, I have never had an accident. The only incident arrived at me last summer 700 km from my home (breakdown following grilled fuse). Although this is covered by my contract, the matmut assistance could not put me in touch with a convenience store. It was a German who passed by there who kindly converted me.</v>
      </c>
    </row>
    <row r="490" ht="15.75" customHeight="1">
      <c r="A490" s="2">
        <v>4.0</v>
      </c>
      <c r="B490" s="2" t="s">
        <v>1470</v>
      </c>
      <c r="C490" s="2" t="s">
        <v>1471</v>
      </c>
      <c r="D490" s="2" t="s">
        <v>121</v>
      </c>
      <c r="E490" s="2" t="s">
        <v>85</v>
      </c>
      <c r="F490" s="2" t="s">
        <v>15</v>
      </c>
      <c r="G490" s="2" t="s">
        <v>1472</v>
      </c>
      <c r="H490" s="2" t="s">
        <v>1029</v>
      </c>
      <c r="I490" s="2" t="str">
        <f>IFERROR(__xludf.DUMMYFUNCTION("GOOGLETRANSLATE(C490,""fr"",""en"")"),"Groupama is an excellent insurer: customer relations are impeccable, very kind advisers; The answer to a question is guaranteed, and when you have a problem, they reimburse you without trying to flee their responsibilities; Excellence has a price and thei"&amp;"r prices are unfortunately revised upwards each year, it is a bit where the rub.")</f>
        <v>Groupama is an excellent insurer: customer relations are impeccable, very kind advisers; The answer to a question is guaranteed, and when you have a problem, they reimburse you without trying to flee their responsibilities; Excellence has a price and their prices are unfortunately revised upwards each year, it is a bit where the rub.</v>
      </c>
    </row>
    <row r="491" ht="15.75" customHeight="1">
      <c r="A491" s="2">
        <v>2.0</v>
      </c>
      <c r="B491" s="2" t="s">
        <v>1473</v>
      </c>
      <c r="C491" s="2" t="s">
        <v>1474</v>
      </c>
      <c r="D491" s="2" t="s">
        <v>116</v>
      </c>
      <c r="E491" s="2" t="s">
        <v>35</v>
      </c>
      <c r="F491" s="2" t="s">
        <v>15</v>
      </c>
      <c r="G491" s="2" t="s">
        <v>1475</v>
      </c>
      <c r="H491" s="2" t="s">
        <v>150</v>
      </c>
      <c r="I491" s="2" t="str">
        <f>IFERROR(__xludf.DUMMYFUNCTION("GOOGLETRANSLATE(C491,""fr"",""en"")"),"Mutual dear and little reimbursement but!")</f>
        <v>Mutual dear and little reimbursement but!</v>
      </c>
    </row>
    <row r="492" ht="15.75" customHeight="1">
      <c r="A492" s="2">
        <v>3.0</v>
      </c>
      <c r="B492" s="2" t="s">
        <v>1476</v>
      </c>
      <c r="C492" s="2" t="s">
        <v>1477</v>
      </c>
      <c r="D492" s="2" t="s">
        <v>34</v>
      </c>
      <c r="E492" s="2" t="s">
        <v>35</v>
      </c>
      <c r="F492" s="2" t="s">
        <v>15</v>
      </c>
      <c r="G492" s="2" t="s">
        <v>1478</v>
      </c>
      <c r="H492" s="2" t="s">
        <v>37</v>
      </c>
      <c r="I492" s="2" t="str">
        <f>IFERROR(__xludf.DUMMYFUNCTION("GOOGLETRANSLATE(C492,""fr"",""en"")"),"Health insurance that adapts well to my health needs. When subscribing a study was done to meet my needs and adapt the most to my desires")</f>
        <v>Health insurance that adapts well to my health needs. When subscribing a study was done to meet my needs and adapt the most to my desires</v>
      </c>
    </row>
    <row r="493" ht="15.75" customHeight="1">
      <c r="A493" s="2">
        <v>5.0</v>
      </c>
      <c r="B493" s="2" t="s">
        <v>1479</v>
      </c>
      <c r="C493" s="2" t="s">
        <v>1480</v>
      </c>
      <c r="D493" s="2" t="s">
        <v>13</v>
      </c>
      <c r="E493" s="2" t="s">
        <v>14</v>
      </c>
      <c r="F493" s="2" t="s">
        <v>15</v>
      </c>
      <c r="G493" s="2" t="s">
        <v>646</v>
      </c>
      <c r="H493" s="2" t="s">
        <v>52</v>
      </c>
      <c r="I493" s="2" t="str">
        <f>IFERROR(__xludf.DUMMYFUNCTION("GOOGLETRANSLATE(C493,""fr"",""en"")"),"Very well, I am satisfied, good value for money, remain the management of monthly payments with the case. Very friendly and welcoming staff. I recommend")</f>
        <v>Very well, I am satisfied, good value for money, remain the management of monthly payments with the case. Very friendly and welcoming staff. I recommend</v>
      </c>
    </row>
    <row r="494" ht="15.75" customHeight="1">
      <c r="A494" s="2">
        <v>4.0</v>
      </c>
      <c r="B494" s="2" t="s">
        <v>1481</v>
      </c>
      <c r="C494" s="2" t="s">
        <v>1482</v>
      </c>
      <c r="D494" s="2" t="s">
        <v>55</v>
      </c>
      <c r="E494" s="2" t="s">
        <v>56</v>
      </c>
      <c r="F494" s="2" t="s">
        <v>15</v>
      </c>
      <c r="G494" s="2" t="s">
        <v>767</v>
      </c>
      <c r="H494" s="2" t="s">
        <v>272</v>
      </c>
      <c r="I494" s="2" t="str">
        <f>IFERROR(__xludf.DUMMYFUNCTION("GOOGLETRANSLATE(C494,""fr"",""en"")"),"Satisfied with the speed of the service and low prices.
To see later but it was very simple to subscribe to April Moto insurance. Thank you to the advisers")</f>
        <v>Satisfied with the speed of the service and low prices.
To see later but it was very simple to subscribe to April Moto insurance. Thank you to the advisers</v>
      </c>
    </row>
    <row r="495" ht="15.75" customHeight="1">
      <c r="A495" s="2">
        <v>5.0</v>
      </c>
      <c r="B495" s="2" t="s">
        <v>1483</v>
      </c>
      <c r="C495" s="2" t="s">
        <v>1484</v>
      </c>
      <c r="D495" s="2" t="s">
        <v>43</v>
      </c>
      <c r="E495" s="2" t="s">
        <v>14</v>
      </c>
      <c r="F495" s="2" t="s">
        <v>15</v>
      </c>
      <c r="G495" s="2" t="s">
        <v>1485</v>
      </c>
      <c r="H495" s="2" t="s">
        <v>166</v>
      </c>
      <c r="I495" s="2" t="str">
        <f>IFERROR(__xludf.DUMMYFUNCTION("GOOGLETRANSLATE(C495,""fr"",""en"")"),"Very satisfactory satisfaction very available very polished very understandable. I don't know what to write more apart from wishing to have no accident.")</f>
        <v>Very satisfactory satisfaction very available very polished very understandable. I don't know what to write more apart from wishing to have no accident.</v>
      </c>
    </row>
    <row r="496" ht="15.75" customHeight="1">
      <c r="A496" s="2">
        <v>1.0</v>
      </c>
      <c r="B496" s="2" t="s">
        <v>1486</v>
      </c>
      <c r="C496" s="2" t="s">
        <v>1487</v>
      </c>
      <c r="D496" s="2" t="s">
        <v>930</v>
      </c>
      <c r="E496" s="2" t="s">
        <v>56</v>
      </c>
      <c r="F496" s="2" t="s">
        <v>15</v>
      </c>
      <c r="G496" s="2" t="s">
        <v>1488</v>
      </c>
      <c r="H496" s="2" t="s">
        <v>68</v>
      </c>
      <c r="I496" s="2" t="str">
        <f>IFERROR(__xludf.DUMMYFUNCTION("GOOGLETRANSLATE(C496,""fr"",""en"")"),"Perpetual increase rates.
Mediocre compensation of non -responsible claims, even after 15 insurance of several vehicles without any claim !!!
To be recommended!
To avoid !")</f>
        <v>Perpetual increase rates.
Mediocre compensation of non -responsible claims, even after 15 insurance of several vehicles without any claim !!!
To be recommended!
To avoid !</v>
      </c>
    </row>
    <row r="497" ht="15.75" customHeight="1">
      <c r="A497" s="2">
        <v>3.0</v>
      </c>
      <c r="B497" s="2" t="s">
        <v>1489</v>
      </c>
      <c r="C497" s="2" t="s">
        <v>1490</v>
      </c>
      <c r="D497" s="2" t="s">
        <v>80</v>
      </c>
      <c r="E497" s="2" t="s">
        <v>14</v>
      </c>
      <c r="F497" s="2" t="s">
        <v>15</v>
      </c>
      <c r="G497" s="2" t="s">
        <v>1491</v>
      </c>
      <c r="H497" s="2" t="s">
        <v>209</v>
      </c>
      <c r="I497" s="2" t="str">
        <f>IFERROR(__xludf.DUMMYFUNCTION("GOOGLETRANSLATE(C497,""fr"",""en"")"),"And yet I just need a certificate of civil liability but it is a real travel of the fighter. I go through my agency in Levallois Perret but impossible to have them on the phone. So I go through the client Axa service but we can do nothing For you because "&amp;"you have to go through the offices of Nanterre or the Defense I do not know anymore we contact them by email and by mail to be sure to have our famous certificate but no nothing to do it is more than 1 month that we have not answer. So what I admit to bei"&amp;"ng a little lost. Thank you Axa")</f>
        <v>And yet I just need a certificate of civil liability but it is a real travel of the fighter. I go through my agency in Levallois Perret but impossible to have them on the phone. So I go through the client Axa service but we can do nothing For you because you have to go through the offices of Nanterre or the Defense I do not know anymore we contact them by email and by mail to be sure to have our famous certificate but no nothing to do it is more than 1 month that we have not answer. So what I admit to being a little lost. Thank you Axa</v>
      </c>
    </row>
    <row r="498" ht="15.75" customHeight="1">
      <c r="A498" s="2">
        <v>3.0</v>
      </c>
      <c r="B498" s="2" t="s">
        <v>1492</v>
      </c>
      <c r="C498" s="2" t="s">
        <v>1493</v>
      </c>
      <c r="D498" s="2" t="s">
        <v>13</v>
      </c>
      <c r="E498" s="2" t="s">
        <v>14</v>
      </c>
      <c r="F498" s="2" t="s">
        <v>15</v>
      </c>
      <c r="G498" s="2" t="s">
        <v>1494</v>
      </c>
      <c r="H498" s="2" t="s">
        <v>52</v>
      </c>
      <c r="I498" s="2" t="str">
        <f>IFERROR(__xludf.DUMMYFUNCTION("GOOGLETRANSLATE(C498,""fr"",""en"")"),"I found the site intuitive. The procedures are quick to take, via email and customer area. The prices seem correct. No excessive additional costs.")</f>
        <v>I found the site intuitive. The procedures are quick to take, via email and customer area. The prices seem correct. No excessive additional costs.</v>
      </c>
    </row>
    <row r="499" ht="15.75" customHeight="1">
      <c r="A499" s="2">
        <v>1.0</v>
      </c>
      <c r="B499" s="2" t="s">
        <v>1495</v>
      </c>
      <c r="C499" s="2" t="s">
        <v>1496</v>
      </c>
      <c r="D499" s="2" t="s">
        <v>106</v>
      </c>
      <c r="E499" s="2" t="s">
        <v>14</v>
      </c>
      <c r="F499" s="2" t="s">
        <v>15</v>
      </c>
      <c r="G499" s="2" t="s">
        <v>1162</v>
      </c>
      <c r="H499" s="2" t="s">
        <v>217</v>
      </c>
      <c r="I499" s="2" t="str">
        <f>IFERROR(__xludf.DUMMYFUNCTION("GOOGLETRANSLATE(C499,""fr"",""en"")"),"Null claims management, to be avoided.
Incompetent mandated expert whose sole purpose is to avoid compensating customers
I had legal protection insurance at home that I also canceled")</f>
        <v>Null claims management, to be avoided.
Incompetent mandated expert whose sole purpose is to avoid compensating customers
I had legal protection insurance at home that I also canceled</v>
      </c>
    </row>
    <row r="500" ht="15.75" customHeight="1">
      <c r="A500" s="2">
        <v>3.0</v>
      </c>
      <c r="B500" s="2" t="s">
        <v>1497</v>
      </c>
      <c r="C500" s="2" t="s">
        <v>1498</v>
      </c>
      <c r="D500" s="2" t="s">
        <v>278</v>
      </c>
      <c r="E500" s="2" t="s">
        <v>14</v>
      </c>
      <c r="F500" s="2" t="s">
        <v>15</v>
      </c>
      <c r="G500" s="2" t="s">
        <v>1120</v>
      </c>
      <c r="H500" s="2" t="s">
        <v>131</v>
      </c>
      <c r="I500" s="2" t="str">
        <f>IFERROR(__xludf.DUMMYFUNCTION("GOOGLETRANSLATE(C500,""fr"",""en"")"),"Hello,
Correct quality / price ratio
I regret 3 things:
1) We no longer have an annual mail indicating the Taris of the Year / A-1; You have to go to the site and it is not always clear. We can hardly see tariff differences.
2) MATMUT combines the Aut"&amp;"o + Housing Insurance Contracting amounts; I will prefer a car levy and another home, because we no longer know what we pay.
3) We cannot communicate by email, which is however practical; You always have to go through the site; Which is longer bcp.
Cord"&amp;"ially,
Vincent Gadenne
0622190244")</f>
        <v>Hello,
Correct quality / price ratio
I regret 3 things:
1) We no longer have an annual mail indicating the Taris of the Year / A-1; You have to go to the site and it is not always clear. We can hardly see tariff differences.
2) MATMUT combines the Auto + Housing Insurance Contracting amounts; I will prefer a car levy and another home, because we no longer know what we pay.
3) We cannot communicate by email, which is however practical; You always have to go through the site; Which is longer bcp.
Cordially,
Vincent Gadenne
0622190244</v>
      </c>
    </row>
    <row r="501" ht="15.75" customHeight="1">
      <c r="A501" s="2">
        <v>4.0</v>
      </c>
      <c r="B501" s="2" t="s">
        <v>1499</v>
      </c>
      <c r="C501" s="2" t="s">
        <v>1500</v>
      </c>
      <c r="D501" s="2" t="s">
        <v>34</v>
      </c>
      <c r="E501" s="2" t="s">
        <v>35</v>
      </c>
      <c r="F501" s="2" t="s">
        <v>15</v>
      </c>
      <c r="G501" s="2" t="s">
        <v>1501</v>
      </c>
      <c r="H501" s="2" t="s">
        <v>27</v>
      </c>
      <c r="I501" s="2" t="str">
        <f>IFERROR(__xludf.DUMMYFUNCTION("GOOGLETRANSLATE(C501,""fr"",""en"")"),"Caroline was of great efficiency by solving a remote transmission problem in real time. 5 minutes after our exchanges, I received a social security call confirming the activation. Hard to beat ! Thank you Caroline :)")</f>
        <v>Caroline was of great efficiency by solving a remote transmission problem in real time. 5 minutes after our exchanges, I received a social security call confirming the activation. Hard to beat ! Thank you Caroline :)</v>
      </c>
    </row>
    <row r="502" ht="15.75" customHeight="1">
      <c r="A502" s="2">
        <v>5.0</v>
      </c>
      <c r="B502" s="2" t="s">
        <v>1502</v>
      </c>
      <c r="C502" s="2" t="s">
        <v>1503</v>
      </c>
      <c r="D502" s="2" t="s">
        <v>43</v>
      </c>
      <c r="E502" s="2" t="s">
        <v>14</v>
      </c>
      <c r="F502" s="2" t="s">
        <v>15</v>
      </c>
      <c r="G502" s="2" t="s">
        <v>1504</v>
      </c>
      <c r="H502" s="2" t="s">
        <v>72</v>
      </c>
      <c r="I502" s="2" t="str">
        <f>IFERROR(__xludf.DUMMYFUNCTION("GOOGLETRANSLATE(C502,""fr"",""en"")"),"I am satisfied, very well advised, my parents are insured at home and recommended me the insurance of the olive tree. Person at the end of the very professional and welcoming phone thank you")</f>
        <v>I am satisfied, very well advised, my parents are insured at home and recommended me the insurance of the olive tree. Person at the end of the very professional and welcoming phone thank you</v>
      </c>
    </row>
    <row r="503" ht="15.75" customHeight="1">
      <c r="A503" s="2">
        <v>4.0</v>
      </c>
      <c r="B503" s="2" t="s">
        <v>1505</v>
      </c>
      <c r="C503" s="2" t="s">
        <v>1506</v>
      </c>
      <c r="D503" s="2" t="s">
        <v>55</v>
      </c>
      <c r="E503" s="2" t="s">
        <v>56</v>
      </c>
      <c r="F503" s="2" t="s">
        <v>15</v>
      </c>
      <c r="G503" s="2" t="s">
        <v>974</v>
      </c>
      <c r="H503" s="2" t="s">
        <v>192</v>
      </c>
      <c r="I503" s="2" t="str">
        <f>IFERROR(__xludf.DUMMYFUNCTION("GOOGLETRANSLATE(C503,""fr"",""en"")"),"Satisfied with the value for money, the options available. Subscribing online is a plus and relatively easy.
Thank you for the ease of handling.")</f>
        <v>Satisfied with the value for money, the options available. Subscribing online is a plus and relatively easy.
Thank you for the ease of handling.</v>
      </c>
    </row>
    <row r="504" ht="15.75" customHeight="1">
      <c r="A504" s="2">
        <v>4.0</v>
      </c>
      <c r="B504" s="2" t="s">
        <v>1507</v>
      </c>
      <c r="C504" s="2" t="s">
        <v>1508</v>
      </c>
      <c r="D504" s="2" t="s">
        <v>13</v>
      </c>
      <c r="E504" s="2" t="s">
        <v>14</v>
      </c>
      <c r="F504" s="2" t="s">
        <v>15</v>
      </c>
      <c r="G504" s="2" t="s">
        <v>1108</v>
      </c>
      <c r="H504" s="2" t="s">
        <v>192</v>
      </c>
      <c r="I504" s="2" t="str">
        <f>IFERROR(__xludf.DUMMYFUNCTION("GOOGLETRANSLATE(C504,""fr"",""en"")"),"I am satisfied with your services The prices are correct
telephone advice is very understandable and simple
as well as by messaging.
 ")</f>
        <v>I am satisfied with your services The prices are correct
telephone advice is very understandable and simple
as well as by messaging.
 </v>
      </c>
    </row>
    <row r="505" ht="15.75" customHeight="1">
      <c r="A505" s="2">
        <v>4.0</v>
      </c>
      <c r="B505" s="2" t="s">
        <v>1509</v>
      </c>
      <c r="C505" s="2" t="s">
        <v>1510</v>
      </c>
      <c r="D505" s="2" t="s">
        <v>55</v>
      </c>
      <c r="E505" s="2" t="s">
        <v>56</v>
      </c>
      <c r="F505" s="2" t="s">
        <v>15</v>
      </c>
      <c r="G505" s="2" t="s">
        <v>1511</v>
      </c>
      <c r="H505" s="2" t="s">
        <v>166</v>
      </c>
      <c r="I505" s="2" t="str">
        <f>IFERROR(__xludf.DUMMYFUNCTION("GOOGLETRANSLATE(C505,""fr"",""en"")"),"Simple and quick, I'm waiting to see the rest in the event of a problem as well as the reactivity on the phone if I need to have them! I am now waiting for my contract!")</f>
        <v>Simple and quick, I'm waiting to see the rest in the event of a problem as well as the reactivity on the phone if I need to have them! I am now waiting for my contract!</v>
      </c>
    </row>
    <row r="506" ht="15.75" customHeight="1">
      <c r="A506" s="2">
        <v>4.0</v>
      </c>
      <c r="B506" s="2" t="s">
        <v>1512</v>
      </c>
      <c r="C506" s="2" t="s">
        <v>1513</v>
      </c>
      <c r="D506" s="2" t="s">
        <v>43</v>
      </c>
      <c r="E506" s="2" t="s">
        <v>14</v>
      </c>
      <c r="F506" s="2" t="s">
        <v>15</v>
      </c>
      <c r="G506" s="2" t="s">
        <v>1514</v>
      </c>
      <c r="H506" s="2" t="s">
        <v>192</v>
      </c>
      <c r="I506" s="2" t="str">
        <f>IFERROR(__xludf.DUMMYFUNCTION("GOOGLETRANSLATE(C506,""fr"",""en"")"),"Interesting price regarding all risks insurance. In view of the requested guarantees I am even surprised. The advantage of online insurance. Easy to use")</f>
        <v>Interesting price regarding all risks insurance. In view of the requested guarantees I am even surprised. The advantage of online insurance. Easy to use</v>
      </c>
    </row>
    <row r="507" ht="15.75" customHeight="1">
      <c r="A507" s="2">
        <v>3.0</v>
      </c>
      <c r="B507" s="2" t="s">
        <v>1515</v>
      </c>
      <c r="C507" s="2" t="s">
        <v>1516</v>
      </c>
      <c r="D507" s="2" t="s">
        <v>308</v>
      </c>
      <c r="E507" s="2" t="s">
        <v>14</v>
      </c>
      <c r="F507" s="2" t="s">
        <v>15</v>
      </c>
      <c r="G507" s="2" t="s">
        <v>796</v>
      </c>
      <c r="H507" s="2" t="s">
        <v>272</v>
      </c>
      <c r="I507" s="2" t="str">
        <f>IFERROR(__xludf.DUMMYFUNCTION("GOOGLETRANSLATE(C507,""fr"",""en"")"),"Following work at my house I asked for the total repurchase of my life insurance The reimbursement is done quickly in one week online thank you Allianz to have been listening")</f>
        <v>Following work at my house I asked for the total repurchase of my life insurance The reimbursement is done quickly in one week online thank you Allianz to have been listening</v>
      </c>
    </row>
    <row r="508" ht="15.75" customHeight="1">
      <c r="A508" s="2">
        <v>1.0</v>
      </c>
      <c r="B508" s="2" t="s">
        <v>1517</v>
      </c>
      <c r="C508" s="2" t="s">
        <v>1518</v>
      </c>
      <c r="D508" s="2" t="s">
        <v>224</v>
      </c>
      <c r="E508" s="2" t="s">
        <v>35</v>
      </c>
      <c r="F508" s="2" t="s">
        <v>15</v>
      </c>
      <c r="G508" s="2" t="s">
        <v>1519</v>
      </c>
      <c r="H508" s="2" t="s">
        <v>45</v>
      </c>
      <c r="I508" s="2" t="str">
        <f>IFERROR(__xludf.DUMMYFUNCTION("GOOGLETRANSLATE(C508,""fr"",""en"")"),"My contract was signed computer by me by trusting a young incapable or poorly trained guaranteeing me to receive a paper version before a withdrawal period within 14 days as provides the law while received 20 days after more possibility of possibility of "&amp;"Retracting and contributions that do not correspond to my request (not high enough), nor to the desired coverage but with a Capital Death option be understood but in reality being another contract never requested drastically my mutual subscription.
I am "&amp;"waiting for a solution that has already initiated care but no response.")</f>
        <v>My contract was signed computer by me by trusting a young incapable or poorly trained guaranteeing me to receive a paper version before a withdrawal period within 14 days as provides the law while received 20 days after more possibility of possibility of Retracting and contributions that do not correspond to my request (not high enough), nor to the desired coverage but with a Capital Death option be understood but in reality being another contract never requested drastically my mutual subscription.
I am waiting for a solution that has already initiated care but no response.</v>
      </c>
    </row>
    <row r="509" ht="15.75" customHeight="1">
      <c r="A509" s="2">
        <v>4.0</v>
      </c>
      <c r="B509" s="2" t="s">
        <v>1520</v>
      </c>
      <c r="C509" s="2" t="s">
        <v>1521</v>
      </c>
      <c r="D509" s="2" t="s">
        <v>43</v>
      </c>
      <c r="E509" s="2" t="s">
        <v>14</v>
      </c>
      <c r="F509" s="2" t="s">
        <v>15</v>
      </c>
      <c r="G509" s="2" t="s">
        <v>272</v>
      </c>
      <c r="H509" s="2" t="s">
        <v>272</v>
      </c>
      <c r="I509" s="2" t="str">
        <f>IFERROR(__xludf.DUMMYFUNCTION("GOOGLETRANSLATE(C509,""fr"",""en"")"),"I made a quote on June 24 on your site and the next day I confirmed it when I wanted to make a comparison suddenly you refused me not very commercial sponsorship and I had to point out that the bonus goes to 0.76 Otherwise it leaves me at 0.80 !!!!!!")</f>
        <v>I made a quote on June 24 on your site and the next day I confirmed it when I wanted to make a comparison suddenly you refused me not very commercial sponsorship and I had to point out that the bonus goes to 0.76 Otherwise it leaves me at 0.80 !!!!!!</v>
      </c>
    </row>
    <row r="510" ht="15.75" customHeight="1">
      <c r="A510" s="2">
        <v>4.0</v>
      </c>
      <c r="B510" s="2" t="s">
        <v>1522</v>
      </c>
      <c r="C510" s="2" t="s">
        <v>1523</v>
      </c>
      <c r="D510" s="2" t="s">
        <v>43</v>
      </c>
      <c r="E510" s="2" t="s">
        <v>14</v>
      </c>
      <c r="F510" s="2" t="s">
        <v>15</v>
      </c>
      <c r="G510" s="2" t="s">
        <v>1524</v>
      </c>
      <c r="H510" s="2" t="s">
        <v>272</v>
      </c>
      <c r="I510" s="2" t="str">
        <f>IFERROR(__xludf.DUMMYFUNCTION("GOOGLETRANSLATE(C510,""fr"",""en"")"),"I am satisfied with the speed service reasonable price I recommend this insurance I will therefore talk about it to my loved ones I am thinking soon to insure my house also at home")</f>
        <v>I am satisfied with the speed service reasonable price I recommend this insurance I will therefore talk about it to my loved ones I am thinking soon to insure my house also at home</v>
      </c>
    </row>
    <row r="511" ht="15.75" customHeight="1">
      <c r="A511" s="2">
        <v>2.0</v>
      </c>
      <c r="B511" s="2" t="s">
        <v>1525</v>
      </c>
      <c r="C511" s="2" t="s">
        <v>1526</v>
      </c>
      <c r="D511" s="2" t="s">
        <v>19</v>
      </c>
      <c r="E511" s="2" t="s">
        <v>14</v>
      </c>
      <c r="F511" s="2" t="s">
        <v>15</v>
      </c>
      <c r="G511" s="2" t="s">
        <v>1527</v>
      </c>
      <c r="H511" s="2" t="s">
        <v>721</v>
      </c>
      <c r="I511" s="2" t="str">
        <f>IFERROR(__xludf.DUMMYFUNCTION("GOOGLETRANSLATE(C511,""fr"",""en"")"),"No care following a non -responsible observation ""a car came to get into my portal"". No expert's trip, just an email telling me that he could not follow up because there was not closed in my home insurance for exterior damage. For me theoretically it is"&amp;" the assurance of the one who returned to me in the portal which must cover the costs. !!!! but nothing is done by the Macif
I am declared this insurance")</f>
        <v>No care following a non -responsible observation "a car came to get into my portal". No expert's trip, just an email telling me that he could not follow up because there was not closed in my home insurance for exterior damage. For me theoretically it is the assurance of the one who returned to me in the portal which must cover the costs. !!!! but nothing is done by the Macif
I am declared this insurance</v>
      </c>
    </row>
    <row r="512" ht="15.75" customHeight="1">
      <c r="A512" s="2">
        <v>4.0</v>
      </c>
      <c r="B512" s="2" t="s">
        <v>1528</v>
      </c>
      <c r="C512" s="2" t="s">
        <v>1529</v>
      </c>
      <c r="D512" s="2" t="s">
        <v>13</v>
      </c>
      <c r="E512" s="2" t="s">
        <v>14</v>
      </c>
      <c r="F512" s="2" t="s">
        <v>15</v>
      </c>
      <c r="G512" s="2" t="s">
        <v>1530</v>
      </c>
      <c r="H512" s="2" t="s">
        <v>68</v>
      </c>
      <c r="I512" s="2" t="str">
        <f>IFERROR(__xludf.DUMMYFUNCTION("GOOGLETRANSLATE(C512,""fr"",""en"")"),"satisfied with the clear and precise information service by phone. The price remains correct when you start to be insured again; Pleasant and available interlocutor")</f>
        <v>satisfied with the clear and precise information service by phone. The price remains correct when you start to be insured again; Pleasant and available interlocutor</v>
      </c>
    </row>
    <row r="513" ht="15.75" customHeight="1">
      <c r="A513" s="2">
        <v>1.0</v>
      </c>
      <c r="B513" s="2" t="s">
        <v>1531</v>
      </c>
      <c r="C513" s="2" t="s">
        <v>1532</v>
      </c>
      <c r="D513" s="2" t="s">
        <v>143</v>
      </c>
      <c r="E513" s="2" t="s">
        <v>85</v>
      </c>
      <c r="F513" s="2" t="s">
        <v>15</v>
      </c>
      <c r="G513" s="2" t="s">
        <v>1533</v>
      </c>
      <c r="H513" s="2" t="s">
        <v>150</v>
      </c>
      <c r="I513" s="2" t="str">
        <f>IFERROR(__xludf.DUMMYFUNCTION("GOOGLETRANSLATE(C513,""fr"",""en"")"),"Hello
The more it goes and the more it degrades. A few years ago I asked for school insurance for my son who was going to return to school. I am told that you have to make an amendment to the home contract. I therefore sign the addendum but the mutual "&amp;"credit does not inform me at this moment that I no longer depend on the same general conditions as before. 3 years ago I declare a disaster and there I am informed that I am no longer covered because the general conditions are I depend on do not cover mys"&amp;"elf. I then check my initial contract and no mention was made there. In short, for a request for school insurance, I find myself without guarantees for which I was initially covered. I plan to go before the courts because the situation can no longer last "&amp;".. and the Crédit Mutuel remakes me the same with the car insurance of a new vehicle. .")</f>
        <v>Hello
The more it goes and the more it degrades. A few years ago I asked for school insurance for my son who was going to return to school. I am told that you have to make an amendment to the home contract. I therefore sign the addendum but the mutual credit does not inform me at this moment that I no longer depend on the same general conditions as before. 3 years ago I declare a disaster and there I am informed that I am no longer covered because the general conditions are I depend on do not cover myself. I then check my initial contract and no mention was made there. In short, for a request for school insurance, I find myself without guarantees for which I was initially covered. I plan to go before the courts because the situation can no longer last .. and the Crédit Mutuel remakes me the same with the car insurance of a new vehicle. .</v>
      </c>
    </row>
    <row r="514" ht="15.75" customHeight="1">
      <c r="A514" s="2">
        <v>3.0</v>
      </c>
      <c r="B514" s="2" t="s">
        <v>1534</v>
      </c>
      <c r="C514" s="2" t="s">
        <v>1535</v>
      </c>
      <c r="D514" s="2" t="s">
        <v>224</v>
      </c>
      <c r="E514" s="2" t="s">
        <v>35</v>
      </c>
      <c r="F514" s="2" t="s">
        <v>15</v>
      </c>
      <c r="G514" s="2" t="s">
        <v>30</v>
      </c>
      <c r="H514" s="2" t="s">
        <v>31</v>
      </c>
      <c r="I514" s="2" t="str">
        <f>IFERROR(__xludf.DUMMYFUNCTION("GOOGLETRANSLATE(C514,""fr"",""en"")"),"A member since January 01, 2021, this day, I had a good exchange with Emeline.
Big difficulties in changing my month of birth and obtaining a new schedule given the non -compliance with my request from the subscription to take 05 of each month. I hope Em"&amp;"eline did this time the work not done by CP Assurance.")</f>
        <v>A member since January 01, 2021, this day, I had a good exchange with Emeline.
Big difficulties in changing my month of birth and obtaining a new schedule given the non -compliance with my request from the subscription to take 05 of each month. I hope Emeline did this time the work not done by CP Assurance.</v>
      </c>
    </row>
    <row r="515" ht="15.75" customHeight="1">
      <c r="A515" s="2">
        <v>5.0</v>
      </c>
      <c r="B515" s="2" t="s">
        <v>1536</v>
      </c>
      <c r="C515" s="2" t="s">
        <v>1537</v>
      </c>
      <c r="D515" s="2" t="s">
        <v>97</v>
      </c>
      <c r="E515" s="2" t="s">
        <v>56</v>
      </c>
      <c r="F515" s="2" t="s">
        <v>15</v>
      </c>
      <c r="G515" s="2" t="s">
        <v>138</v>
      </c>
      <c r="H515" s="2" t="s">
        <v>72</v>
      </c>
      <c r="I515" s="2" t="str">
        <f>IFERROR(__xludf.DUMMYFUNCTION("GOOGLETRANSLATE(C515,""fr"",""en"")"),"Simple, good prices and fast, but not to use it since I was assured so no opinion on the services in the event of a claim; So to see when I will have to use it (I EPERE .... never !!!!)")</f>
        <v>Simple, good prices and fast, but not to use it since I was assured so no opinion on the services in the event of a claim; So to see when I will have to use it (I EPERE .... never !!!!)</v>
      </c>
    </row>
    <row r="516" ht="15.75" customHeight="1">
      <c r="A516" s="2">
        <v>2.0</v>
      </c>
      <c r="B516" s="2" t="s">
        <v>1538</v>
      </c>
      <c r="C516" s="2" t="s">
        <v>1539</v>
      </c>
      <c r="D516" s="2" t="s">
        <v>55</v>
      </c>
      <c r="E516" s="2" t="s">
        <v>56</v>
      </c>
      <c r="F516" s="2" t="s">
        <v>15</v>
      </c>
      <c r="G516" s="2" t="s">
        <v>1540</v>
      </c>
      <c r="H516" s="2" t="s">
        <v>158</v>
      </c>
      <c r="I516" s="2" t="str">
        <f>IFERROR(__xludf.DUMMYFUNCTION("GOOGLETRANSLATE(C516,""fr"",""en"")"),"After an accident arrived on July 17, 2017, I am still not to compensate 100% when I have no responsibility and a wreck motorcycle. In addition to the months 3 months of insurance taken after the sale of the vehicle insurer")</f>
        <v>After an accident arrived on July 17, 2017, I am still not to compensate 100% when I have no responsibility and a wreck motorcycle. In addition to the months 3 months of insurance taken after the sale of the vehicle insurer</v>
      </c>
    </row>
    <row r="517" ht="15.75" customHeight="1">
      <c r="A517" s="2">
        <v>4.0</v>
      </c>
      <c r="B517" s="2" t="s">
        <v>1541</v>
      </c>
      <c r="C517" s="2" t="s">
        <v>1542</v>
      </c>
      <c r="D517" s="2" t="s">
        <v>352</v>
      </c>
      <c r="E517" s="2" t="s">
        <v>14</v>
      </c>
      <c r="F517" s="2" t="s">
        <v>15</v>
      </c>
      <c r="G517" s="2" t="s">
        <v>767</v>
      </c>
      <c r="H517" s="2" t="s">
        <v>272</v>
      </c>
      <c r="I517" s="2" t="str">
        <f>IFERROR(__xludf.DUMMYFUNCTION("GOOGLETRANSLATE(C517,""fr"",""en"")"),"Insurance company which gives me complete satisfaction.
Very well placed on the amount of contributions and taking serious account during a disaster.")</f>
        <v>Insurance company which gives me complete satisfaction.
Very well placed on the amount of contributions and taking serious account during a disaster.</v>
      </c>
    </row>
    <row r="518" ht="15.75" customHeight="1">
      <c r="A518" s="2">
        <v>3.0</v>
      </c>
      <c r="B518" s="2" t="s">
        <v>1543</v>
      </c>
      <c r="C518" s="2" t="s">
        <v>1544</v>
      </c>
      <c r="D518" s="2" t="s">
        <v>183</v>
      </c>
      <c r="E518" s="2" t="s">
        <v>14</v>
      </c>
      <c r="F518" s="2" t="s">
        <v>15</v>
      </c>
      <c r="G518" s="2" t="s">
        <v>1545</v>
      </c>
      <c r="H518" s="2" t="s">
        <v>335</v>
      </c>
      <c r="I518" s="2" t="str">
        <f>IFERROR(__xludf.DUMMYFUNCTION("GOOGLETRANSLATE(C518,""fr"",""en"")"),"I subscribed to an auto insurance contract at 14/12/18. After multiple calls to know the nature of the documents I had to send, I am informed last week that my file is complete and that I would receive my green card after verification of the information s"&amp;"tatement from my former insurer. And the next day, Ho Surprise, I was contacted to inform me that the gray card of the vehicle I had sent. Since then, I have returned this gray card to my customer area, from my mobile, computer, by email .... and during m"&amp;"y multiple calls to customer service no one is able to tell me if this gray card was indeed Received, my provisional insurance certificate ended yesterday and no satisfactory response from customer service. They are incompetent, disrespectful. When I see "&amp;"the way it happens for a simple contract finalization, it does not suggest anything good in the event of a claim. A word of advice: Flee !!!")</f>
        <v>I subscribed to an auto insurance contract at 14/12/18. After multiple calls to know the nature of the documents I had to send, I am informed last week that my file is complete and that I would receive my green card after verification of the information statement from my former insurer. And the next day, Ho Surprise, I was contacted to inform me that the gray card of the vehicle I had sent. Since then, I have returned this gray card to my customer area, from my mobile, computer, by email .... and during my multiple calls to customer service no one is able to tell me if this gray card was indeed Received, my provisional insurance certificate ended yesterday and no satisfactory response from customer service. They are incompetent, disrespectful. When I see the way it happens for a simple contract finalization, it does not suggest anything good in the event of a claim. A word of advice: Flee !!!</v>
      </c>
    </row>
    <row r="519" ht="15.75" customHeight="1">
      <c r="A519" s="2">
        <v>3.0</v>
      </c>
      <c r="B519" s="2" t="s">
        <v>1546</v>
      </c>
      <c r="C519" s="2" t="s">
        <v>1547</v>
      </c>
      <c r="D519" s="2" t="s">
        <v>352</v>
      </c>
      <c r="E519" s="2" t="s">
        <v>85</v>
      </c>
      <c r="F519" s="2" t="s">
        <v>15</v>
      </c>
      <c r="G519" s="2" t="s">
        <v>1548</v>
      </c>
      <c r="H519" s="2" t="s">
        <v>197</v>
      </c>
      <c r="I519" s="2" t="str">
        <f>IFERROR(__xludf.DUMMYFUNCTION("GOOGLETRANSLATE(C519,""fr"",""en"")"),"Dear contract, the multi -risk is far from covering the damage to a temperature to make money on the customer's back, very disappointed ++ after 50 years.")</f>
        <v>Dear contract, the multi -risk is far from covering the damage to a temperature to make money on the customer's back, very disappointed ++ after 50 years.</v>
      </c>
    </row>
    <row r="520" ht="15.75" customHeight="1">
      <c r="A520" s="2">
        <v>4.0</v>
      </c>
      <c r="B520" s="2" t="s">
        <v>1549</v>
      </c>
      <c r="C520" s="2" t="s">
        <v>1550</v>
      </c>
      <c r="D520" s="2" t="s">
        <v>224</v>
      </c>
      <c r="E520" s="2" t="s">
        <v>35</v>
      </c>
      <c r="F520" s="2" t="s">
        <v>15</v>
      </c>
      <c r="G520" s="2" t="s">
        <v>1551</v>
      </c>
      <c r="H520" s="2" t="s">
        <v>150</v>
      </c>
      <c r="I520" s="2" t="str">
        <f>IFERROR(__xludf.DUMMYFUNCTION("GOOGLETRANSLATE(C520,""fr"",""en"")"),"Thanks to Stéphane Gauthier and Erika for:
listening
their patience
their advice
their skills
My mutual insurance company starts on 02/01/2019 and I go with great confidence and think that I will not be alone to be well consulted.")</f>
        <v>Thanks to Stéphane Gauthier and Erika for:
listening
their patience
their advice
their skills
My mutual insurance company starts on 02/01/2019 and I go with great confidence and think that I will not be alone to be well consulted.</v>
      </c>
    </row>
    <row r="521" ht="15.75" customHeight="1">
      <c r="A521" s="2">
        <v>4.0</v>
      </c>
      <c r="B521" s="2" t="s">
        <v>1552</v>
      </c>
      <c r="C521" s="2" t="s">
        <v>1553</v>
      </c>
      <c r="D521" s="2" t="s">
        <v>34</v>
      </c>
      <c r="E521" s="2" t="s">
        <v>35</v>
      </c>
      <c r="F521" s="2" t="s">
        <v>15</v>
      </c>
      <c r="G521" s="2" t="s">
        <v>1463</v>
      </c>
      <c r="H521" s="2" t="s">
        <v>268</v>
      </c>
      <c r="I521" s="2" t="str">
        <f>IFERROR(__xludf.DUMMYFUNCTION("GOOGLETRANSLATE(C521,""fr"",""en"")"),"Politeness, kindness and responsiveness are by appointment during calls. I particularly thank Caroline for her help and her involvement!")</f>
        <v>Politeness, kindness and responsiveness are by appointment during calls. I particularly thank Caroline for her help and her involvement!</v>
      </c>
    </row>
    <row r="522" ht="15.75" customHeight="1">
      <c r="A522" s="2">
        <v>1.0</v>
      </c>
      <c r="B522" s="2" t="s">
        <v>1554</v>
      </c>
      <c r="C522" s="2" t="s">
        <v>1555</v>
      </c>
      <c r="D522" s="2" t="s">
        <v>13</v>
      </c>
      <c r="E522" s="2" t="s">
        <v>14</v>
      </c>
      <c r="F522" s="2" t="s">
        <v>15</v>
      </c>
      <c r="G522" s="2" t="s">
        <v>1175</v>
      </c>
      <c r="H522" s="2" t="s">
        <v>166</v>
      </c>
      <c r="I522" s="2" t="str">
        <f>IFERROR(__xludf.DUMMYFUNCTION("GOOGLETRANSLATE(C522,""fr"",""en"")"),"3 times or I call and the follow -up is not made by your advisers who tells us and understands that half and especially that they lie they ads things and nothing is going on in short I will change insurer")</f>
        <v>3 times or I call and the follow -up is not made by your advisers who tells us and understands that half and especially that they lie they ads things and nothing is going on in short I will change insurer</v>
      </c>
    </row>
    <row r="523" ht="15.75" customHeight="1">
      <c r="A523" s="2">
        <v>2.0</v>
      </c>
      <c r="B523" s="2" t="s">
        <v>1556</v>
      </c>
      <c r="C523" s="2" t="s">
        <v>1557</v>
      </c>
      <c r="D523" s="2" t="s">
        <v>19</v>
      </c>
      <c r="E523" s="2" t="s">
        <v>14</v>
      </c>
      <c r="F523" s="2" t="s">
        <v>15</v>
      </c>
      <c r="G523" s="2" t="s">
        <v>845</v>
      </c>
      <c r="H523" s="2" t="s">
        <v>45</v>
      </c>
      <c r="I523" s="2" t="str">
        <f>IFERROR(__xludf.DUMMYFUNCTION("GOOGLETRANSLATE(C523,""fr"",""en"")"),"It is a mutual with a functioning that approaches that of the SNCF, with the strike less.")</f>
        <v>It is a mutual with a functioning that approaches that of the SNCF, with the strike less.</v>
      </c>
    </row>
    <row r="524" ht="15.75" customHeight="1">
      <c r="A524" s="2">
        <v>1.0</v>
      </c>
      <c r="B524" s="2" t="s">
        <v>1558</v>
      </c>
      <c r="C524" s="2" t="s">
        <v>1559</v>
      </c>
      <c r="D524" s="2" t="s">
        <v>278</v>
      </c>
      <c r="E524" s="2" t="s">
        <v>85</v>
      </c>
      <c r="F524" s="2" t="s">
        <v>15</v>
      </c>
      <c r="G524" s="2" t="s">
        <v>1560</v>
      </c>
      <c r="H524" s="2" t="s">
        <v>442</v>
      </c>
      <c r="I524" s="2" t="str">
        <f>IFERROR(__xludf.DUMMYFUNCTION("GOOGLETRANSLATE(C524,""fr"",""en"")"),"Hello, being provided since 2011 without any claim, my insurance increased by 10% in 2018 and 10% in 2019 without any explanations, or rather if to take their new contract than Matmut offered me several and which of course is not No less expensive, Matmut"&amp;" applies very large increases, in addition to termination at 7/02/2019, Matmut is paid for annual case and annual attack tax also for the month of February (7 days) I pay more than My January monthly payment, thank you Matmut !!")</f>
        <v>Hello, being provided since 2011 without any claim, my insurance increased by 10% in 2018 and 10% in 2019 without any explanations, or rather if to take their new contract than Matmut offered me several and which of course is not No less expensive, Matmut applies very large increases, in addition to termination at 7/02/2019, Matmut is paid for annual case and annual attack tax also for the month of February (7 days) I pay more than My January monthly payment, thank you Matmut !!</v>
      </c>
    </row>
    <row r="525" ht="15.75" customHeight="1">
      <c r="A525" s="2">
        <v>3.0</v>
      </c>
      <c r="B525" s="2" t="s">
        <v>1561</v>
      </c>
      <c r="C525" s="2" t="s">
        <v>1562</v>
      </c>
      <c r="D525" s="2" t="s">
        <v>352</v>
      </c>
      <c r="E525" s="2" t="s">
        <v>14</v>
      </c>
      <c r="F525" s="2" t="s">
        <v>15</v>
      </c>
      <c r="G525" s="2" t="s">
        <v>1563</v>
      </c>
      <c r="H525" s="2" t="s">
        <v>150</v>
      </c>
      <c r="I525" s="2" t="str">
        <f>IFERROR(__xludf.DUMMYFUNCTION("GOOGLETRANSLATE(C525,""fr"",""en"")"),"12 years that I am at the GMF, today I am in trouble following a dismissal. I ask for a gesture.
Nothing is possible and in addition to that I am told right in my eyes that I do not have the right to terminate my car insurance or my home insurance. I wil"&amp;"l tell me that he was not aware of the Hamon law?
Oops ... but what I see! I was re -engaged for 1 year by just modifying the small driver clause. But what are they smart!
I am disappointed, with the feeling of making me have.")</f>
        <v>12 years that I am at the GMF, today I am in trouble following a dismissal. I ask for a gesture.
Nothing is possible and in addition to that I am told right in my eyes that I do not have the right to terminate my car insurance or my home insurance. I will tell me that he was not aware of the Hamon law?
Oops ... but what I see! I was re -engaged for 1 year by just modifying the small driver clause. But what are they smart!
I am disappointed, with the feeling of making me have.</v>
      </c>
    </row>
    <row r="526" ht="15.75" customHeight="1">
      <c r="A526" s="2">
        <v>3.0</v>
      </c>
      <c r="B526" s="2" t="s">
        <v>1564</v>
      </c>
      <c r="C526" s="2" t="s">
        <v>1565</v>
      </c>
      <c r="D526" s="2" t="s">
        <v>13</v>
      </c>
      <c r="E526" s="2" t="s">
        <v>14</v>
      </c>
      <c r="F526" s="2" t="s">
        <v>15</v>
      </c>
      <c r="G526" s="2" t="s">
        <v>98</v>
      </c>
      <c r="H526" s="2" t="s">
        <v>99</v>
      </c>
      <c r="I526" s="2" t="str">
        <f>IFERROR(__xludf.DUMMYFUNCTION("GOOGLETRANSLATE(C526,""fr"",""en"")"),"After several attempts I note that prices vary depending on the internet connections. Customer service has not been able to explain this variation to me")</f>
        <v>After several attempts I note that prices vary depending on the internet connections. Customer service has not been able to explain this variation to me</v>
      </c>
    </row>
    <row r="527" ht="15.75" customHeight="1">
      <c r="A527" s="2">
        <v>1.0</v>
      </c>
      <c r="B527" s="2" t="s">
        <v>1566</v>
      </c>
      <c r="C527" s="2" t="s">
        <v>1567</v>
      </c>
      <c r="D527" s="2" t="s">
        <v>179</v>
      </c>
      <c r="E527" s="2" t="s">
        <v>14</v>
      </c>
      <c r="F527" s="2" t="s">
        <v>15</v>
      </c>
      <c r="G527" s="2" t="s">
        <v>1568</v>
      </c>
      <c r="H527" s="2" t="s">
        <v>192</v>
      </c>
      <c r="I527" s="2" t="str">
        <f>IFERROR(__xludf.DUMMYFUNCTION("GOOGLETRANSLATE(C527,""fr"",""en"")"),"hello
In that you will need nothing, Eurofil is perfect insurance.
Very bad management of a claim abroad.
ineffective exterior local service provider (less saying?) And unsuitable replacement vehicle
Always less saying
Like a lot of insurance, all ri"&amp;"sks means nothing.
Do not hesitate to call them to check your conditions and guarantees, you would be surprised ...")</f>
        <v>hello
In that you will need nothing, Eurofil is perfect insurance.
Very bad management of a claim abroad.
ineffective exterior local service provider (less saying?) And unsuitable replacement vehicle
Always less saying
Like a lot of insurance, all risks means nothing.
Do not hesitate to call them to check your conditions and guarantees, you would be surprised ...</v>
      </c>
    </row>
    <row r="528" ht="15.75" customHeight="1">
      <c r="A528" s="2">
        <v>1.0</v>
      </c>
      <c r="B528" s="2" t="s">
        <v>1569</v>
      </c>
      <c r="C528" s="2" t="s">
        <v>1570</v>
      </c>
      <c r="D528" s="2" t="s">
        <v>63</v>
      </c>
      <c r="E528" s="2" t="s">
        <v>317</v>
      </c>
      <c r="F528" s="2" t="s">
        <v>15</v>
      </c>
      <c r="G528" s="2" t="s">
        <v>1571</v>
      </c>
      <c r="H528" s="2" t="s">
        <v>533</v>
      </c>
      <c r="I528" s="2" t="str">
        <f>IFERROR(__xludf.DUMMYFUNCTION("GOOGLETRANSLATE(C528,""fr"",""en"")"),"TO FLEE ! I strongly advise against this insurer with whom you cannot recover your funds invested without sending several complaints. No customer consideration and no communication. A SHAME !!!")</f>
        <v>TO FLEE ! I strongly advise against this insurer with whom you cannot recover your funds invested without sending several complaints. No customer consideration and no communication. A SHAME !!!</v>
      </c>
    </row>
    <row r="529" ht="15.75" customHeight="1">
      <c r="A529" s="2">
        <v>1.0</v>
      </c>
      <c r="B529" s="2" t="s">
        <v>1572</v>
      </c>
      <c r="C529" s="2" t="s">
        <v>1573</v>
      </c>
      <c r="D529" s="2" t="s">
        <v>1574</v>
      </c>
      <c r="E529" s="2" t="s">
        <v>25</v>
      </c>
      <c r="F529" s="2" t="s">
        <v>15</v>
      </c>
      <c r="G529" s="2" t="s">
        <v>1575</v>
      </c>
      <c r="H529" s="2" t="s">
        <v>236</v>
      </c>
      <c r="I529" s="2" t="str">
        <f>IFERROR(__xludf.DUMMYFUNCTION("GOOGLETRANSLATE(C529,""fr"",""en"")"),"I am the benefit of a life insurance contract due to my aunt who died in September 2020 We are three beneficiaries for two weeks that the other two beneficiaries received the certificate on the honor 990i that they returned to Sogecap since the capital ha"&amp;"s been paid unfortunately for me I never received this document for two weeks that I am fighting with Sogecap for having said to be sent twice I never receive it I offered to convey it to me in pdf they tell me that It has impossible for them it is absurd"&amp;" we go around in circles they tell me about postal deadlines etc how is it that the two other beneficiaries had this document and not me I spend my time on the phone with them without success I never have the same Interlocutor I have been at Société Génér"&amp;"ale for more than 20 years I am extremely disappointed with me who enclosed my bank I don't know what to do")</f>
        <v>I am the benefit of a life insurance contract due to my aunt who died in September 2020 We are three beneficiaries for two weeks that the other two beneficiaries received the certificate on the honor 990i that they returned to Sogecap since the capital has been paid unfortunately for me I never received this document for two weeks that I am fighting with Sogecap for having said to be sent twice I never receive it I offered to convey it to me in pdf they tell me that It has impossible for them it is absurd we go around in circles they tell me about postal deadlines etc how is it that the two other beneficiaries had this document and not me I spend my time on the phone with them without success I never have the same Interlocutor I have been at Société Générale for more than 20 years I am extremely disappointed with me who enclosed my bank I don't know what to do</v>
      </c>
    </row>
    <row r="530" ht="15.75" customHeight="1">
      <c r="A530" s="2">
        <v>2.0</v>
      </c>
      <c r="B530" s="2" t="s">
        <v>1576</v>
      </c>
      <c r="C530" s="2" t="s">
        <v>1577</v>
      </c>
      <c r="D530" s="2" t="s">
        <v>55</v>
      </c>
      <c r="E530" s="2" t="s">
        <v>56</v>
      </c>
      <c r="F530" s="2" t="s">
        <v>15</v>
      </c>
      <c r="G530" s="2" t="s">
        <v>1578</v>
      </c>
      <c r="H530" s="2" t="s">
        <v>68</v>
      </c>
      <c r="I530" s="2" t="str">
        <f>IFERROR(__xludf.DUMMYFUNCTION("GOOGLETRANSLATE(C530,""fr"",""en"")"),"Excessively high price to ensure a 2-wheeler, is it a shame ... 900 €/year (not even in all-risk)? Nowadays, many sports cars that are insured (even with ""non-seniors"" drivers) do not pay this price ...")</f>
        <v>Excessively high price to ensure a 2-wheeler, is it a shame ... 900 €/year (not even in all-risk)? Nowadays, many sports cars that are insured (even with "non-seniors" drivers) do not pay this price ...</v>
      </c>
    </row>
    <row r="531" ht="15.75" customHeight="1">
      <c r="A531" s="2">
        <v>5.0</v>
      </c>
      <c r="B531" s="2" t="s">
        <v>1579</v>
      </c>
      <c r="C531" s="2" t="s">
        <v>1580</v>
      </c>
      <c r="D531" s="2" t="s">
        <v>43</v>
      </c>
      <c r="E531" s="2" t="s">
        <v>14</v>
      </c>
      <c r="F531" s="2" t="s">
        <v>15</v>
      </c>
      <c r="G531" s="2" t="s">
        <v>870</v>
      </c>
      <c r="H531" s="2" t="s">
        <v>192</v>
      </c>
      <c r="I531" s="2" t="str">
        <f>IFERROR(__xludf.DUMMYFUNCTION("GOOGLETRANSLATE(C531,""fr"",""en"")"),"I am satisfied with Lolivier Insurance insurance
Affordable prices of options not very expensive, I will recommend to my loved ones
To see if there is an increase in prices, next year")</f>
        <v>I am satisfied with Lolivier Insurance insurance
Affordable prices of options not very expensive, I will recommend to my loved ones
To see if there is an increase in prices, next year</v>
      </c>
    </row>
    <row r="532" ht="15.75" customHeight="1">
      <c r="A532" s="2">
        <v>1.0</v>
      </c>
      <c r="B532" s="2" t="s">
        <v>1581</v>
      </c>
      <c r="C532" s="2" t="s">
        <v>1582</v>
      </c>
      <c r="D532" s="2" t="s">
        <v>43</v>
      </c>
      <c r="E532" s="2" t="s">
        <v>14</v>
      </c>
      <c r="F532" s="2" t="s">
        <v>15</v>
      </c>
      <c r="G532" s="2" t="s">
        <v>1583</v>
      </c>
      <c r="H532" s="2" t="s">
        <v>52</v>
      </c>
      <c r="I532" s="2" t="str">
        <f>IFERROR(__xludf.DUMMYFUNCTION("GOOGLETRANSLATE(C532,""fr"",""en"")"),"Too expensive and too much franchises. I had a big difficulty in sending the requested documents.")</f>
        <v>Too expensive and too much franchises. I had a big difficulty in sending the requested documents.</v>
      </c>
    </row>
    <row r="533" ht="15.75" customHeight="1">
      <c r="A533" s="2">
        <v>2.0</v>
      </c>
      <c r="B533" s="2" t="s">
        <v>1584</v>
      </c>
      <c r="C533" s="2" t="s">
        <v>1585</v>
      </c>
      <c r="D533" s="2" t="s">
        <v>179</v>
      </c>
      <c r="E533" s="2" t="s">
        <v>14</v>
      </c>
      <c r="F533" s="2" t="s">
        <v>15</v>
      </c>
      <c r="G533" s="2" t="s">
        <v>1586</v>
      </c>
      <c r="H533" s="2" t="s">
        <v>268</v>
      </c>
      <c r="I533" s="2" t="str">
        <f>IFERROR(__xludf.DUMMYFUNCTION("GOOGLETRANSLATE(C533,""fr"",""en"")"),"Hello I undertake with them a car insurance with advance payment of € 139 on 16 09 2019 they solved me two days later because I indicated 090 bonuses on the online quote while the RI indicated 095 a slight error that I pay cash especially when we have a m"&amp;"onth to validate the file I therefore find myself without insurance and without any refund. I am facing a revolting wall.")</f>
        <v>Hello I undertake with them a car insurance with advance payment of € 139 on 16 09 2019 they solved me two days later because I indicated 090 bonuses on the online quote while the RI indicated 095 a slight error that I pay cash especially when we have a month to validate the file I therefore find myself without insurance and without any refund. I am facing a revolting wall.</v>
      </c>
    </row>
    <row r="534" ht="15.75" customHeight="1">
      <c r="A534" s="2">
        <v>2.0</v>
      </c>
      <c r="B534" s="2" t="s">
        <v>1587</v>
      </c>
      <c r="C534" s="2" t="s">
        <v>1588</v>
      </c>
      <c r="D534" s="2" t="s">
        <v>13</v>
      </c>
      <c r="E534" s="2" t="s">
        <v>14</v>
      </c>
      <c r="F534" s="2" t="s">
        <v>15</v>
      </c>
      <c r="G534" s="2" t="s">
        <v>1589</v>
      </c>
      <c r="H534" s="2" t="s">
        <v>166</v>
      </c>
      <c r="I534" s="2" t="str">
        <f>IFERROR(__xludf.DUMMYFUNCTION("GOOGLETRANSLATE(C534,""fr"",""en"")"),"Accident not responsible for more than a year and still for compensation paid (900 euros). They bring in an expertise box (BCA) which outrageously devalues ​​the value of your vehicle and the VEI class (economically irreparable vehicle) for a front bumper"&amp;" and 1 optics. I paid 150 euros in parts and did the job. BCA expertise has more than 4,500 euros. Seek the error .... I stick a mediator of the Republic with the buttocks and surely a trial at the end even if I lose money. Go your way go elsewhere")</f>
        <v>Accident not responsible for more than a year and still for compensation paid (900 euros). They bring in an expertise box (BCA) which outrageously devalues ​​the value of your vehicle and the VEI class (economically irreparable vehicle) for a front bumper and 1 optics. I paid 150 euros in parts and did the job. BCA expertise has more than 4,500 euros. Seek the error .... I stick a mediator of the Republic with the buttocks and surely a trial at the end even if I lose money. Go your way go elsewhere</v>
      </c>
    </row>
    <row r="535" ht="15.75" customHeight="1">
      <c r="A535" s="2">
        <v>5.0</v>
      </c>
      <c r="B535" s="2" t="s">
        <v>1590</v>
      </c>
      <c r="C535" s="2" t="s">
        <v>1591</v>
      </c>
      <c r="D535" s="2" t="s">
        <v>43</v>
      </c>
      <c r="E535" s="2" t="s">
        <v>14</v>
      </c>
      <c r="F535" s="2" t="s">
        <v>15</v>
      </c>
      <c r="G535" s="2" t="s">
        <v>1592</v>
      </c>
      <c r="H535" s="2" t="s">
        <v>272</v>
      </c>
      <c r="I535" s="2" t="str">
        <f>IFERROR(__xludf.DUMMYFUNCTION("GOOGLETRANSLATE(C535,""fr"",""en"")"),"I am satisfied with the service.
However, the electronic signature is not obvious at all (however I work in computer science and telecoms) can be because of the browser used: Firefox on Windows 10 (there may be checks to do with this configuration).")</f>
        <v>I am satisfied with the service.
However, the electronic signature is not obvious at all (however I work in computer science and telecoms) can be because of the browser used: Firefox on Windows 10 (there may be checks to do with this configuration).</v>
      </c>
    </row>
    <row r="536" ht="15.75" customHeight="1">
      <c r="A536" s="2">
        <v>4.0</v>
      </c>
      <c r="B536" s="2" t="s">
        <v>1593</v>
      </c>
      <c r="C536" s="2" t="s">
        <v>1594</v>
      </c>
      <c r="D536" s="2" t="s">
        <v>13</v>
      </c>
      <c r="E536" s="2" t="s">
        <v>14</v>
      </c>
      <c r="F536" s="2" t="s">
        <v>15</v>
      </c>
      <c r="G536" s="2" t="s">
        <v>99</v>
      </c>
      <c r="H536" s="2" t="s">
        <v>99</v>
      </c>
      <c r="I536" s="2" t="str">
        <f>IFERROR(__xludf.DUMMYFUNCTION("GOOGLETRANSLATE(C536,""fr"",""en"")"),"I am very happy to join you hoping to be satisfied by the services, for once I thank you for the service and the ease of access and to the service")</f>
        <v>I am very happy to join you hoping to be satisfied by the services, for once I thank you for the service and the ease of access and to the service</v>
      </c>
    </row>
    <row r="537" ht="15.75" customHeight="1">
      <c r="A537" s="2">
        <v>5.0</v>
      </c>
      <c r="B537" s="2" t="s">
        <v>1595</v>
      </c>
      <c r="C537" s="2" t="s">
        <v>1596</v>
      </c>
      <c r="D537" s="2" t="s">
        <v>55</v>
      </c>
      <c r="E537" s="2" t="s">
        <v>56</v>
      </c>
      <c r="F537" s="2" t="s">
        <v>15</v>
      </c>
      <c r="G537" s="2" t="s">
        <v>1597</v>
      </c>
      <c r="H537" s="2" t="s">
        <v>68</v>
      </c>
      <c r="I537" s="2" t="str">
        <f>IFERROR(__xludf.DUMMYFUNCTION("GOOGLETRANSLATE(C537,""fr"",""en"")"),"Perfect online service, prices facilitates to make online searches I recommend. I'm waiting to receive my green card")</f>
        <v>Perfect online service, prices facilitates to make online searches I recommend. I'm waiting to receive my green card</v>
      </c>
    </row>
    <row r="538" ht="15.75" customHeight="1">
      <c r="A538" s="2">
        <v>3.0</v>
      </c>
      <c r="B538" s="2" t="s">
        <v>1598</v>
      </c>
      <c r="C538" s="2" t="s">
        <v>1599</v>
      </c>
      <c r="D538" s="2" t="s">
        <v>352</v>
      </c>
      <c r="E538" s="2" t="s">
        <v>14</v>
      </c>
      <c r="F538" s="2" t="s">
        <v>15</v>
      </c>
      <c r="G538" s="2" t="s">
        <v>1600</v>
      </c>
      <c r="H538" s="2" t="s">
        <v>158</v>
      </c>
      <c r="I538" s="2" t="str">
        <f>IFERROR(__xludf.DUMMYFUNCTION("GOOGLETRANSLATE(C538,""fr"",""en"")"),"Satisfied with GMF services. Pleasant and available staff, clear and simple documents. My only regret is that prices are too high as soon as you take a slightly powerful vehicle. That's a shame...")</f>
        <v>Satisfied with GMF services. Pleasant and available staff, clear and simple documents. My only regret is that prices are too high as soon as you take a slightly powerful vehicle. That's a shame...</v>
      </c>
    </row>
    <row r="539" ht="15.75" customHeight="1">
      <c r="A539" s="2">
        <v>5.0</v>
      </c>
      <c r="B539" s="2" t="s">
        <v>1601</v>
      </c>
      <c r="C539" s="2" t="s">
        <v>1602</v>
      </c>
      <c r="D539" s="2" t="s">
        <v>43</v>
      </c>
      <c r="E539" s="2" t="s">
        <v>14</v>
      </c>
      <c r="F539" s="2" t="s">
        <v>15</v>
      </c>
      <c r="G539" s="2" t="s">
        <v>1310</v>
      </c>
      <c r="H539" s="2" t="s">
        <v>192</v>
      </c>
      <c r="I539" s="2" t="str">
        <f>IFERROR(__xludf.DUMMYFUNCTION("GOOGLETRANSLATE(C539,""fr"",""en"")"),"Perfect, very interesting price compared to the pleasant person who is pleasant to the phone who takes the time to explain, I recommend without hesity")</f>
        <v>Perfect, very interesting price compared to the pleasant person who is pleasant to the phone who takes the time to explain, I recommend without hesity</v>
      </c>
    </row>
    <row r="540" ht="15.75" customHeight="1">
      <c r="A540" s="2">
        <v>1.0</v>
      </c>
      <c r="B540" s="2" t="s">
        <v>1603</v>
      </c>
      <c r="C540" s="2" t="s">
        <v>1604</v>
      </c>
      <c r="D540" s="2" t="s">
        <v>13</v>
      </c>
      <c r="E540" s="2" t="s">
        <v>14</v>
      </c>
      <c r="F540" s="2" t="s">
        <v>15</v>
      </c>
      <c r="G540" s="2" t="s">
        <v>98</v>
      </c>
      <c r="H540" s="2" t="s">
        <v>99</v>
      </c>
      <c r="I540" s="2" t="str">
        <f>IFERROR(__xludf.DUMMYFUNCTION("GOOGLETRANSLATE(C540,""fr"",""en"")"),"No contact as possible I have called 5 times or more, I am hung up on the nose.
The prices are low but we know why when we phone them.
I am not the type to post opinions and even less negatives usually but this is just too much")</f>
        <v>No contact as possible I have called 5 times or more, I am hung up on the nose.
The prices are low but we know why when we phone them.
I am not the type to post opinions and even less negatives usually but this is just too much</v>
      </c>
    </row>
    <row r="541" ht="15.75" customHeight="1">
      <c r="A541" s="2">
        <v>4.0</v>
      </c>
      <c r="B541" s="2" t="s">
        <v>1605</v>
      </c>
      <c r="C541" s="2" t="s">
        <v>1606</v>
      </c>
      <c r="D541" s="2" t="s">
        <v>19</v>
      </c>
      <c r="E541" s="2" t="s">
        <v>14</v>
      </c>
      <c r="F541" s="2" t="s">
        <v>15</v>
      </c>
      <c r="G541" s="2" t="s">
        <v>1607</v>
      </c>
      <c r="H541" s="2" t="s">
        <v>87</v>
      </c>
      <c r="I541" s="2" t="str">
        <f>IFERROR(__xludf.DUMMYFUNCTION("GOOGLETRANSLATE(C541,""fr"",""en"")"),"Insured for over 30 years, the Macif has always responded to the few problems I have encountered. The aid provided was useful, the reimbursements were compliant and on time.")</f>
        <v>Insured for over 30 years, the Macif has always responded to the few problems I have encountered. The aid provided was useful, the reimbursements were compliant and on time.</v>
      </c>
    </row>
    <row r="542" ht="15.75" customHeight="1">
      <c r="A542" s="2">
        <v>1.0</v>
      </c>
      <c r="B542" s="2" t="s">
        <v>1608</v>
      </c>
      <c r="C542" s="2" t="s">
        <v>1609</v>
      </c>
      <c r="D542" s="2" t="s">
        <v>156</v>
      </c>
      <c r="E542" s="2" t="s">
        <v>14</v>
      </c>
      <c r="F542" s="2" t="s">
        <v>15</v>
      </c>
      <c r="G542" s="2" t="s">
        <v>1610</v>
      </c>
      <c r="H542" s="2" t="s">
        <v>264</v>
      </c>
      <c r="I542" s="2" t="str">
        <f>IFERROR(__xludf.DUMMYFUNCTION("GOOGLETRANSLATE(C542,""fr"",""en"")"),"A shame! It would take a better supervision for this type of service because at present insurers do the law to the detriment of the insured.")</f>
        <v>A shame! It would take a better supervision for this type of service because at present insurers do the law to the detriment of the insured.</v>
      </c>
    </row>
    <row r="543" ht="15.75" customHeight="1">
      <c r="A543" s="2">
        <v>2.0</v>
      </c>
      <c r="B543" s="2" t="s">
        <v>1611</v>
      </c>
      <c r="C543" s="2" t="s">
        <v>1612</v>
      </c>
      <c r="D543" s="2" t="s">
        <v>19</v>
      </c>
      <c r="E543" s="2" t="s">
        <v>85</v>
      </c>
      <c r="F543" s="2" t="s">
        <v>15</v>
      </c>
      <c r="G543" s="2" t="s">
        <v>1613</v>
      </c>
      <c r="H543" s="2" t="s">
        <v>108</v>
      </c>
      <c r="I543" s="2" t="str">
        <f>IFERROR(__xludf.DUMMYFUNCTION("GOOGLETRANSLATE(C543,""fr"",""en"")"),"scandalous. During an electrical damage due to an overvoltage, a regulatory device of my swimming pool has deteriorated, causing an overdose of acid. This has damaged my tarpaulin and my liner which are also insured (extension). Despite this, I was reject"&amp;"ed. For the sales department, we are well assured, but we are dependent on any individual who can reject you without explanation. For me, it's shameful. It was my first claim in 50 years. I think I go before the courts. In addition, I try to pass this on "&amp;"RTL with Julien Courbet. I am disgusted")</f>
        <v>scandalous. During an electrical damage due to an overvoltage, a regulatory device of my swimming pool has deteriorated, causing an overdose of acid. This has damaged my tarpaulin and my liner which are also insured (extension). Despite this, I was rejected. For the sales department, we are well assured, but we are dependent on any individual who can reject you without explanation. For me, it's shameful. It was my first claim in 50 years. I think I go before the courts. In addition, I try to pass this on RTL with Julien Courbet. I am disgusted</v>
      </c>
    </row>
    <row r="544" ht="15.75" customHeight="1">
      <c r="A544" s="2">
        <v>4.0</v>
      </c>
      <c r="B544" s="2" t="s">
        <v>1614</v>
      </c>
      <c r="C544" s="2" t="s">
        <v>1615</v>
      </c>
      <c r="D544" s="2" t="s">
        <v>97</v>
      </c>
      <c r="E544" s="2" t="s">
        <v>56</v>
      </c>
      <c r="F544" s="2" t="s">
        <v>15</v>
      </c>
      <c r="G544" s="2" t="s">
        <v>441</v>
      </c>
      <c r="H544" s="2" t="s">
        <v>442</v>
      </c>
      <c r="I544" s="2" t="str">
        <f>IFERROR(__xludf.DUMMYFUNCTION("GOOGLETRANSLATE(C544,""fr"",""en"")"),"Insurance taken into account impetuated. ATTRACTIVE PRICE. Excess client relationship. Insurance of my two -wheeled insurance from a very fast sale")</f>
        <v>Insurance taken into account impetuated. ATTRACTIVE PRICE. Excess client relationship. Insurance of my two -wheeled insurance from a very fast sale</v>
      </c>
    </row>
    <row r="545" ht="15.75" customHeight="1">
      <c r="A545" s="2">
        <v>2.0</v>
      </c>
      <c r="B545" s="2" t="s">
        <v>1616</v>
      </c>
      <c r="C545" s="2" t="s">
        <v>1617</v>
      </c>
      <c r="D545" s="2" t="s">
        <v>1574</v>
      </c>
      <c r="E545" s="2" t="s">
        <v>25</v>
      </c>
      <c r="F545" s="2" t="s">
        <v>15</v>
      </c>
      <c r="G545" s="2" t="s">
        <v>1618</v>
      </c>
      <c r="H545" s="2" t="s">
        <v>146</v>
      </c>
      <c r="I545" s="2" t="str">
        <f>IFERROR(__xludf.DUMMYFUNCTION("GOOGLETRANSLATE(C545,""fr"",""en"")"),"My 23 year old son who died accidentally, I am his mother, the only beneficiary. For 6 months the file has not succeeded, the documents requested are not enough, with each letter we still ask for supporting documents of the death ... I can't take it anymo"&amp;"re!")</f>
        <v>My 23 year old son who died accidentally, I am his mother, the only beneficiary. For 6 months the file has not succeeded, the documents requested are not enough, with each letter we still ask for supporting documents of the death ... I can't take it anymore!</v>
      </c>
    </row>
    <row r="546" ht="15.75" customHeight="1">
      <c r="A546" s="2">
        <v>5.0</v>
      </c>
      <c r="B546" s="2" t="s">
        <v>1619</v>
      </c>
      <c r="C546" s="2" t="s">
        <v>1620</v>
      </c>
      <c r="D546" s="2" t="s">
        <v>97</v>
      </c>
      <c r="E546" s="2" t="s">
        <v>56</v>
      </c>
      <c r="F546" s="2" t="s">
        <v>15</v>
      </c>
      <c r="G546" s="2" t="s">
        <v>1621</v>
      </c>
      <c r="H546" s="2" t="s">
        <v>72</v>
      </c>
      <c r="I546" s="2" t="str">
        <f>IFERROR(__xludf.DUMMYFUNCTION("GOOGLETRANSLATE(C546,""fr"",""en"")"),"I find that the site and well and the prices are low and it immediately assures us very satisfied with this insurance and it was recommended to me by a brooch person")</f>
        <v>I find that the site and well and the prices are low and it immediately assures us very satisfied with this insurance and it was recommended to me by a brooch person</v>
      </c>
    </row>
    <row r="547" ht="15.75" customHeight="1">
      <c r="A547" s="2">
        <v>5.0</v>
      </c>
      <c r="B547" s="2" t="s">
        <v>1622</v>
      </c>
      <c r="C547" s="2" t="s">
        <v>1623</v>
      </c>
      <c r="D547" s="2" t="s">
        <v>43</v>
      </c>
      <c r="E547" s="2" t="s">
        <v>14</v>
      </c>
      <c r="F547" s="2" t="s">
        <v>15</v>
      </c>
      <c r="G547" s="2" t="s">
        <v>1624</v>
      </c>
      <c r="H547" s="2" t="s">
        <v>166</v>
      </c>
      <c r="I547" s="2" t="str">
        <f>IFERROR(__xludf.DUMMYFUNCTION("GOOGLETRANSLATE(C547,""fr"",""en"")"),"I am very satisfied. Good welcome, very warm, welcoming, friendly, very explicit, very good value for money I do not regret my choice. Good day to you")</f>
        <v>I am very satisfied. Good welcome, very warm, welcoming, friendly, very explicit, very good value for money I do not regret my choice. Good day to you</v>
      </c>
    </row>
    <row r="548" ht="15.75" customHeight="1">
      <c r="A548" s="2">
        <v>3.0</v>
      </c>
      <c r="B548" s="2" t="s">
        <v>1625</v>
      </c>
      <c r="C548" s="2" t="s">
        <v>1626</v>
      </c>
      <c r="D548" s="2" t="s">
        <v>13</v>
      </c>
      <c r="E548" s="2" t="s">
        <v>14</v>
      </c>
      <c r="F548" s="2" t="s">
        <v>15</v>
      </c>
      <c r="G548" s="2" t="s">
        <v>1627</v>
      </c>
      <c r="H548" s="2" t="s">
        <v>68</v>
      </c>
      <c r="I548" s="2" t="str">
        <f>IFERROR(__xludf.DUMMYFUNCTION("GOOGLETRANSLATE(C548,""fr"",""en"")"),"For the moment I am satisfied with the service, hoping that this is not negative afterwards. Regarding prices frankly review the price of the pack with assistance 0 km and split this from the serenity pack")</f>
        <v>For the moment I am satisfied with the service, hoping that this is not negative afterwards. Regarding prices frankly review the price of the pack with assistance 0 km and split this from the serenity pack</v>
      </c>
    </row>
    <row r="549" ht="15.75" customHeight="1">
      <c r="A549" s="2">
        <v>1.0</v>
      </c>
      <c r="B549" s="2" t="s">
        <v>1628</v>
      </c>
      <c r="C549" s="2" t="s">
        <v>1629</v>
      </c>
      <c r="D549" s="2" t="s">
        <v>106</v>
      </c>
      <c r="E549" s="2" t="s">
        <v>14</v>
      </c>
      <c r="F549" s="2" t="s">
        <v>15</v>
      </c>
      <c r="G549" s="2" t="s">
        <v>1488</v>
      </c>
      <c r="H549" s="2" t="s">
        <v>68</v>
      </c>
      <c r="I549" s="2" t="str">
        <f>IFERROR(__xludf.DUMMYFUNCTION("GOOGLETRANSLATE(C549,""fr"",""en"")"),"A disaster. My car, wrecking for months, still does not reimburse me as it is planned. I call every two days, never an answer.
6 months without a car, I lost my job for lack of not being compensated to buy or rent another car, and the worst is that I pay"&amp;" again every month. I ask for a reimbursement of the contributions that I have been given, by phone, nothing is written and nothing happens.
When we call, like there is only one person who is in charge of the file, and be patient: in training, sick, leav"&amp;"e and sometimes even they put an answering machine, in the middle of the week that it is closed. .. They do not communicate with each other, nor with the expert, it is up to us to make the messenger.
I strongly recommend this insurance which is more expe"&amp;"nsive compared to the competition, for a non -existent service. Pacifica, I checked the box so that you answer me with my file number. I leave it to you to compensate me as soon as possible, because the conciliator of justice, informed of the case, will s"&amp;"oon take care of you.
")</f>
        <v>A disaster. My car, wrecking for months, still does not reimburse me as it is planned. I call every two days, never an answer.
6 months without a car, I lost my job for lack of not being compensated to buy or rent another car, and the worst is that I pay again every month. I ask for a reimbursement of the contributions that I have been given, by phone, nothing is written and nothing happens.
When we call, like there is only one person who is in charge of the file, and be patient: in training, sick, leave and sometimes even they put an answering machine, in the middle of the week that it is closed. .. They do not communicate with each other, nor with the expert, it is up to us to make the messenger.
I strongly recommend this insurance which is more expensive compared to the competition, for a non -existent service. Pacifica, I checked the box so that you answer me with my file number. I leave it to you to compensate me as soon as possible, because the conciliator of justice, informed of the case, will soon take care of you.
</v>
      </c>
    </row>
    <row r="550" ht="15.75" customHeight="1">
      <c r="A550" s="2">
        <v>1.0</v>
      </c>
      <c r="B550" s="2" t="s">
        <v>1630</v>
      </c>
      <c r="C550" s="2" t="s">
        <v>1631</v>
      </c>
      <c r="D550" s="2" t="s">
        <v>1632</v>
      </c>
      <c r="E550" s="2" t="s">
        <v>144</v>
      </c>
      <c r="F550" s="2" t="s">
        <v>15</v>
      </c>
      <c r="G550" s="2" t="s">
        <v>1633</v>
      </c>
      <c r="H550" s="2" t="s">
        <v>209</v>
      </c>
      <c r="I550" s="2" t="str">
        <f>IFERROR(__xludf.DUMMYFUNCTION("GOOGLETRANSLATE(C550,""fr"",""en"")"),"Mediocrity! Avoid at all costs! It is a real trap, incapable.")</f>
        <v>Mediocrity! Avoid at all costs! It is a real trap, incapable.</v>
      </c>
    </row>
    <row r="551" ht="15.75" customHeight="1">
      <c r="A551" s="2">
        <v>1.0</v>
      </c>
      <c r="B551" s="2" t="s">
        <v>1634</v>
      </c>
      <c r="C551" s="2" t="s">
        <v>1635</v>
      </c>
      <c r="D551" s="2" t="s">
        <v>13</v>
      </c>
      <c r="E551" s="2" t="s">
        <v>14</v>
      </c>
      <c r="F551" s="2" t="s">
        <v>15</v>
      </c>
      <c r="G551" s="2" t="s">
        <v>1074</v>
      </c>
      <c r="H551" s="2" t="s">
        <v>197</v>
      </c>
      <c r="I551" s="2" t="str">
        <f>IFERROR(__xludf.DUMMYFUNCTION("GOOGLETRANSLATE(C551,""fr"",""en"")"),"I had a car accident or my responsibility was not engaged, direct assurance to send my car to the Garage MPR in Istres, they gave me my car with two electric computer damage and breakdown engine, I have I The proof of the expertise and the history of the "&amp;"faults which proves the guilt of the garage but despite that direct insurance does nothing, suddenly I have a car in my parking garage, I advise against this insurance especially not to go there.")</f>
        <v>I had a car accident or my responsibility was not engaged, direct assurance to send my car to the Garage MPR in Istres, they gave me my car with two electric computer damage and breakdown engine, I have I The proof of the expertise and the history of the faults which proves the guilt of the garage but despite that direct insurance does nothing, suddenly I have a car in my parking garage, I advise against this insurance especially not to go there.</v>
      </c>
    </row>
    <row r="552" ht="15.75" customHeight="1">
      <c r="A552" s="2">
        <v>2.0</v>
      </c>
      <c r="B552" s="2" t="s">
        <v>1636</v>
      </c>
      <c r="C552" s="2" t="s">
        <v>1637</v>
      </c>
      <c r="D552" s="2" t="s">
        <v>55</v>
      </c>
      <c r="E552" s="2" t="s">
        <v>56</v>
      </c>
      <c r="F552" s="2" t="s">
        <v>15</v>
      </c>
      <c r="G552" s="2" t="s">
        <v>931</v>
      </c>
      <c r="H552" s="2" t="s">
        <v>68</v>
      </c>
      <c r="I552" s="2" t="str">
        <f>IFERROR(__xludf.DUMMYFUNCTION("GOOGLETRANSLATE(C552,""fr"",""en"")"),"I am satisfied with my purchase I will be able to take my scooter is cool, but the prices are expensive anyway and I do not understand for what I pay so expensive")</f>
        <v>I am satisfied with my purchase I will be able to take my scooter is cool, but the prices are expensive anyway and I do not understand for what I pay so expensive</v>
      </c>
    </row>
    <row r="553" ht="15.75" customHeight="1">
      <c r="A553" s="2">
        <v>2.0</v>
      </c>
      <c r="B553" s="2" t="s">
        <v>1638</v>
      </c>
      <c r="C553" s="2" t="s">
        <v>1639</v>
      </c>
      <c r="D553" s="2" t="s">
        <v>220</v>
      </c>
      <c r="E553" s="2" t="s">
        <v>35</v>
      </c>
      <c r="F553" s="2" t="s">
        <v>15</v>
      </c>
      <c r="G553" s="2" t="s">
        <v>550</v>
      </c>
      <c r="H553" s="2" t="s">
        <v>52</v>
      </c>
      <c r="I553" s="2" t="str">
        <f>IFERROR(__xludf.DUMMYFUNCTION("GOOGLETRANSLATE(C553,""fr"",""en"")"),"It is very difficult to have them on the phone or have an answer to the email that I send them for information or a refund.
If he does not improve, I think that at the end of the year I would change my mutual.
Membership number: A 0011 L 12474
Je"&amp;"an Dufresne
515 rue du Château
38660 The terrace")</f>
        <v>It is very difficult to have them on the phone or have an answer to the email that I send them for information or a refund.
If he does not improve, I think that at the end of the year I would change my mutual.
Membership number: A 0011 L 12474
Jean Dufresne
515 rue du Château
38660 The terrace</v>
      </c>
    </row>
    <row r="554" ht="15.75" customHeight="1">
      <c r="A554" s="2">
        <v>3.0</v>
      </c>
      <c r="B554" s="2" t="s">
        <v>1640</v>
      </c>
      <c r="C554" s="2" t="s">
        <v>1641</v>
      </c>
      <c r="D554" s="2" t="s">
        <v>13</v>
      </c>
      <c r="E554" s="2" t="s">
        <v>14</v>
      </c>
      <c r="F554" s="2" t="s">
        <v>15</v>
      </c>
      <c r="G554" s="2" t="s">
        <v>1642</v>
      </c>
      <c r="H554" s="2" t="s">
        <v>146</v>
      </c>
      <c r="I554" s="2" t="str">
        <f>IFERROR(__xludf.DUMMYFUNCTION("GOOGLETRANSLATE(C554,""fr"",""en"")"),"I am satisfied with the information obtained by this online quote ...
I am waiting to discover all the guarantees with the quote requested by Email")</f>
        <v>I am satisfied with the information obtained by this online quote ...
I am waiting to discover all the guarantees with the quote requested by Email</v>
      </c>
    </row>
    <row r="555" ht="15.75" customHeight="1">
      <c r="A555" s="2">
        <v>5.0</v>
      </c>
      <c r="B555" s="2" t="s">
        <v>1643</v>
      </c>
      <c r="C555" s="2" t="s">
        <v>1644</v>
      </c>
      <c r="D555" s="2" t="s">
        <v>43</v>
      </c>
      <c r="E555" s="2" t="s">
        <v>14</v>
      </c>
      <c r="F555" s="2" t="s">
        <v>15</v>
      </c>
      <c r="G555" s="2" t="s">
        <v>1645</v>
      </c>
      <c r="H555" s="2" t="s">
        <v>192</v>
      </c>
      <c r="I555" s="2" t="str">
        <f>IFERROR(__xludf.DUMMYFUNCTION("GOOGLETRANSLATE(C555,""fr"",""en"")"),"Listening staff, smiling and responsive. They are very transparent on their offer (it's rare)
Very interesting price, much more advantageous than competition.
")</f>
        <v>Listening staff, smiling and responsive. They are very transparent on their offer (it's rare)
Very interesting price, much more advantageous than competition.
</v>
      </c>
    </row>
    <row r="556" ht="15.75" customHeight="1">
      <c r="A556" s="2">
        <v>4.0</v>
      </c>
      <c r="B556" s="2" t="s">
        <v>1646</v>
      </c>
      <c r="C556" s="2" t="s">
        <v>1647</v>
      </c>
      <c r="D556" s="2" t="s">
        <v>55</v>
      </c>
      <c r="E556" s="2" t="s">
        <v>56</v>
      </c>
      <c r="F556" s="2" t="s">
        <v>15</v>
      </c>
      <c r="G556" s="2" t="s">
        <v>1145</v>
      </c>
      <c r="H556" s="2" t="s">
        <v>166</v>
      </c>
      <c r="I556" s="2" t="str">
        <f>IFERROR(__xludf.DUMMYFUNCTION("GOOGLETRANSLATE(C556,""fr"",""en"")"),"Quite satisfied with the service.
Very correct and reasonable price
I advise. It’s very accessible and very simple
I am usually rather refractory to the online sign")</f>
        <v>Quite satisfied with the service.
Very correct and reasonable price
I advise. It’s very accessible and very simple
I am usually rather refractory to the online sign</v>
      </c>
    </row>
    <row r="557" ht="15.75" customHeight="1">
      <c r="A557" s="2">
        <v>1.0</v>
      </c>
      <c r="B557" s="2" t="s">
        <v>1648</v>
      </c>
      <c r="C557" s="2" t="s">
        <v>1649</v>
      </c>
      <c r="D557" s="2" t="s">
        <v>345</v>
      </c>
      <c r="E557" s="2" t="s">
        <v>35</v>
      </c>
      <c r="F557" s="2" t="s">
        <v>15</v>
      </c>
      <c r="G557" s="2" t="s">
        <v>117</v>
      </c>
      <c r="H557" s="2" t="s">
        <v>118</v>
      </c>
      <c r="I557" s="2" t="str">
        <f>IFERROR(__xludf.DUMMYFUNCTION("GOOGLETRANSLATE(C557,""fr"",""en"")"),"Do not subscribe to this mutual! They take you for idiots, drag things ... A disaster, in addition they are expensive. They refuse to harm me (pretending to understand something else), when they do not have the right!")</f>
        <v>Do not subscribe to this mutual! They take you for idiots, drag things ... A disaster, in addition they are expensive. They refuse to harm me (pretending to understand something else), when they do not have the right!</v>
      </c>
    </row>
    <row r="558" ht="15.75" customHeight="1">
      <c r="A558" s="2">
        <v>1.0</v>
      </c>
      <c r="B558" s="2" t="s">
        <v>1650</v>
      </c>
      <c r="C558" s="2" t="s">
        <v>1651</v>
      </c>
      <c r="D558" s="2" t="s">
        <v>13</v>
      </c>
      <c r="E558" s="2" t="s">
        <v>14</v>
      </c>
      <c r="F558" s="2" t="s">
        <v>15</v>
      </c>
      <c r="G558" s="2" t="s">
        <v>873</v>
      </c>
      <c r="H558" s="2" t="s">
        <v>192</v>
      </c>
      <c r="I558" s="2" t="str">
        <f>IFERROR(__xludf.DUMMYFUNCTION("GOOGLETRANSLATE(C558,""fr"",""en"")"),"It is a horror to cancel his contract, I sold my logment, I still have to pay because everything is done to prevent the stopping of the contract, no transparency, never direct assusrance again")</f>
        <v>It is a horror to cancel his contract, I sold my logment, I still have to pay because everything is done to prevent the stopping of the contract, no transparency, never direct assusrance again</v>
      </c>
    </row>
    <row r="559" ht="15.75" customHeight="1">
      <c r="A559" s="2">
        <v>3.0</v>
      </c>
      <c r="B559" s="2" t="s">
        <v>1652</v>
      </c>
      <c r="C559" s="2" t="s">
        <v>1653</v>
      </c>
      <c r="D559" s="2" t="s">
        <v>13</v>
      </c>
      <c r="E559" s="2" t="s">
        <v>14</v>
      </c>
      <c r="F559" s="2" t="s">
        <v>15</v>
      </c>
      <c r="G559" s="2" t="s">
        <v>669</v>
      </c>
      <c r="H559" s="2" t="s">
        <v>146</v>
      </c>
      <c r="I559" s="2" t="str">
        <f>IFERROR(__xludf.DUMMYFUNCTION("GOOGLETRANSLATE(C559,""fr"",""en"")"),"I am satisfied with the service. Prices suit me. Very simple and very practical to use insurance. I highly recommend")</f>
        <v>I am satisfied with the service. Prices suit me. Very simple and very practical to use insurance. I highly recommend</v>
      </c>
    </row>
    <row r="560" ht="15.75" customHeight="1">
      <c r="A560" s="2">
        <v>2.0</v>
      </c>
      <c r="B560" s="2" t="s">
        <v>1654</v>
      </c>
      <c r="C560" s="2" t="s">
        <v>1655</v>
      </c>
      <c r="D560" s="2" t="s">
        <v>1656</v>
      </c>
      <c r="E560" s="2" t="s">
        <v>56</v>
      </c>
      <c r="F560" s="2" t="s">
        <v>15</v>
      </c>
      <c r="G560" s="2" t="s">
        <v>1657</v>
      </c>
      <c r="H560" s="2" t="s">
        <v>197</v>
      </c>
      <c r="I560" s="2" t="str">
        <f>IFERROR(__xludf.DUMMYFUNCTION("GOOGLETRANSLATE(C560,""fr"",""en"")"),"!!!! Opinion of a customer who sees finds mediocre and who does not see recommendent not !!!!
I put 1 stars on satisfaction because have cannot put 0! Price level nothing to say it challenges all competition! To take and ask you for the same! On the othe"&amp;"r hand to have a response on the phone he never reachable, worse once we manage to have someone often at the end of the line there can not help us and only transmit a message to the service concerned that does not Never recall .. since when a sinister ser"&amp;"vice is open between 9 a.m. 12 p.m. and 2 p.m. Monday to Friday !!!! If there is a problem off the opening schedule how do you?! After termination I continued to be taken for 3 months and I waited for 2 months and one phone call per day before being reimb"&amp;"ursed! And their file with the font is not up to date either because it earned me an immobilization of the vehicle and the gray card 40km from my home (policeman still cool who does not get started and put the pound vehicle) but which for the moment still"&amp;" costs me € 400 almond. I obviously recommend not this insurance at all! And would leave at the end of my contract without any regret
Very attractive price
Too high record costs
Medioooocre customer service !!!!!!!!
")</f>
        <v>!!!! Opinion of a customer who sees finds mediocre and who does not see recommendent not !!!!
I put 1 stars on satisfaction because have cannot put 0! Price level nothing to say it challenges all competition! To take and ask you for the same! On the other hand to have a response on the phone he never reachable, worse once we manage to have someone often at the end of the line there can not help us and only transmit a message to the service concerned that does not Never recall .. since when a sinister service is open between 9 a.m. 12 p.m. and 2 p.m. Monday to Friday !!!! If there is a problem off the opening schedule how do you?! After termination I continued to be taken for 3 months and I waited for 2 months and one phone call per day before being reimbursed! And their file with the font is not up to date either because it earned me an immobilization of the vehicle and the gray card 40km from my home (policeman still cool who does not get started and put the pound vehicle) but which for the moment still costs me € 400 almond. I obviously recommend not this insurance at all! And would leave at the end of my contract without any regret
Very attractive price
Too high record costs
Medioooocre customer service !!!!!!!!
</v>
      </c>
    </row>
    <row r="561" ht="15.75" customHeight="1">
      <c r="A561" s="2">
        <v>2.0</v>
      </c>
      <c r="B561" s="2" t="s">
        <v>1658</v>
      </c>
      <c r="C561" s="2" t="s">
        <v>1659</v>
      </c>
      <c r="D561" s="2" t="s">
        <v>308</v>
      </c>
      <c r="E561" s="2" t="s">
        <v>14</v>
      </c>
      <c r="F561" s="2" t="s">
        <v>15</v>
      </c>
      <c r="G561" s="2" t="s">
        <v>1253</v>
      </c>
      <c r="H561" s="2" t="s">
        <v>371</v>
      </c>
      <c r="I561" s="2" t="str">
        <f>IFERROR(__xludf.DUMMYFUNCTION("GOOGLETRANSLATE(C561,""fr"",""en"")"),"Insurance to flee. I take out a contract on 30/01 on Eallianz. 01 day on 31 day I realize that I made a mistake on the number of disaster (keyboard error, fast manipulation). I call them the same days to warn. I am told: ""No worries"" the next day, i.e. "&amp;"01/02 I provide the statement, specifying to take into account the error which was made and specify on my call of 31 and therefore to recalculate the price. Allianz collects 01 € 231 231 € (several months of insurance). On 13/02 recommended to tell me tha"&amp;"t the information provided is wrong and therefore no contract extension. I ask for the reimbursement corresponding to the balance because I think I have been good times and I am told that my request is refused ... Allianz collects money on the back of the"&amp;"se customers is undeniable")</f>
        <v>Insurance to flee. I take out a contract on 30/01 on Eallianz. 01 day on 31 day I realize that I made a mistake on the number of disaster (keyboard error, fast manipulation). I call them the same days to warn. I am told: "No worries" the next day, i.e. 01/02 I provide the statement, specifying to take into account the error which was made and specify on my call of 31 and therefore to recalculate the price. Allianz collects 01 € 231 231 € (several months of insurance). On 13/02 recommended to tell me that the information provided is wrong and therefore no contract extension. I ask for the reimbursement corresponding to the balance because I think I have been good times and I am told that my request is refused ... Allianz collects money on the back of these customers is undeniable</v>
      </c>
    </row>
    <row r="562" ht="15.75" customHeight="1">
      <c r="A562" s="2">
        <v>4.0</v>
      </c>
      <c r="B562" s="2" t="s">
        <v>1660</v>
      </c>
      <c r="C562" s="2" t="s">
        <v>1661</v>
      </c>
      <c r="D562" s="2" t="s">
        <v>13</v>
      </c>
      <c r="E562" s="2" t="s">
        <v>14</v>
      </c>
      <c r="F562" s="2" t="s">
        <v>15</v>
      </c>
      <c r="G562" s="2" t="s">
        <v>68</v>
      </c>
      <c r="H562" s="2" t="s">
        <v>68</v>
      </c>
      <c r="I562" s="2" t="str">
        <f>IFERROR(__xludf.DUMMYFUNCTION("GOOGLETRANSLATE(C562,""fr"",""en"")"),"I am satisfied earlier and I have 2 insurances at home, thank you and easier to have a advice, the prices are attractive and they are very responsive")</f>
        <v>I am satisfied earlier and I have 2 insurances at home, thank you and easier to have a advice, the prices are attractive and they are very responsive</v>
      </c>
    </row>
    <row r="563" ht="15.75" customHeight="1">
      <c r="A563" s="2">
        <v>2.0</v>
      </c>
      <c r="B563" s="2" t="s">
        <v>1662</v>
      </c>
      <c r="C563" s="2" t="s">
        <v>1663</v>
      </c>
      <c r="D563" s="2" t="s">
        <v>183</v>
      </c>
      <c r="E563" s="2" t="s">
        <v>14</v>
      </c>
      <c r="F563" s="2" t="s">
        <v>15</v>
      </c>
      <c r="G563" s="2" t="s">
        <v>1664</v>
      </c>
      <c r="H563" s="2" t="s">
        <v>335</v>
      </c>
      <c r="I563" s="2" t="str">
        <f>IFERROR(__xludf.DUMMYFUNCTION("GOOGLETRANSLATE(C563,""fr"",""en"")"),"All papers were sent by email on Friday 28/12/18 and since they are asking for extra mind -blowing parts such as photos of the four sides of the vehicle, a CT of less than a month and a dinner statement since 2007 ????")</f>
        <v>All papers were sent by email on Friday 28/12/18 and since they are asking for extra mind -blowing parts such as photos of the four sides of the vehicle, a CT of less than a month and a dinner statement since 2007 ????</v>
      </c>
    </row>
    <row r="564" ht="15.75" customHeight="1">
      <c r="A564" s="2">
        <v>1.0</v>
      </c>
      <c r="B564" s="2" t="s">
        <v>1665</v>
      </c>
      <c r="C564" s="2" t="s">
        <v>1666</v>
      </c>
      <c r="D564" s="2" t="s">
        <v>111</v>
      </c>
      <c r="E564" s="2" t="s">
        <v>35</v>
      </c>
      <c r="F564" s="2" t="s">
        <v>15</v>
      </c>
      <c r="G564" s="2" t="s">
        <v>1667</v>
      </c>
      <c r="H564" s="2" t="s">
        <v>166</v>
      </c>
      <c r="I564" s="2" t="str">
        <f>IFERROR(__xludf.DUMMYFUNCTION("GOOGLETRANSLATE(C564,""fr"",""en"")"),"Hello mutual to flee I took a job with a mandatory mutual insurance company I immediately terminate with them so as not to have 2 mutuals to pay because the times are hard they don't care they took me anyway a month In addition after having three emails h"&amp;"e puts the bailiff for 50 € they really have that to")</f>
        <v>Hello mutual to flee I took a job with a mandatory mutual insurance company I immediately terminate with them so as not to have 2 mutuals to pay because the times are hard they don't care they took me anyway a month In addition after having three emails he puts the bailiff for 50 € they really have that to</v>
      </c>
    </row>
    <row r="565" ht="15.75" customHeight="1">
      <c r="A565" s="2">
        <v>4.0</v>
      </c>
      <c r="B565" s="2" t="s">
        <v>1668</v>
      </c>
      <c r="C565" s="2" t="s">
        <v>1669</v>
      </c>
      <c r="D565" s="2" t="s">
        <v>129</v>
      </c>
      <c r="E565" s="2" t="s">
        <v>35</v>
      </c>
      <c r="F565" s="2" t="s">
        <v>15</v>
      </c>
      <c r="G565" s="2" t="s">
        <v>30</v>
      </c>
      <c r="H565" s="2" t="s">
        <v>31</v>
      </c>
      <c r="I565" s="2" t="str">
        <f>IFERROR(__xludf.DUMMYFUNCTION("GOOGLETRANSLATE(C565,""fr"",""en"")"),"Mutualist for several years already, I have always found satisfaction with this mutual insurance company both with regard to the processing and the payment of ""disease"" files that she had to deal with my wife and myself, as well as by information precis"&amp;"e and fast obtained by telephone contact.")</f>
        <v>Mutualist for several years already, I have always found satisfaction with this mutual insurance company both with regard to the processing and the payment of "disease" files that she had to deal with my wife and myself, as well as by information precise and fast obtained by telephone contact.</v>
      </c>
    </row>
    <row r="566" ht="15.75" customHeight="1">
      <c r="A566" s="2">
        <v>5.0</v>
      </c>
      <c r="B566" s="2" t="s">
        <v>1670</v>
      </c>
      <c r="C566" s="2" t="s">
        <v>1671</v>
      </c>
      <c r="D566" s="2" t="s">
        <v>13</v>
      </c>
      <c r="E566" s="2" t="s">
        <v>14</v>
      </c>
      <c r="F566" s="2" t="s">
        <v>15</v>
      </c>
      <c r="G566" s="2" t="s">
        <v>1148</v>
      </c>
      <c r="H566" s="2" t="s">
        <v>68</v>
      </c>
      <c r="I566" s="2" t="str">
        <f>IFERROR(__xludf.DUMMYFUNCTION("GOOGLETRANSLATE(C566,""fr"",""en"")"),"Ras listening insurance with good prices and reactive advisers. Very satisfied to have changed for direct insurance and I recommend it to my loved ones")</f>
        <v>Ras listening insurance with good prices and reactive advisers. Very satisfied to have changed for direct insurance and I recommend it to my loved ones</v>
      </c>
    </row>
    <row r="567" ht="15.75" customHeight="1">
      <c r="A567" s="2">
        <v>5.0</v>
      </c>
      <c r="B567" s="2" t="s">
        <v>1672</v>
      </c>
      <c r="C567" s="2" t="s">
        <v>1673</v>
      </c>
      <c r="D567" s="2" t="s">
        <v>13</v>
      </c>
      <c r="E567" s="2" t="s">
        <v>14</v>
      </c>
      <c r="F567" s="2" t="s">
        <v>15</v>
      </c>
      <c r="G567" s="2" t="s">
        <v>961</v>
      </c>
      <c r="H567" s="2" t="s">
        <v>272</v>
      </c>
      <c r="I567" s="2" t="str">
        <f>IFERROR(__xludf.DUMMYFUNCTION("GOOGLETRANSLATE(C567,""fr"",""en"")"),"I come back to Direct Insurance following an excessive price increase in my current insurer, the price applied by Direct Insurance to equal guarantees is more advantageous")</f>
        <v>I come back to Direct Insurance following an excessive price increase in my current insurer, the price applied by Direct Insurance to equal guarantees is more advantageous</v>
      </c>
    </row>
    <row r="568" ht="15.75" customHeight="1">
      <c r="A568" s="2">
        <v>2.0</v>
      </c>
      <c r="B568" s="2" t="s">
        <v>1674</v>
      </c>
      <c r="C568" s="2" t="s">
        <v>1675</v>
      </c>
      <c r="D568" s="2" t="s">
        <v>13</v>
      </c>
      <c r="E568" s="2" t="s">
        <v>14</v>
      </c>
      <c r="F568" s="2" t="s">
        <v>15</v>
      </c>
      <c r="G568" s="2" t="s">
        <v>550</v>
      </c>
      <c r="H568" s="2" t="s">
        <v>52</v>
      </c>
      <c r="I568" s="2" t="str">
        <f>IFERROR(__xludf.DUMMYFUNCTION("GOOGLETRANSLATE(C568,""fr"",""en"")"),"I do not understand why, prices increase when we are either confined or teleworking, so we use our vehicles less, so less risk of accident.")</f>
        <v>I do not understand why, prices increase when we are either confined or teleworking, so we use our vehicles less, so less risk of accident.</v>
      </c>
    </row>
    <row r="569" ht="15.75" customHeight="1">
      <c r="A569" s="2">
        <v>2.0</v>
      </c>
      <c r="B569" s="2" t="s">
        <v>1676</v>
      </c>
      <c r="C569" s="2" t="s">
        <v>1677</v>
      </c>
      <c r="D569" s="2" t="s">
        <v>352</v>
      </c>
      <c r="E569" s="2" t="s">
        <v>14</v>
      </c>
      <c r="F569" s="2" t="s">
        <v>15</v>
      </c>
      <c r="G569" s="2" t="s">
        <v>1678</v>
      </c>
      <c r="H569" s="2" t="s">
        <v>264</v>
      </c>
      <c r="I569" s="2" t="str">
        <f>IFERROR(__xludf.DUMMYFUNCTION("GOOGLETRANSLATE(C569,""fr"",""en"")"),"Customer for almost 10 years I never had anything to say, until the day I received a recommended throwing me like a malpropre because of my number of claims over the last 2 years, actually over the past 2 years I had the bad luck I did not stop getting in"&amp;"to it when I was stopped in the queue to go to the roundabout, each time the drivers admitted to be completely in wrong and recognized their full responsibility on findings. I was thrown on the phone, the manager of the Béziers agency did not receive me t"&amp;"o explain it to me she was not available, I was received by an advisor who treated me as a road delinquent then that I never had an accident, a shame")</f>
        <v>Customer for almost 10 years I never had anything to say, until the day I received a recommended throwing me like a malpropre because of my number of claims over the last 2 years, actually over the past 2 years I had the bad luck I did not stop getting into it when I was stopped in the queue to go to the roundabout, each time the drivers admitted to be completely in wrong and recognized their full responsibility on findings. I was thrown on the phone, the manager of the Béziers agency did not receive me to explain it to me she was not available, I was received by an advisor who treated me as a road delinquent then that I never had an accident, a shame</v>
      </c>
    </row>
    <row r="570" ht="15.75" customHeight="1">
      <c r="A570" s="2">
        <v>1.0</v>
      </c>
      <c r="B570" s="2" t="s">
        <v>1679</v>
      </c>
      <c r="C570" s="2" t="s">
        <v>1680</v>
      </c>
      <c r="D570" s="2" t="s">
        <v>365</v>
      </c>
      <c r="E570" s="2" t="s">
        <v>14</v>
      </c>
      <c r="F570" s="2" t="s">
        <v>15</v>
      </c>
      <c r="G570" s="2" t="s">
        <v>1681</v>
      </c>
      <c r="H570" s="2" t="s">
        <v>576</v>
      </c>
      <c r="I570" s="2" t="str">
        <f>IFERROR(__xludf.DUMMYFUNCTION("GOOGLETRANSLATE(C570,""fr"",""en"")"),"Four years of insurance and following a disaster. I receive termination without any reason. I'm waiting for the appointment with this famous activist without return. At least respect your advertising commitment")</f>
        <v>Four years of insurance and following a disaster. I receive termination without any reason. I'm waiting for the appointment with this famous activist without return. At least respect your advertising commitment</v>
      </c>
    </row>
    <row r="571" ht="15.75" customHeight="1">
      <c r="A571" s="2">
        <v>1.0</v>
      </c>
      <c r="B571" s="2" t="s">
        <v>1682</v>
      </c>
      <c r="C571" s="2" t="s">
        <v>1683</v>
      </c>
      <c r="D571" s="2" t="s">
        <v>392</v>
      </c>
      <c r="E571" s="2" t="s">
        <v>317</v>
      </c>
      <c r="F571" s="2" t="s">
        <v>15</v>
      </c>
      <c r="G571" s="2" t="s">
        <v>1684</v>
      </c>
      <c r="H571" s="2" t="s">
        <v>197</v>
      </c>
      <c r="I571" s="2" t="str">
        <f>IFERROR(__xludf.DUMMYFUNCTION("GOOGLETRANSLATE(C571,""fr"",""en"")"),"Having subscribed to this insurance with my mortgage, my wife after several serious pathologies and this in the second category disability, fought for three years against this insurance to take charge of mortgage and of course they gains them cause becaus"&amp;"e each time they mandated doctors as they please. Despite our attending physician who supports us and others ... did not want to go to the court because my wife had enough problem with his pathologies and I wanted to aggravate his morale. So believe me I "&amp;"do not recommend this insurance.")</f>
        <v>Having subscribed to this insurance with my mortgage, my wife after several serious pathologies and this in the second category disability, fought for three years against this insurance to take charge of mortgage and of course they gains them cause because each time they mandated doctors as they please. Despite our attending physician who supports us and others ... did not want to go to the court because my wife had enough problem with his pathologies and I wanted to aggravate his morale. So believe me I do not recommend this insurance.</v>
      </c>
    </row>
    <row r="572" ht="15.75" customHeight="1">
      <c r="A572" s="2">
        <v>1.0</v>
      </c>
      <c r="B572" s="2" t="s">
        <v>1685</v>
      </c>
      <c r="C572" s="2" t="s">
        <v>1686</v>
      </c>
      <c r="D572" s="2" t="s">
        <v>224</v>
      </c>
      <c r="E572" s="2" t="s">
        <v>35</v>
      </c>
      <c r="F572" s="2" t="s">
        <v>15</v>
      </c>
      <c r="G572" s="2" t="s">
        <v>1687</v>
      </c>
      <c r="H572" s="2" t="s">
        <v>335</v>
      </c>
      <c r="I572" s="2" t="str">
        <f>IFERROR(__xludf.DUMMYFUNCTION("GOOGLETRANSLATE(C572,""fr"",""en"")"),"Tuesday January 22, 2019
Hello,
January 22 (2019) I had telephone communication with Néoliane Assurance which leaves septic and doubtful about the communication method used and the proposals made.
It was after having had 2 people in communication and r"&amp;"eception of their SMS that I discovered that in any case it was the update of a file but indeed the subscription of a New contract!
Fortunately, I had a 3rd person on the phone with which after a few exchanges a little ""muscular"" I was able to confirm "&amp;"that I did not want their contract.
I validate the fact that along with communication, the exchange became a little limited (3 different people and the tone that rises).
On the other hand, one of these people expressed doubts about the documents signed "&amp;"with my banking organization, suggesting that the banks made us sign documents without really informing us of their content.
Consequently, I think that it is necessary to be diligent in relation to the communications exchanged with this organization.
I "&amp;"find this situation unfortunate.
")</f>
        <v>Tuesday January 22, 2019
Hello,
January 22 (2019) I had telephone communication with Néoliane Assurance which leaves septic and doubtful about the communication method used and the proposals made.
It was after having had 2 people in communication and reception of their SMS that I discovered that in any case it was the update of a file but indeed the subscription of a New contract!
Fortunately, I had a 3rd person on the phone with which after a few exchanges a little "muscular" I was able to confirm that I did not want their contract.
I validate the fact that along with communication, the exchange became a little limited (3 different people and the tone that rises).
On the other hand, one of these people expressed doubts about the documents signed with my banking organization, suggesting that the banks made us sign documents without really informing us of their content.
Consequently, I think that it is necessary to be diligent in relation to the communications exchanged with this organization.
I find this situation unfortunate.
</v>
      </c>
    </row>
    <row r="573" ht="15.75" customHeight="1">
      <c r="A573" s="2">
        <v>1.0</v>
      </c>
      <c r="B573" s="2" t="s">
        <v>1688</v>
      </c>
      <c r="C573" s="2" t="s">
        <v>1689</v>
      </c>
      <c r="D573" s="2" t="s">
        <v>111</v>
      </c>
      <c r="E573" s="2" t="s">
        <v>112</v>
      </c>
      <c r="F573" s="2" t="s">
        <v>15</v>
      </c>
      <c r="G573" s="2" t="s">
        <v>1690</v>
      </c>
      <c r="H573" s="2" t="s">
        <v>335</v>
      </c>
      <c r="I573" s="2" t="str">
        <f>IFERROR(__xludf.DUMMYFUNCTION("GOOGLETRANSLATE(C573,""fr"",""en"")"),"To flee. They take care of nothing I don't see how we can talk about insurance AH if they take contributions. Pay for nothing here is the key word of this company. Avoid urgently")</f>
        <v>To flee. They take care of nothing I don't see how we can talk about insurance AH if they take contributions. Pay for nothing here is the key word of this company. Avoid urgently</v>
      </c>
    </row>
    <row r="574" ht="15.75" customHeight="1">
      <c r="A574" s="2">
        <v>1.0</v>
      </c>
      <c r="B574" s="2" t="s">
        <v>1691</v>
      </c>
      <c r="C574" s="2" t="s">
        <v>1692</v>
      </c>
      <c r="D574" s="2" t="s">
        <v>179</v>
      </c>
      <c r="E574" s="2" t="s">
        <v>14</v>
      </c>
      <c r="F574" s="2" t="s">
        <v>15</v>
      </c>
      <c r="G574" s="2" t="s">
        <v>1205</v>
      </c>
      <c r="H574" s="2" t="s">
        <v>31</v>
      </c>
      <c r="I574" s="2" t="str">
        <f>IFERROR(__xludf.DUMMYFUNCTION("GOOGLETRANSLATE(C574,""fr"",""en"")"),"Frankly not terrible funny mindset at home. He send you a letter without signature without contact name there is no someone behind their mail. Avoid to avoid unnamed surprises ...")</f>
        <v>Frankly not terrible funny mindset at home. He send you a letter without signature without contact name there is no someone behind their mail. Avoid to avoid unnamed surprises ...</v>
      </c>
    </row>
    <row r="575" ht="15.75" customHeight="1">
      <c r="A575" s="2">
        <v>1.0</v>
      </c>
      <c r="B575" s="2" t="s">
        <v>1693</v>
      </c>
      <c r="C575" s="2" t="s">
        <v>1694</v>
      </c>
      <c r="D575" s="2" t="s">
        <v>308</v>
      </c>
      <c r="E575" s="2" t="s">
        <v>85</v>
      </c>
      <c r="F575" s="2" t="s">
        <v>15</v>
      </c>
      <c r="G575" s="2" t="s">
        <v>1695</v>
      </c>
      <c r="H575" s="2" t="s">
        <v>576</v>
      </c>
      <c r="I575" s="2" t="str">
        <f>IFERROR(__xludf.DUMMYFUNCTION("GOOGLETRANSLATE(C575,""fr"",""en"")"),"Non -occupying owner. My tenant had a leak linked to the bathroom joints.
A statement of sinitte was filed by the tenant to his insurance company MAIF. I also notified the Commercial Agency Allianz which had considered that it is up to the tenant to mana"&amp;"ge this incident.
Except that since June 2018 a new agreement has existed and that normally it is in Allianz to do the necessary. Nothing was done more than 30 days without responsiveness!
To date I cannot rent my property and Deplus Allianz wishes to"&amp;" apply me a franchise, a shame! You should know who the customer is. Allianz takes its customers for milk cows.
For my part I have several contracts with them and I will use the TGI under article L127.4
If you are as you meet this situation. You hav"&amp;"e to express your dissatisfaction with Allianz.
")</f>
        <v>Non -occupying owner. My tenant had a leak linked to the bathroom joints.
A statement of sinitte was filed by the tenant to his insurance company MAIF. I also notified the Commercial Agency Allianz which had considered that it is up to the tenant to manage this incident.
Except that since June 2018 a new agreement has existed and that normally it is in Allianz to do the necessary. Nothing was done more than 30 days without responsiveness!
To date I cannot rent my property and Deplus Allianz wishes to apply me a franchise, a shame! You should know who the customer is. Allianz takes its customers for milk cows.
For my part I have several contracts with them and I will use the TGI under article L127.4
If you are as you meet this situation. You have to express your dissatisfaction with Allianz.
</v>
      </c>
    </row>
    <row r="576" ht="15.75" customHeight="1">
      <c r="A576" s="2">
        <v>2.0</v>
      </c>
      <c r="B576" s="2" t="s">
        <v>1696</v>
      </c>
      <c r="C576" s="2" t="s">
        <v>1697</v>
      </c>
      <c r="D576" s="2" t="s">
        <v>597</v>
      </c>
      <c r="E576" s="2" t="s">
        <v>85</v>
      </c>
      <c r="F576" s="2" t="s">
        <v>15</v>
      </c>
      <c r="G576" s="2" t="s">
        <v>200</v>
      </c>
      <c r="H576" s="2" t="s">
        <v>201</v>
      </c>
      <c r="I576" s="2" t="str">
        <f>IFERROR(__xludf.DUMMYFUNCTION("GOOGLETRANSLATE(C576,""fr"",""en"")"),"My barrier was pressed and a cement pillar broken by a driver who fled. Shame not covered because the manager is not identified !! Do we identify thieves or vandals? nope. So why should I identify a driver? Null insurance!")</f>
        <v>My barrier was pressed and a cement pillar broken by a driver who fled. Shame not covered because the manager is not identified !! Do we identify thieves or vandals? nope. So why should I identify a driver? Null insurance!</v>
      </c>
    </row>
    <row r="577" ht="15.75" customHeight="1">
      <c r="A577" s="2">
        <v>1.0</v>
      </c>
      <c r="B577" s="2" t="s">
        <v>1698</v>
      </c>
      <c r="C577" s="2" t="s">
        <v>1699</v>
      </c>
      <c r="D577" s="2" t="s">
        <v>559</v>
      </c>
      <c r="E577" s="2" t="s">
        <v>317</v>
      </c>
      <c r="F577" s="2" t="s">
        <v>15</v>
      </c>
      <c r="G577" s="2" t="s">
        <v>1700</v>
      </c>
      <c r="H577" s="2" t="s">
        <v>1029</v>
      </c>
      <c r="I577" s="2" t="str">
        <f>IFERROR(__xludf.DUMMYFUNCTION("GOOGLETRANSLATE(C577,""fr"",""en"")"),"Following a sick leave at the end of the CDD contract ... I ask for portability ... Since sending my papers by post of October 13 that they are not saying not received ... and after many calls in Their services, the list of documents to be supplied ... is"&amp;" still missing something. And maybe nothing at the end ... to run away absolutely")</f>
        <v>Following a sick leave at the end of the CDD contract ... I ask for portability ... Since sending my papers by post of October 13 that they are not saying not received ... and after many calls in Their services, the list of documents to be supplied ... is still missing something. And maybe nothing at the end ... to run away absolutely</v>
      </c>
    </row>
    <row r="578" ht="15.75" customHeight="1">
      <c r="A578" s="2">
        <v>1.0</v>
      </c>
      <c r="B578" s="2" t="s">
        <v>1701</v>
      </c>
      <c r="C578" s="2" t="s">
        <v>1702</v>
      </c>
      <c r="D578" s="2" t="s">
        <v>97</v>
      </c>
      <c r="E578" s="2" t="s">
        <v>56</v>
      </c>
      <c r="F578" s="2" t="s">
        <v>15</v>
      </c>
      <c r="G578" s="2" t="s">
        <v>322</v>
      </c>
      <c r="H578" s="2" t="s">
        <v>52</v>
      </c>
      <c r="I578" s="2" t="str">
        <f>IFERROR(__xludf.DUMMYFUNCTION("GOOGLETRANSLATE(C578,""fr"",""en"")"),"Worse insurer with which I treated.
Unclear communication, bad follow -up of files. I had to restart them an incredible number of times to know where I was of my contract.")</f>
        <v>Worse insurer with which I treated.
Unclear communication, bad follow -up of files. I had to restart them an incredible number of times to know where I was of my contract.</v>
      </c>
    </row>
    <row r="579" ht="15.75" customHeight="1">
      <c r="A579" s="2">
        <v>2.0</v>
      </c>
      <c r="B579" s="2" t="s">
        <v>1703</v>
      </c>
      <c r="C579" s="2" t="s">
        <v>1704</v>
      </c>
      <c r="D579" s="2" t="s">
        <v>43</v>
      </c>
      <c r="E579" s="2" t="s">
        <v>14</v>
      </c>
      <c r="F579" s="2" t="s">
        <v>15</v>
      </c>
      <c r="G579" s="2" t="s">
        <v>1705</v>
      </c>
      <c r="H579" s="2" t="s">
        <v>268</v>
      </c>
      <c r="I579" s="2" t="str">
        <f>IFERROR(__xludf.DUMMYFUNCTION("GOOGLETRANSLATE(C579,""fr"",""en"")"),"I confirm for having carried out the interventions for a claim myself (occurring to my daughter) accident occurring on 10/16 - Declaration made on 10/16 - 17/10 supposedly appointed false I called as recommended by Olivier Assist no file for this disaster"&amp;" - I renew my calls to the expert every day until 24, in the counter time having resumed contact with Olivier Assur on the 21st I am informed with major apologies reinforcements that the mission n ' did not leave Olivier Assur's offices and I receive the "&amp;"promise that the necessary will be made urgently on the 23rd the expert still has nothing ??? Finally on the 24th I receive an email from the expert who has just received his mission the expert will be the next morning at the garage where the car is immob"&amp;"ilized. He establishes his report on 28 Here is the only person I can congratulate in this case. I have just revealed to you a lamentable aspect of the administrative management of a disaster at Olivier Insurance on the reaction aspect on the day of the a"&amp;"ccident do not use the number appearing on the green card which is in all the others Companies An assistance number in any case not before 8:30 a.m. The accident occurred at 7:30 a.m. No response for a convenience store to send this accident on the spot h"&amp;"aving occurred on the CRS make the decision to call the closer convenience store approved in front of the magnitude of the cap actually caused the Europ Assistance number, it is not the olive tree that manages and if you do not do the process yourself to "&amp;"obtain the loan or the rental From a vehicle to europ assistance you will be pedestrian for the so-called 7 days of replacement planned we have therefore contributed for nothing or is the duty of advice of the insurer no info on his part on the day of the"&amp;" subscription on this fact and unfortunately (for We insured) if you have subscribed to a premium Pack option 0 km Assistance Vehicle Loan and the famous Major Value at Olivier Insurance for this part their answer is ""it is up in does not ensure the foll"&amp;"ow -up ??????????????? This is abnormal as much as they provide you with a number to contact the Mapfre which turns out to be a fax number ???????? After 14 days outside the expert's report, nothing is done I think I will wait for compensation for a very "&amp;"long time as soon as I have returned the documents of the transfer of the declared vehicle to follow but which will surely finish In front of the insurance mediator and I unfortunately I will quickly regret it guaranteed the new vehicle to continue to be "&amp;"present at work immediately having had the right intuition on the condition of the accident vehicle. This is a deal to follow I will tell you the deadline within which I will have received all of the compensation (including the increased value) 5 minutes "&amp;"to contract in my opinion 5 months to be compensated")</f>
        <v>I confirm for having carried out the interventions for a claim myself (occurring to my daughter) accident occurring on 10/16 - Declaration made on 10/16 - 17/10 supposedly appointed false I called as recommended by Olivier Assist no file for this disaster - I renew my calls to the expert every day until 24, in the counter time having resumed contact with Olivier Assur on the 21st I am informed with major apologies reinforcements that the mission n ' did not leave Olivier Assur's offices and I receive the promise that the necessary will be made urgently on the 23rd the expert still has nothing ??? Finally on the 24th I receive an email from the expert who has just received his mission the expert will be the next morning at the garage where the car is immobilized. He establishes his report on 28 Here is the only person I can congratulate in this case. I have just revealed to you a lamentable aspect of the administrative management of a disaster at Olivier Insurance on the reaction aspect on the day of the accident do not use the number appearing on the green card which is in all the others Companies An assistance number in any case not before 8:30 a.m. The accident occurred at 7:30 a.m. No response for a convenience store to send this accident on the spot having occurred on the CRS make the decision to call the closer convenience store approved in front of the magnitude of the cap actually caused the Europ Assistance number, it is not the olive tree that manages and if you do not do the process yourself to obtain the loan or the rental From a vehicle to europ assistance you will be pedestrian for the so-called 7 days of replacement planned we have therefore contributed for nothing or is the duty of advice of the insurer no info on his part on the day of the subscription on this fact and unfortunately (for We insured) if you have subscribed to a premium Pack option 0 km Assistance Vehicle Loan and the famous Major Value at Olivier Insurance for this part their answer is "it is up in does not ensure the follow -up ??????????????? This is abnormal as much as they provide you with a number to contact the Mapfre which turns out to be a fax number ???????? After 14 days outside the expert's report, nothing is done I think I will wait for compensation for a very long time as soon as I have returned the documents of the transfer of the declared vehicle to follow but which will surely finish In front of the insurance mediator and I unfortunately I will quickly regret it guaranteed the new vehicle to continue to be present at work immediately having had the right intuition on the condition of the accident vehicle. This is a deal to follow I will tell you the deadline within which I will have received all of the compensation (including the increased value) 5 minutes to contract in my opinion 5 months to be compensated</v>
      </c>
    </row>
    <row r="580" ht="15.75" customHeight="1">
      <c r="A580" s="2">
        <v>1.0</v>
      </c>
      <c r="B580" s="2" t="s">
        <v>1706</v>
      </c>
      <c r="C580" s="2" t="s">
        <v>1707</v>
      </c>
      <c r="D580" s="2" t="s">
        <v>308</v>
      </c>
      <c r="E580" s="2" t="s">
        <v>14</v>
      </c>
      <c r="F580" s="2" t="s">
        <v>15</v>
      </c>
      <c r="G580" s="2" t="s">
        <v>1708</v>
      </c>
      <c r="H580" s="2" t="s">
        <v>162</v>
      </c>
      <c r="I580" s="2" t="str">
        <f>IFERROR(__xludf.DUMMYFUNCTION("GOOGLETRANSLATE(C580,""fr"",""en"")"),"Being the victim of an Allianz insured, who took my vehicle number to simulate an accident, then this person sent a letter in recommended with AR in my name, so used my identity, I am obliged to Return to justice because the Allianz company has not deigne"&amp;"d me to respond to my letters for more than 6 months, in order to know the content of the mail that Allianz received, we are staggered, we must not let these behaviors do, that must be sanctioned, both the client and the Allianz company,
I hope justice w"&amp;"ill do its job
")</f>
        <v>Being the victim of an Allianz insured, who took my vehicle number to simulate an accident, then this person sent a letter in recommended with AR in my name, so used my identity, I am obliged to Return to justice because the Allianz company has not deigned me to respond to my letters for more than 6 months, in order to know the content of the mail that Allianz received, we are staggered, we must not let these behaviors do, that must be sanctioned, both the client and the Allianz company,
I hope justice will do its job
</v>
      </c>
    </row>
    <row r="581" ht="15.75" customHeight="1">
      <c r="A581" s="2">
        <v>3.0</v>
      </c>
      <c r="B581" s="2" t="s">
        <v>1709</v>
      </c>
      <c r="C581" s="2" t="s">
        <v>1710</v>
      </c>
      <c r="D581" s="2" t="s">
        <v>24</v>
      </c>
      <c r="E581" s="2" t="s">
        <v>112</v>
      </c>
      <c r="F581" s="2" t="s">
        <v>15</v>
      </c>
      <c r="G581" s="2" t="s">
        <v>1711</v>
      </c>
      <c r="H581" s="2" t="s">
        <v>272</v>
      </c>
      <c r="I581" s="2" t="str">
        <f>IFERROR(__xludf.DUMMYFUNCTION("GOOGLETRANSLATE(C581,""fr"",""en"")"),"I have been in second category disability for 2 years and however, I remain in the late files mentioned as being on work stop. I provide my social security disability payment notification every month. Overall, it's going pretty well. There, I receive a me"&amp;"dical questionnaire as if I was stopped, I phone the first time, the very unhappy lady tells me that you have to do a certificate on the honor that I am in disability (while I Send my payment notices every month!) And which specifies that my payments will"&amp;" be blocked as long as they do not have it (sometimes I would not yet be stressed !!) I recall, because I wanted a supplement of 'Info 5 minutes later and I come across a young man who tells me that I absolutely have to have him filled by the doctor and t"&amp;"hat by waiting for everything is blocked. So, I will not receive anything as long as I have not seen my doctor who is on vacation, I am disabled and I will move for a certificate that does not even concern my situation !! If a manager could give me a reli"&amp;"able response, because in 5 minutes, I had 2 different versions !!
Thank you !")</f>
        <v>I have been in second category disability for 2 years and however, I remain in the late files mentioned as being on work stop. I provide my social security disability payment notification every month. Overall, it's going pretty well. There, I receive a medical questionnaire as if I was stopped, I phone the first time, the very unhappy lady tells me that you have to do a certificate on the honor that I am in disability (while I Send my payment notices every month!) And which specifies that my payments will be blocked as long as they do not have it (sometimes I would not yet be stressed !!) I recall, because I wanted a supplement of 'Info 5 minutes later and I come across a young man who tells me that I absolutely have to have him filled by the doctor and that by waiting for everything is blocked. So, I will not receive anything as long as I have not seen my doctor who is on vacation, I am disabled and I will move for a certificate that does not even concern my situation !! If a manager could give me a reliable response, because in 5 minutes, I had 2 different versions !!
Thank you !</v>
      </c>
    </row>
    <row r="582" ht="15.75" customHeight="1">
      <c r="A582" s="2">
        <v>3.0</v>
      </c>
      <c r="B582" s="2" t="s">
        <v>1712</v>
      </c>
      <c r="C582" s="2" t="s">
        <v>1713</v>
      </c>
      <c r="D582" s="2" t="s">
        <v>224</v>
      </c>
      <c r="E582" s="2" t="s">
        <v>35</v>
      </c>
      <c r="F582" s="2" t="s">
        <v>15</v>
      </c>
      <c r="G582" s="2" t="s">
        <v>1714</v>
      </c>
      <c r="H582" s="2" t="s">
        <v>283</v>
      </c>
      <c r="I582" s="2" t="str">
        <f>IFERROR(__xludf.DUMMYFUNCTION("GOOGLETRANSLATE(C582,""fr"",""en"")"),"I was threatened by an agent because I want to cancel my health insurance contract that I have been forced to sign and yet he takes effect in 2 months the agent told me that I am obliged To pay that I was not put the knife on my throat to sign and as I ma"&amp;"de myself sign Electronically when I have to accept this contract and if I do not pay it will appeal to a bailiff If it is necessary to seize my goods you realize for a contract cancellation was abherent, it told me it was necessary to terminate in the 14"&amp;" days when I did not have the information he told me Like when you buy a fridge we don't tell you the condition it's up 'He uses my bank account")</f>
        <v>I was threatened by an agent because I want to cancel my health insurance contract that I have been forced to sign and yet he takes effect in 2 months the agent told me that I am obliged To pay that I was not put the knife on my throat to sign and as I made myself sign Electronically when I have to accept this contract and if I do not pay it will appeal to a bailiff If it is necessary to seize my goods you realize for a contract cancellation was abherent, it told me it was necessary to terminate in the 14 days when I did not have the information he told me Like when you buy a fridge we don't tell you the condition it's up 'He uses my bank account</v>
      </c>
    </row>
    <row r="583" ht="15.75" customHeight="1">
      <c r="A583" s="2">
        <v>4.0</v>
      </c>
      <c r="B583" s="2" t="s">
        <v>1715</v>
      </c>
      <c r="C583" s="2" t="s">
        <v>1716</v>
      </c>
      <c r="D583" s="2" t="s">
        <v>43</v>
      </c>
      <c r="E583" s="2" t="s">
        <v>14</v>
      </c>
      <c r="F583" s="2" t="s">
        <v>15</v>
      </c>
      <c r="G583" s="2" t="s">
        <v>331</v>
      </c>
      <c r="H583" s="2" t="s">
        <v>166</v>
      </c>
      <c r="I583" s="2" t="str">
        <f>IFERROR(__xludf.DUMMYFUNCTION("GOOGLETRANSLATE(C583,""fr"",""en"")"),"For the moment everything is ok. Unfortunately not possible to complete the contract by internet only by phone. Difficulty then visualizing the options ...")</f>
        <v>For the moment everything is ok. Unfortunately not possible to complete the contract by internet only by phone. Difficulty then visualizing the options ...</v>
      </c>
    </row>
    <row r="584" ht="15.75" customHeight="1">
      <c r="A584" s="2">
        <v>5.0</v>
      </c>
      <c r="B584" s="2" t="s">
        <v>1717</v>
      </c>
      <c r="C584" s="2" t="s">
        <v>1718</v>
      </c>
      <c r="D584" s="2" t="s">
        <v>34</v>
      </c>
      <c r="E584" s="2" t="s">
        <v>35</v>
      </c>
      <c r="F584" s="2" t="s">
        <v>15</v>
      </c>
      <c r="G584" s="2" t="s">
        <v>1719</v>
      </c>
      <c r="H584" s="2" t="s">
        <v>173</v>
      </c>
      <c r="I584" s="2" t="str">
        <f>IFERROR(__xludf.DUMMYFUNCTION("GOOGLETRANSLATE(C584,""fr"",""en"")"),"Very well explained and guaranteed network loyalty network carte blanche Direct.fr
Very good performance")</f>
        <v>Very well explained and guaranteed network loyalty network carte blanche Direct.fr
Very good performance</v>
      </c>
    </row>
    <row r="585" ht="15.75" customHeight="1">
      <c r="A585" s="2">
        <v>5.0</v>
      </c>
      <c r="B585" s="2" t="s">
        <v>1720</v>
      </c>
      <c r="C585" s="2" t="s">
        <v>1721</v>
      </c>
      <c r="D585" s="2" t="s">
        <v>43</v>
      </c>
      <c r="E585" s="2" t="s">
        <v>14</v>
      </c>
      <c r="F585" s="2" t="s">
        <v>15</v>
      </c>
      <c r="G585" s="2" t="s">
        <v>1722</v>
      </c>
      <c r="H585" s="2" t="s">
        <v>272</v>
      </c>
      <c r="I585" s="2" t="str">
        <f>IFERROR(__xludf.DUMMYFUNCTION("GOOGLETRANSLATE(C585,""fr"",""en"")"),"Simple, fast and the very advantageous price !!! Reactive team when you ask for documents always meets the indicated deadlines !!! We recommend this insurance.")</f>
        <v>Simple, fast and the very advantageous price !!! Reactive team when you ask for documents always meets the indicated deadlines !!! We recommend this insurance.</v>
      </c>
    </row>
    <row r="586" ht="15.75" customHeight="1">
      <c r="A586" s="2">
        <v>1.0</v>
      </c>
      <c r="B586" s="2" t="s">
        <v>1723</v>
      </c>
      <c r="C586" s="2" t="s">
        <v>1724</v>
      </c>
      <c r="D586" s="2" t="s">
        <v>63</v>
      </c>
      <c r="E586" s="2" t="s">
        <v>317</v>
      </c>
      <c r="F586" s="2" t="s">
        <v>15</v>
      </c>
      <c r="G586" s="2" t="s">
        <v>745</v>
      </c>
      <c r="H586" s="2" t="s">
        <v>166</v>
      </c>
      <c r="I586" s="2" t="str">
        <f>IFERROR(__xludf.DUMMYFUNCTION("GOOGLETRANSLATE(C586,""fr"",""en"")"),"Flee Generali Retraite ... I have a retirement contract by capitalization that I try to close, a first request which did not succeed 3 years ago, and again after a request in early February no real interlocutor, my Postal file was well received, the docum"&amp;"ents accepted, I was told to wait, to wait and my last call on 31/5/2021 ... More files ... Each interlocutor loft from post. . They had to remind me by phone, give me news by email .... nothing.")</f>
        <v>Flee Generali Retraite ... I have a retirement contract by capitalization that I try to close, a first request which did not succeed 3 years ago, and again after a request in early February no real interlocutor, my Postal file was well received, the documents accepted, I was told to wait, to wait and my last call on 31/5/2021 ... More files ... Each interlocutor loft from post. . They had to remind me by phone, give me news by email .... nothing.</v>
      </c>
    </row>
    <row r="587" ht="15.75" customHeight="1">
      <c r="A587" s="2">
        <v>1.0</v>
      </c>
      <c r="B587" s="2" t="s">
        <v>1725</v>
      </c>
      <c r="C587" s="2" t="s">
        <v>1726</v>
      </c>
      <c r="D587" s="2" t="s">
        <v>369</v>
      </c>
      <c r="E587" s="2" t="s">
        <v>35</v>
      </c>
      <c r="F587" s="2" t="s">
        <v>15</v>
      </c>
      <c r="G587" s="2" t="s">
        <v>1015</v>
      </c>
      <c r="H587" s="2" t="s">
        <v>776</v>
      </c>
      <c r="I587" s="2" t="str">
        <f>IFERROR(__xludf.DUMMYFUNCTION("GOOGLETRANSLATE(C587,""fr"",""en"")"),"Mail of complaint without response since May (we are late), it is unacceptable.
No commitment to the response time, deplorable customer management process.")</f>
        <v>Mail of complaint without response since May (we are late), it is unacceptable.
No commitment to the response time, deplorable customer management process.</v>
      </c>
    </row>
    <row r="588" ht="15.75" customHeight="1">
      <c r="A588" s="2">
        <v>5.0</v>
      </c>
      <c r="B588" s="2" t="s">
        <v>1727</v>
      </c>
      <c r="C588" s="2" t="s">
        <v>1728</v>
      </c>
      <c r="D588" s="2" t="s">
        <v>43</v>
      </c>
      <c r="E588" s="2" t="s">
        <v>14</v>
      </c>
      <c r="F588" s="2" t="s">
        <v>15</v>
      </c>
      <c r="G588" s="2" t="s">
        <v>1310</v>
      </c>
      <c r="H588" s="2" t="s">
        <v>192</v>
      </c>
      <c r="I588" s="2" t="str">
        <f>IFERROR(__xludf.DUMMYFUNCTION("GOOGLETRANSLATE(C588,""fr"",""en"")"),"Very good service
My interlocutor took care of any very nice and listening person.
Thanks to him.
I recommend this insurance.")</f>
        <v>Very good service
My interlocutor took care of any very nice and listening person.
Thanks to him.
I recommend this insurance.</v>
      </c>
    </row>
    <row r="589" ht="15.75" customHeight="1">
      <c r="A589" s="2">
        <v>1.0</v>
      </c>
      <c r="B589" s="2" t="s">
        <v>1729</v>
      </c>
      <c r="C589" s="2" t="s">
        <v>1730</v>
      </c>
      <c r="D589" s="2" t="s">
        <v>308</v>
      </c>
      <c r="E589" s="2" t="s">
        <v>1731</v>
      </c>
      <c r="F589" s="2" t="s">
        <v>15</v>
      </c>
      <c r="G589" s="2" t="s">
        <v>1732</v>
      </c>
      <c r="H589" s="2" t="s">
        <v>1029</v>
      </c>
      <c r="I589" s="2" t="str">
        <f>IFERROR(__xludf.DUMMYFUNCTION("GOOGLETRANSLATE(C589,""fr"",""en"")"),"The company is a disaster and the agent of total incompetence.
 Since 1993, no pro claim but continual increases without justification other than ""it is the company ..."", no knowledge of the customer's activity. Refuses following a new writing of the c"&amp;"orporate object to ensure the ""new risks"" while we specify our real activities ..... no contact and I worry if we had declared a claim.
Help, to banish ....
")</f>
        <v>The company is a disaster and the agent of total incompetence.
 Since 1993, no pro claim but continual increases without justification other than "it is the company ...", no knowledge of the customer's activity. Refuses following a new writing of the corporate object to ensure the "new risks" while we specify our real activities ..... no contact and I worry if we had declared a claim.
Help, to banish ....
</v>
      </c>
    </row>
    <row r="590" ht="15.75" customHeight="1">
      <c r="A590" s="2">
        <v>1.0</v>
      </c>
      <c r="B590" s="2" t="s">
        <v>1733</v>
      </c>
      <c r="C590" s="2" t="s">
        <v>1734</v>
      </c>
      <c r="D590" s="2" t="s">
        <v>436</v>
      </c>
      <c r="E590" s="2" t="s">
        <v>317</v>
      </c>
      <c r="F590" s="2" t="s">
        <v>15</v>
      </c>
      <c r="G590" s="2" t="s">
        <v>1735</v>
      </c>
      <c r="H590" s="2" t="s">
        <v>108</v>
      </c>
      <c r="I590" s="2" t="str">
        <f>IFERROR(__xludf.DUMMYFUNCTION("GOOGLETRANSLATE(C590,""fr"",""en"")"),"Craftsman I was on work stoppage from the start of confinement for my fragile health; My contract provides 31 J of deficiency. I had the Covid special medical certificate filled by my doctor and since then no news despite my multiple reminders with my adv"&amp;"isor and on the website. I only live thanks to the IJ CPAM. I do not find it worthy of a large company")</f>
        <v>Craftsman I was on work stoppage from the start of confinement for my fragile health; My contract provides 31 J of deficiency. I had the Covid special medical certificate filled by my doctor and since then no news despite my multiple reminders with my advisor and on the website. I only live thanks to the IJ CPAM. I do not find it worthy of a large company</v>
      </c>
    </row>
    <row r="591" ht="15.75" customHeight="1">
      <c r="A591" s="2">
        <v>4.0</v>
      </c>
      <c r="B591" s="2" t="s">
        <v>1736</v>
      </c>
      <c r="C591" s="2" t="s">
        <v>1737</v>
      </c>
      <c r="D591" s="2" t="s">
        <v>43</v>
      </c>
      <c r="E591" s="2" t="s">
        <v>14</v>
      </c>
      <c r="F591" s="2" t="s">
        <v>15</v>
      </c>
      <c r="G591" s="2" t="s">
        <v>1494</v>
      </c>
      <c r="H591" s="2" t="s">
        <v>52</v>
      </c>
      <c r="I591" s="2" t="str">
        <f>IFERROR(__xludf.DUMMYFUNCTION("GOOGLETRANSLATE(C591,""fr"",""en"")"),"I am very satisfied with the services of the insurer The olive tree not only the prices are not excessive is listening to the advisor is very pleasant.")</f>
        <v>I am very satisfied with the services of the insurer The olive tree not only the prices are not excessive is listening to the advisor is very pleasant.</v>
      </c>
    </row>
    <row r="592" ht="15.75" customHeight="1">
      <c r="A592" s="2">
        <v>1.0</v>
      </c>
      <c r="B592" s="2" t="s">
        <v>1738</v>
      </c>
      <c r="C592" s="2" t="s">
        <v>1739</v>
      </c>
      <c r="D592" s="2" t="s">
        <v>13</v>
      </c>
      <c r="E592" s="2" t="s">
        <v>14</v>
      </c>
      <c r="F592" s="2" t="s">
        <v>15</v>
      </c>
      <c r="G592" s="2" t="s">
        <v>526</v>
      </c>
      <c r="H592" s="2" t="s">
        <v>52</v>
      </c>
      <c r="I592" s="2" t="str">
        <f>IFERROR(__xludf.DUMMYFUNCTION("GOOGLETRANSLATE(C592,""fr"",""en"")"),"I am not satisfied with auto and home insurance prices, 6 years that I am at home and it increases from year to year although I had no accident.")</f>
        <v>I am not satisfied with auto and home insurance prices, 6 years that I am at home and it increases from year to year although I had no accident.</v>
      </c>
    </row>
    <row r="593" ht="15.75" customHeight="1">
      <c r="A593" s="2">
        <v>2.0</v>
      </c>
      <c r="B593" s="2" t="s">
        <v>1740</v>
      </c>
      <c r="C593" s="2" t="s">
        <v>1741</v>
      </c>
      <c r="D593" s="2" t="s">
        <v>179</v>
      </c>
      <c r="E593" s="2" t="s">
        <v>14</v>
      </c>
      <c r="F593" s="2" t="s">
        <v>15</v>
      </c>
      <c r="G593" s="2" t="s">
        <v>279</v>
      </c>
      <c r="H593" s="2" t="s">
        <v>52</v>
      </c>
      <c r="I593" s="2" t="str">
        <f>IFERROR(__xludf.DUMMYFUNCTION("GOOGLETRANSLATE(C593,""fr"",""en"")"),"I have been a bonus of 50 for more than 15 years but in 2019 a BG DECLARATION FOR BRISE in 2020 for the obligatory control, a slight responsible accident (a crumpled rear wing) and the unprotected light BG it took the water in All risks contract but they "&amp;"are struck up in record speed 10 days they did not assume their services for 4 years that I was with them I strongly advised it for it is a very bad insurance and their recomandes of terminations took faith in their dates d Sending and no to the reception"&amp;" of the fact she stopped the 28-03 at 0h but I could not recover it on the 27th so my new insurance only takes faith on 30-03 to 0 hours so more insurance for 2 days and the vehicle is on the public way suuuuper
")</f>
        <v>I have been a bonus of 50 for more than 15 years but in 2019 a BG DECLARATION FOR BRISE in 2020 for the obligatory control, a slight responsible accident (a crumpled rear wing) and the unprotected light BG it took the water in All risks contract but they are struck up in record speed 10 days they did not assume their services for 4 years that I was with them I strongly advised it for it is a very bad insurance and their recomandes of terminations took faith in their dates d Sending and no to the reception of the fact she stopped the 28-03 at 0h but I could not recover it on the 27th so my new insurance only takes faith on 30-03 to 0 hours so more insurance for 2 days and the vehicle is on the public way suuuuper
</v>
      </c>
    </row>
    <row r="594" ht="15.75" customHeight="1">
      <c r="A594" s="2">
        <v>4.0</v>
      </c>
      <c r="B594" s="2" t="s">
        <v>1742</v>
      </c>
      <c r="C594" s="2" t="s">
        <v>1743</v>
      </c>
      <c r="D594" s="2" t="s">
        <v>13</v>
      </c>
      <c r="E594" s="2" t="s">
        <v>14</v>
      </c>
      <c r="F594" s="2" t="s">
        <v>15</v>
      </c>
      <c r="G594" s="2" t="s">
        <v>856</v>
      </c>
      <c r="H594" s="2" t="s">
        <v>72</v>
      </c>
      <c r="I594" s="2" t="str">
        <f>IFERROR(__xludf.DUMMYFUNCTION("GOOGLETRANSLATE(C594,""fr"",""en"")"),"I am generally satisfied with the way in which the proposal is made. Quick and clear access in options. On the other hand, the main difficulty lies in the vehicle model whose commercial model is requested! of which nobody we do not know (not mentioned on "&amp;"the gray card!) You have to do a search on other site to find out what is the commercial name of the model!
It would be more judicious to indicate the serial number of mines registered on the gray card.
")</f>
        <v>I am generally satisfied with the way in which the proposal is made. Quick and clear access in options. On the other hand, the main difficulty lies in the vehicle model whose commercial model is requested! of which nobody we do not know (not mentioned on the gray card!) You have to do a search on other site to find out what is the commercial name of the model!
It would be more judicious to indicate the serial number of mines registered on the gray card.
</v>
      </c>
    </row>
    <row r="595" ht="15.75" customHeight="1">
      <c r="A595" s="2">
        <v>1.0</v>
      </c>
      <c r="B595" s="2" t="s">
        <v>1744</v>
      </c>
      <c r="C595" s="2" t="s">
        <v>1745</v>
      </c>
      <c r="D595" s="2" t="s">
        <v>224</v>
      </c>
      <c r="E595" s="2" t="s">
        <v>35</v>
      </c>
      <c r="F595" s="2" t="s">
        <v>15</v>
      </c>
      <c r="G595" s="2" t="s">
        <v>398</v>
      </c>
      <c r="H595" s="2" t="s">
        <v>192</v>
      </c>
      <c r="I595" s="2" t="str">
        <f>IFERROR(__xludf.DUMMYFUNCTION("GOOGLETRANSLATE(C595,""fr"",""en"")"),"Insured since March 2021, Néoliane has taken me since January. Despite 2 letters recommended to date, no refund for contributions unduly received from them.
As for my only request for refund made since early May, it is still ""in progress"" and I do not "&amp;"obtain any response to my reminders.
I strongly recommend this company which does not honor its services and unduly led its customers.
I would nevertheless be delighted that Néoliane proves her good faith and her honesty to me.")</f>
        <v>Insured since March 2021, Néoliane has taken me since January. Despite 2 letters recommended to date, no refund for contributions unduly received from them.
As for my only request for refund made since early May, it is still "in progress" and I do not obtain any response to my reminders.
I strongly recommend this company which does not honor its services and unduly led its customers.
I would nevertheless be delighted that Néoliane proves her good faith and her honesty to me.</v>
      </c>
    </row>
    <row r="596" ht="15.75" customHeight="1">
      <c r="A596" s="2">
        <v>1.0</v>
      </c>
      <c r="B596" s="2" t="s">
        <v>1746</v>
      </c>
      <c r="C596" s="2" t="s">
        <v>1747</v>
      </c>
      <c r="D596" s="2" t="s">
        <v>308</v>
      </c>
      <c r="E596" s="2" t="s">
        <v>85</v>
      </c>
      <c r="F596" s="2" t="s">
        <v>15</v>
      </c>
      <c r="G596" s="2" t="s">
        <v>811</v>
      </c>
      <c r="H596" s="2" t="s">
        <v>99</v>
      </c>
      <c r="I596" s="2" t="str">
        <f>IFERROR(__xludf.DUMMYFUNCTION("GOOGLETRANSLATE(C596,""fr"",""en"")"),"I have been a customer since 2019. I pay 8 €/month to ensure my student accommodation. Except that since last September I had made a crisp accommodation that I ultimately did not live due to unsanitary conditions. I notified it to Allianz but they continu"&amp;"ed to take me. I wrote a certificate on honor, made a declaration of change of address ... in vain. So I asked for termination. I have subscribed to Adah and today I am asked for contributions for accommodation where I never stayed, and refuse to terminat"&amp;"e the renewal.
Allianz will no longer have a penny on my part.")</f>
        <v>I have been a customer since 2019. I pay 8 €/month to ensure my student accommodation. Except that since last September I had made a crisp accommodation that I ultimately did not live due to unsanitary conditions. I notified it to Allianz but they continued to take me. I wrote a certificate on honor, made a declaration of change of address ... in vain. So I asked for termination. I have subscribed to Adah and today I am asked for contributions for accommodation where I never stayed, and refuse to terminate the renewal.
Allianz will no longer have a penny on my part.</v>
      </c>
    </row>
    <row r="597" ht="15.75" customHeight="1">
      <c r="A597" s="2">
        <v>1.0</v>
      </c>
      <c r="B597" s="2" t="s">
        <v>1748</v>
      </c>
      <c r="C597" s="2" t="s">
        <v>1749</v>
      </c>
      <c r="D597" s="2" t="s">
        <v>369</v>
      </c>
      <c r="E597" s="2" t="s">
        <v>35</v>
      </c>
      <c r="F597" s="2" t="s">
        <v>15</v>
      </c>
      <c r="G597" s="2" t="s">
        <v>1750</v>
      </c>
      <c r="H597" s="2" t="s">
        <v>495</v>
      </c>
      <c r="I597" s="2" t="str">
        <f>IFERROR(__xludf.DUMMYFUNCTION("GOOGLETRANSLATE(C597,""fr"",""en"")"),"You have to call them 10 times to have a refund, even the termination is complicated, to do their job these are the last, to send you negative answers to all your requests, there they are champions !!! To flee if you can, you will find cheaper and more co"&amp;"mpetent elsewhere for sure!")</f>
        <v>You have to call them 10 times to have a refund, even the termination is complicated, to do their job these are the last, to send you negative answers to all your requests, there they are champions !!! To flee if you can, you will find cheaper and more competent elsewhere for sure!</v>
      </c>
    </row>
    <row r="598" ht="15.75" customHeight="1">
      <c r="A598" s="2">
        <v>4.0</v>
      </c>
      <c r="B598" s="2" t="s">
        <v>1751</v>
      </c>
      <c r="C598" s="2" t="s">
        <v>1752</v>
      </c>
      <c r="D598" s="2" t="s">
        <v>43</v>
      </c>
      <c r="E598" s="2" t="s">
        <v>14</v>
      </c>
      <c r="F598" s="2" t="s">
        <v>15</v>
      </c>
      <c r="G598" s="2" t="s">
        <v>1753</v>
      </c>
      <c r="H598" s="2" t="s">
        <v>72</v>
      </c>
      <c r="I598" s="2" t="str">
        <f>IFERROR(__xludf.DUMMYFUNCTION("GOOGLETRANSLATE(C598,""fr"",""en"")"),"Very satisfied with the price for a car of +400cv
Speed ​​of subscription in short everything seems perfect. The advisor was in particular clear and attentive")</f>
        <v>Very satisfied with the price for a car of +400cv
Speed ​​of subscription in short everything seems perfect. The advisor was in particular clear and attentive</v>
      </c>
    </row>
    <row r="599" ht="15.75" customHeight="1">
      <c r="A599" s="2">
        <v>4.0</v>
      </c>
      <c r="B599" s="2" t="s">
        <v>1754</v>
      </c>
      <c r="C599" s="2" t="s">
        <v>1755</v>
      </c>
      <c r="D599" s="2" t="s">
        <v>43</v>
      </c>
      <c r="E599" s="2" t="s">
        <v>14</v>
      </c>
      <c r="F599" s="2" t="s">
        <v>15</v>
      </c>
      <c r="G599" s="2" t="s">
        <v>216</v>
      </c>
      <c r="H599" s="2" t="s">
        <v>217</v>
      </c>
      <c r="I599" s="2" t="str">
        <f>IFERROR(__xludf.DUMMYFUNCTION("GOOGLETRANSLATE(C599,""fr"",""en"")"),"Satisfied with the price, simple and effective subscription,. I hope that the services will be of quality in the event of a claim what I obviously do not wish.")</f>
        <v>Satisfied with the price, simple and effective subscription,. I hope that the services will be of quality in the event of a claim what I obviously do not wish.</v>
      </c>
    </row>
    <row r="600" ht="15.75" customHeight="1">
      <c r="A600" s="2">
        <v>2.0</v>
      </c>
      <c r="B600" s="2" t="s">
        <v>1756</v>
      </c>
      <c r="C600" s="2" t="s">
        <v>1757</v>
      </c>
      <c r="D600" s="2" t="s">
        <v>13</v>
      </c>
      <c r="E600" s="2" t="s">
        <v>14</v>
      </c>
      <c r="F600" s="2" t="s">
        <v>15</v>
      </c>
      <c r="G600" s="2" t="s">
        <v>126</v>
      </c>
      <c r="H600" s="2" t="s">
        <v>72</v>
      </c>
      <c r="I600" s="2" t="str">
        <f>IFERROR(__xludf.DUMMYFUNCTION("GOOGLETRANSLATE(C600,""fr"",""en"")"),"I find the price a little expensive for guarantees and € 150 for two vehicles insured at home it starts to do expensive it does not dissuade me I hope that the price will quickly drop")</f>
        <v>I find the price a little expensive for guarantees and € 150 for two vehicles insured at home it starts to do expensive it does not dissuade me I hope that the price will quickly drop</v>
      </c>
    </row>
    <row r="601" ht="15.75" customHeight="1">
      <c r="A601" s="2">
        <v>3.0</v>
      </c>
      <c r="B601" s="2" t="s">
        <v>1758</v>
      </c>
      <c r="C601" s="2" t="s">
        <v>1759</v>
      </c>
      <c r="D601" s="2" t="s">
        <v>55</v>
      </c>
      <c r="E601" s="2" t="s">
        <v>56</v>
      </c>
      <c r="F601" s="2" t="s">
        <v>15</v>
      </c>
      <c r="G601" s="2" t="s">
        <v>1524</v>
      </c>
      <c r="H601" s="2" t="s">
        <v>272</v>
      </c>
      <c r="I601" s="2" t="str">
        <f>IFERROR(__xludf.DUMMYFUNCTION("GOOGLETRANSLATE(C601,""fr"",""en"")"),"I am satisfied with the service as well as the price offered by the company. The use of the internet application facilitates membership for my contract.")</f>
        <v>I am satisfied with the service as well as the price offered by the company. The use of the internet application facilitates membership for my contract.</v>
      </c>
    </row>
    <row r="602" ht="15.75" customHeight="1">
      <c r="A602" s="2">
        <v>1.0</v>
      </c>
      <c r="B602" s="2" t="s">
        <v>1760</v>
      </c>
      <c r="C602" s="2" t="s">
        <v>1761</v>
      </c>
      <c r="D602" s="2" t="s">
        <v>207</v>
      </c>
      <c r="E602" s="2" t="s">
        <v>35</v>
      </c>
      <c r="F602" s="2" t="s">
        <v>15</v>
      </c>
      <c r="G602" s="2" t="s">
        <v>1762</v>
      </c>
      <c r="H602" s="2" t="s">
        <v>236</v>
      </c>
      <c r="I602" s="2" t="str">
        <f>IFERROR(__xludf.DUMMYFUNCTION("GOOGLETRANSLATE(C602,""fr"",""en"")"),"It's been more than a month since we employ a company ... have all sent our registration files
And that today is still nothing! No social security coverage and in telephone contact and the agent's reasons: well he does not know does not understand himsel"&amp;"f !!
It promises !! And in 2021 this situation is deplorable and above all serious and unacceptable ...
Complaints will be filed")</f>
        <v>It's been more than a month since we employ a company ... have all sent our registration files
And that today is still nothing! No social security coverage and in telephone contact and the agent's reasons: well he does not know does not understand himself !!
It promises !! And in 2021 this situation is deplorable and above all serious and unacceptable ...
Complaints will be filed</v>
      </c>
    </row>
    <row r="603" ht="15.75" customHeight="1">
      <c r="A603" s="2">
        <v>1.0</v>
      </c>
      <c r="B603" s="2" t="s">
        <v>1763</v>
      </c>
      <c r="C603" s="2" t="s">
        <v>1764</v>
      </c>
      <c r="D603" s="2" t="s">
        <v>207</v>
      </c>
      <c r="E603" s="2" t="s">
        <v>35</v>
      </c>
      <c r="F603" s="2" t="s">
        <v>15</v>
      </c>
      <c r="G603" s="2" t="s">
        <v>1765</v>
      </c>
      <c r="H603" s="2" t="s">
        <v>16</v>
      </c>
      <c r="I603" s="2" t="str">
        <f>IFERROR(__xludf.DUMMYFUNCTION("GOOGLETRANSLATE(C603,""fr"",""en"")"),"Impossible to join them they leave us on the phone for hours without ever answering to finally after 1 hour waiting to curl up. Deplorable")</f>
        <v>Impossible to join them they leave us on the phone for hours without ever answering to finally after 1 hour waiting to curl up. Deplorable</v>
      </c>
    </row>
    <row r="604" ht="15.75" customHeight="1">
      <c r="A604" s="2">
        <v>1.0</v>
      </c>
      <c r="B604" s="2" t="s">
        <v>1766</v>
      </c>
      <c r="C604" s="2" t="s">
        <v>1767</v>
      </c>
      <c r="D604" s="2" t="s">
        <v>106</v>
      </c>
      <c r="E604" s="2" t="s">
        <v>14</v>
      </c>
      <c r="F604" s="2" t="s">
        <v>15</v>
      </c>
      <c r="G604" s="2" t="s">
        <v>609</v>
      </c>
      <c r="H604" s="2" t="s">
        <v>217</v>
      </c>
      <c r="I604" s="2" t="str">
        <f>IFERROR(__xludf.DUMMYFUNCTION("GOOGLETRANSLATE(C604,""fr"",""en"")"),"Catastrophic insurance, 5 hours to manage a puncture with unpleasant interlocutors when they recall .... in view of excessive contributions have expected a better quality service.
Nothing better than a classic insurer")</f>
        <v>Catastrophic insurance, 5 hours to manage a puncture with unpleasant interlocutors when they recall .... in view of excessive contributions have expected a better quality service.
Nothing better than a classic insurer</v>
      </c>
    </row>
    <row r="605" ht="15.75" customHeight="1">
      <c r="A605" s="2">
        <v>1.0</v>
      </c>
      <c r="B605" s="2" t="s">
        <v>1768</v>
      </c>
      <c r="C605" s="2" t="s">
        <v>1769</v>
      </c>
      <c r="D605" s="2" t="s">
        <v>597</v>
      </c>
      <c r="E605" s="2" t="s">
        <v>85</v>
      </c>
      <c r="F605" s="2" t="s">
        <v>15</v>
      </c>
      <c r="G605" s="2" t="s">
        <v>1770</v>
      </c>
      <c r="H605" s="2" t="s">
        <v>319</v>
      </c>
      <c r="I605" s="2" t="str">
        <f>IFERROR(__xludf.DUMMYFUNCTION("GOOGLETRANSLATE(C605,""fr"",""en"")"),"We answer you very quickly to the telephone to pass a contract, and then once you have to wait for hours.")</f>
        <v>We answer you very quickly to the telephone to pass a contract, and then once you have to wait for hours.</v>
      </c>
    </row>
    <row r="606" ht="15.75" customHeight="1">
      <c r="A606" s="2">
        <v>5.0</v>
      </c>
      <c r="B606" s="2" t="s">
        <v>1771</v>
      </c>
      <c r="C606" s="2" t="s">
        <v>1772</v>
      </c>
      <c r="D606" s="2" t="s">
        <v>43</v>
      </c>
      <c r="E606" s="2" t="s">
        <v>14</v>
      </c>
      <c r="F606" s="2" t="s">
        <v>15</v>
      </c>
      <c r="G606" s="2" t="s">
        <v>1773</v>
      </c>
      <c r="H606" s="2" t="s">
        <v>272</v>
      </c>
      <c r="I606" s="2" t="str">
        <f>IFERROR(__xludf.DUMMYFUNCTION("GOOGLETRANSLATE(C606,""fr"",""en"")"),"Perfect I highly recommend both for prices and for reception
Excellent service
Impeccable professionalism
Thank you for everything.")</f>
        <v>Perfect I highly recommend both for prices and for reception
Excellent service
Impeccable professionalism
Thank you for everything.</v>
      </c>
    </row>
    <row r="607" ht="15.75" customHeight="1">
      <c r="A607" s="2">
        <v>1.0</v>
      </c>
      <c r="B607" s="2" t="s">
        <v>1774</v>
      </c>
      <c r="C607" s="2" t="s">
        <v>1775</v>
      </c>
      <c r="D607" s="2" t="s">
        <v>55</v>
      </c>
      <c r="E607" s="2" t="s">
        <v>56</v>
      </c>
      <c r="F607" s="2" t="s">
        <v>15</v>
      </c>
      <c r="G607" s="2" t="s">
        <v>176</v>
      </c>
      <c r="H607" s="2" t="s">
        <v>99</v>
      </c>
      <c r="I607" s="2" t="str">
        <f>IFERROR(__xludf.DUMMYFUNCTION("GOOGLETRANSLATE(C607,""fr"",""en"")"),"Bad insurance, no advice, we discover by yourself the conditions of their contract, which contain a lot of drawbacks or very badly covered. The price is more than extravagant and their customer service is not in France.")</f>
        <v>Bad insurance, no advice, we discover by yourself the conditions of their contract, which contain a lot of drawbacks or very badly covered. The price is more than extravagant and their customer service is not in France.</v>
      </c>
    </row>
    <row r="608" ht="15.75" customHeight="1">
      <c r="A608" s="2">
        <v>1.0</v>
      </c>
      <c r="B608" s="2" t="s">
        <v>1776</v>
      </c>
      <c r="C608" s="2" t="s">
        <v>1777</v>
      </c>
      <c r="D608" s="2" t="s">
        <v>352</v>
      </c>
      <c r="E608" s="2" t="s">
        <v>14</v>
      </c>
      <c r="F608" s="2" t="s">
        <v>15</v>
      </c>
      <c r="G608" s="2" t="s">
        <v>1778</v>
      </c>
      <c r="H608" s="2" t="s">
        <v>995</v>
      </c>
      <c r="I608" s="2" t="str">
        <f>IFERROR(__xludf.DUMMYFUNCTION("GOOGLETRANSLATE(C608,""fr"",""en"")"),"Insurance to avoid. The hyper hyper -high prices, with two non -responsible claims we send you a termination, if you are responsible I do not know what they are going to do. An arrogance never seen.")</f>
        <v>Insurance to avoid. The hyper hyper -high prices, with two non -responsible claims we send you a termination, if you are responsible I do not know what they are going to do. An arrogance never seen.</v>
      </c>
    </row>
    <row r="609" ht="15.75" customHeight="1">
      <c r="A609" s="2">
        <v>3.0</v>
      </c>
      <c r="B609" s="2" t="s">
        <v>1779</v>
      </c>
      <c r="C609" s="2" t="s">
        <v>1780</v>
      </c>
      <c r="D609" s="2" t="s">
        <v>13</v>
      </c>
      <c r="E609" s="2" t="s">
        <v>14</v>
      </c>
      <c r="F609" s="2" t="s">
        <v>15</v>
      </c>
      <c r="G609" s="2" t="s">
        <v>901</v>
      </c>
      <c r="H609" s="2" t="s">
        <v>99</v>
      </c>
      <c r="I609" s="2" t="str">
        <f>IFERROR(__xludf.DUMMYFUNCTION("GOOGLETRANSLATE(C609,""fr"",""en"")"),"I am happy with the transaction although she took time to be validated
I am interested in the You-Drive offer and I hope I will have an interesting reduction the end of the self.")</f>
        <v>I am happy with the transaction although she took time to be validated
I am interested in the You-Drive offer and I hope I will have an interesting reduction the end of the self.</v>
      </c>
    </row>
    <row r="610" ht="15.75" customHeight="1">
      <c r="A610" s="2">
        <v>1.0</v>
      </c>
      <c r="B610" s="2" t="s">
        <v>1781</v>
      </c>
      <c r="C610" s="2" t="s">
        <v>1782</v>
      </c>
      <c r="D610" s="2" t="s">
        <v>43</v>
      </c>
      <c r="E610" s="2" t="s">
        <v>14</v>
      </c>
      <c r="F610" s="2" t="s">
        <v>15</v>
      </c>
      <c r="G610" s="2" t="s">
        <v>1783</v>
      </c>
      <c r="H610" s="2" t="s">
        <v>201</v>
      </c>
      <c r="I610" s="2" t="str">
        <f>IFERROR(__xludf.DUMMYFUNCTION("GOOGLETRANSLATE(C610,""fr"",""en"")"),"Contract 1080136526 insured at the Olivier since the last 1/12 I chose the annual payment following this I sent on multiple times and re sent the necessary supporting parts. Today I called them asking them with insistence what was their problem with me. R"&amp;"esponsible: we lack the back of your gray card. This is wrong. here a few minutes. But nothing on the mailbox.ma provisional green card perime at the end of the month .... I will not let them put me on their file will act even if it is a lawyer. Worse ins"&amp;"urance company or I have subscribed.")</f>
        <v>Contract 1080136526 insured at the Olivier since the last 1/12 I chose the annual payment following this I sent on multiple times and re sent the necessary supporting parts. Today I called them asking them with insistence what was their problem with me. Responsible: we lack the back of your gray card. This is wrong. here a few minutes. But nothing on the mailbox.ma provisional green card perime at the end of the month .... I will not let them put me on their file will act even if it is a lawyer. Worse insurance company or I have subscribed.</v>
      </c>
    </row>
    <row r="611" ht="15.75" customHeight="1">
      <c r="A611" s="2">
        <v>5.0</v>
      </c>
      <c r="B611" s="2" t="s">
        <v>1784</v>
      </c>
      <c r="C611" s="2" t="s">
        <v>1785</v>
      </c>
      <c r="D611" s="2" t="s">
        <v>43</v>
      </c>
      <c r="E611" s="2" t="s">
        <v>14</v>
      </c>
      <c r="F611" s="2" t="s">
        <v>15</v>
      </c>
      <c r="G611" s="2" t="s">
        <v>1786</v>
      </c>
      <c r="H611" s="2" t="s">
        <v>313</v>
      </c>
      <c r="I611" s="2" t="str">
        <f>IFERROR(__xludf.DUMMYFUNCTION("GOOGLETRANSLATE(C611,""fr"",""en"")"),"Competitive prices, very friendly listening and telephone reception with advisers who give relevant advice (which allowed me to save money). I recommend +++")</f>
        <v>Competitive prices, very friendly listening and telephone reception with advisers who give relevant advice (which allowed me to save money). I recommend +++</v>
      </c>
    </row>
    <row r="612" ht="15.75" customHeight="1">
      <c r="A612" s="2">
        <v>4.0</v>
      </c>
      <c r="B612" s="2" t="s">
        <v>1787</v>
      </c>
      <c r="C612" s="2" t="s">
        <v>1788</v>
      </c>
      <c r="D612" s="2" t="s">
        <v>13</v>
      </c>
      <c r="E612" s="2" t="s">
        <v>14</v>
      </c>
      <c r="F612" s="2" t="s">
        <v>15</v>
      </c>
      <c r="G612" s="2" t="s">
        <v>724</v>
      </c>
      <c r="H612" s="2" t="s">
        <v>272</v>
      </c>
      <c r="I612" s="2" t="str">
        <f>IFERROR(__xludf.DUMMYFUNCTION("GOOGLETRANSLATE(C612,""fr"",""en"")"),"I am satisfied with the service. It's quick and easy. The prices are very very competitive. The site is easy to use and direct assurance this charge to terminate our other contract for us")</f>
        <v>I am satisfied with the service. It's quick and easy. The prices are very very competitive. The site is easy to use and direct assurance this charge to terminate our other contract for us</v>
      </c>
    </row>
    <row r="613" ht="15.75" customHeight="1">
      <c r="A613" s="2">
        <v>2.0</v>
      </c>
      <c r="B613" s="2" t="s">
        <v>1789</v>
      </c>
      <c r="C613" s="2" t="s">
        <v>1790</v>
      </c>
      <c r="D613" s="2" t="s">
        <v>13</v>
      </c>
      <c r="E613" s="2" t="s">
        <v>14</v>
      </c>
      <c r="F613" s="2" t="s">
        <v>15</v>
      </c>
      <c r="G613" s="2" t="s">
        <v>1791</v>
      </c>
      <c r="H613" s="2" t="s">
        <v>272</v>
      </c>
      <c r="I613" s="2" t="str">
        <f>IFERROR(__xludf.DUMMYFUNCTION("GOOGLETRANSLATE(C613,""fr"",""en"")"),"I am not satisfied at all, I have just seen that I still have a double contract of my old accommodation when I had done the necessary online during my move. Since 2018 I have continued to pay two annual contributions.")</f>
        <v>I am not satisfied at all, I have just seen that I still have a double contract of my old accommodation when I had done the necessary online during my move. Since 2018 I have continued to pay two annual contributions.</v>
      </c>
    </row>
    <row r="614" ht="15.75" customHeight="1">
      <c r="A614" s="2">
        <v>3.0</v>
      </c>
      <c r="B614" s="2" t="s">
        <v>1792</v>
      </c>
      <c r="C614" s="2" t="s">
        <v>1793</v>
      </c>
      <c r="D614" s="2" t="s">
        <v>13</v>
      </c>
      <c r="E614" s="2" t="s">
        <v>14</v>
      </c>
      <c r="F614" s="2" t="s">
        <v>15</v>
      </c>
      <c r="G614" s="2" t="s">
        <v>1071</v>
      </c>
      <c r="H614" s="2" t="s">
        <v>146</v>
      </c>
      <c r="I614" s="2" t="str">
        <f>IFERROR(__xludf.DUMMYFUNCTION("GOOGLETRANSLATE(C614,""fr"",""en"")"),"Competitive prices, the questionnaire remains a bit long and tedious but that is understanding. Already satisfied by you on the current contract. Thank you")</f>
        <v>Competitive prices, the questionnaire remains a bit long and tedious but that is understanding. Already satisfied by you on the current contract. Thank you</v>
      </c>
    </row>
    <row r="615" ht="15.75" customHeight="1">
      <c r="A615" s="2">
        <v>4.0</v>
      </c>
      <c r="B615" s="2" t="s">
        <v>1794</v>
      </c>
      <c r="C615" s="2" t="s">
        <v>1795</v>
      </c>
      <c r="D615" s="2" t="s">
        <v>34</v>
      </c>
      <c r="E615" s="2" t="s">
        <v>35</v>
      </c>
      <c r="F615" s="2" t="s">
        <v>15</v>
      </c>
      <c r="G615" s="2" t="s">
        <v>1796</v>
      </c>
      <c r="H615" s="2" t="s">
        <v>118</v>
      </c>
      <c r="I615" s="2" t="str">
        <f>IFERROR(__xludf.DUMMYFUNCTION("GOOGLETRANSLATE(C615,""fr"",""en"")"),"Good customer service, satisfied with the quality of services, new customers")</f>
        <v>Good customer service, satisfied with the quality of services, new customers</v>
      </c>
    </row>
    <row r="616" ht="15.75" customHeight="1">
      <c r="A616" s="2">
        <v>1.0</v>
      </c>
      <c r="B616" s="2" t="s">
        <v>1797</v>
      </c>
      <c r="C616" s="2" t="s">
        <v>1798</v>
      </c>
      <c r="D616" s="2" t="s">
        <v>597</v>
      </c>
      <c r="E616" s="2" t="s">
        <v>85</v>
      </c>
      <c r="F616" s="2" t="s">
        <v>15</v>
      </c>
      <c r="G616" s="2" t="s">
        <v>1799</v>
      </c>
      <c r="H616" s="2" t="s">
        <v>619</v>
      </c>
      <c r="I616" s="2" t="str">
        <f>IFERROR(__xludf.DUMMYFUNCTION("GOOGLETRANSLATE(C616,""fr"",""en"")"),"Avoid at all costs .... badly polished and unpleasant phone advisers. Not very pleasant if not aggressive and far from being competent. When they are unable to respond contractually they offer you to terminate. No mail certificate .... The emails cost che"&amp;"aper than letters ..... the guarantees not very clear and more than ambiguous in terms of guarantees for ultimately do not reimburse or reimbursed a trifle 15 years after the facts. .. I tell you an insurance dear compared to competition. Unable to answer"&amp;" customer questions. Opacitity apart from having the standard and a formatted text of a nenette which does not seem to understand the service service and which is limited in Wesh Wesh mode and which does not go up the information (two calls to tell me tha"&amp;"t I have never called) ah yes as a customer you are nothing and limits a liar as I could feel with Sogessur or Groupama. So to avoid like plague and rage.")</f>
        <v>Avoid at all costs .... badly polished and unpleasant phone advisers. Not very pleasant if not aggressive and far from being competent. When they are unable to respond contractually they offer you to terminate. No mail certificate .... The emails cost cheaper than letters ..... the guarantees not very clear and more than ambiguous in terms of guarantees for ultimately do not reimburse or reimbursed a trifle 15 years after the facts. .. I tell you an insurance dear compared to competition. Unable to answer customer questions. Opacitity apart from having the standard and a formatted text of a nenette which does not seem to understand the service service and which is limited in Wesh Wesh mode and which does not go up the information (two calls to tell me that I have never called) ah yes as a customer you are nothing and limits a liar as I could feel with Sogessur or Groupama. So to avoid like plague and rage.</v>
      </c>
    </row>
    <row r="617" ht="15.75" customHeight="1">
      <c r="A617" s="2">
        <v>2.0</v>
      </c>
      <c r="B617" s="2" t="s">
        <v>1800</v>
      </c>
      <c r="C617" s="2" t="s">
        <v>1801</v>
      </c>
      <c r="D617" s="2" t="s">
        <v>308</v>
      </c>
      <c r="E617" s="2" t="s">
        <v>14</v>
      </c>
      <c r="F617" s="2" t="s">
        <v>15</v>
      </c>
      <c r="G617" s="2" t="s">
        <v>1215</v>
      </c>
      <c r="H617" s="2" t="s">
        <v>68</v>
      </c>
      <c r="I617" s="2" t="str">
        <f>IFERROR(__xludf.DUMMYFUNCTION("GOOGLETRANSLATE(C617,""fr"",""en"")"),"Hello
I am very disappointed with Allianz online,
No care sent to the garage.
Obliged to make a check to recover the car.
I contacted the expert so that he could assess the vehicle.
So apart from taking money made your job correctly!
I have three co"&amp;"ntracts with you that I will terminate.
To contact you minimum 50 minutes.
Cordially.
")</f>
        <v>Hello
I am very disappointed with Allianz online,
No care sent to the garage.
Obliged to make a check to recover the car.
I contacted the expert so that he could assess the vehicle.
So apart from taking money made your job correctly!
I have three contracts with you that I will terminate.
To contact you minimum 50 minutes.
Cordially.
</v>
      </c>
    </row>
    <row r="618" ht="15.75" customHeight="1">
      <c r="A618" s="2">
        <v>5.0</v>
      </c>
      <c r="B618" s="2" t="s">
        <v>1802</v>
      </c>
      <c r="C618" s="2" t="s">
        <v>1803</v>
      </c>
      <c r="D618" s="2" t="s">
        <v>43</v>
      </c>
      <c r="E618" s="2" t="s">
        <v>14</v>
      </c>
      <c r="F618" s="2" t="s">
        <v>15</v>
      </c>
      <c r="G618" s="2" t="s">
        <v>374</v>
      </c>
      <c r="H618" s="2" t="s">
        <v>68</v>
      </c>
      <c r="I618" s="2" t="str">
        <f>IFERROR(__xludf.DUMMYFUNCTION("GOOGLETRANSLATE(C618,""fr"",""en"")"),"I am satisfied with the insurance service offered for my vehicle, I admit I have known you through a friend who is a customer at the Olivier Insurance")</f>
        <v>I am satisfied with the insurance service offered for my vehicle, I admit I have known you through a friend who is a customer at the Olivier Insurance</v>
      </c>
    </row>
    <row r="619" ht="15.75" customHeight="1">
      <c r="A619" s="2">
        <v>5.0</v>
      </c>
      <c r="B619" s="2" t="s">
        <v>1804</v>
      </c>
      <c r="C619" s="2" t="s">
        <v>1805</v>
      </c>
      <c r="D619" s="2" t="s">
        <v>43</v>
      </c>
      <c r="E619" s="2" t="s">
        <v>14</v>
      </c>
      <c r="F619" s="2" t="s">
        <v>15</v>
      </c>
      <c r="G619" s="2" t="s">
        <v>468</v>
      </c>
      <c r="H619" s="2" t="s">
        <v>166</v>
      </c>
      <c r="I619" s="2" t="str">
        <f>IFERROR(__xludf.DUMMYFUNCTION("GOOGLETRANSLATE(C619,""fr"",""en"")"),"Very responsive good dialogues and directives to follow clear and precise.
Very satisfactory I recommend my loved ones.
Good reception of documents.
best regard")</f>
        <v>Very responsive good dialogues and directives to follow clear and precise.
Very satisfactory I recommend my loved ones.
Good reception of documents.
best regard</v>
      </c>
    </row>
    <row r="620" ht="15.75" customHeight="1">
      <c r="A620" s="2">
        <v>1.0</v>
      </c>
      <c r="B620" s="2" t="s">
        <v>1806</v>
      </c>
      <c r="C620" s="2" t="s">
        <v>1807</v>
      </c>
      <c r="D620" s="2" t="s">
        <v>13</v>
      </c>
      <c r="E620" s="2" t="s">
        <v>14</v>
      </c>
      <c r="F620" s="2" t="s">
        <v>15</v>
      </c>
      <c r="G620" s="2" t="s">
        <v>727</v>
      </c>
      <c r="H620" s="2" t="s">
        <v>166</v>
      </c>
      <c r="I620" s="2" t="str">
        <f>IFERROR(__xludf.DUMMYFUNCTION("GOOGLETRANSLATE(C620,""fr"",""en"")"),"incompetent and very expensive.
insurance company which is not clear at all
I expose my problem we are not even able to provide me with a clear answer")</f>
        <v>incompetent and very expensive.
insurance company which is not clear at all
I expose my problem we are not even able to provide me with a clear answer</v>
      </c>
    </row>
    <row r="621" ht="15.75" customHeight="1">
      <c r="A621" s="2">
        <v>1.0</v>
      </c>
      <c r="B621" s="2" t="s">
        <v>1808</v>
      </c>
      <c r="C621" s="2" t="s">
        <v>1809</v>
      </c>
      <c r="D621" s="2" t="s">
        <v>43</v>
      </c>
      <c r="E621" s="2" t="s">
        <v>14</v>
      </c>
      <c r="F621" s="2" t="s">
        <v>15</v>
      </c>
      <c r="G621" s="2" t="s">
        <v>873</v>
      </c>
      <c r="H621" s="2" t="s">
        <v>192</v>
      </c>
      <c r="I621" s="2" t="str">
        <f>IFERROR(__xludf.DUMMYFUNCTION("GOOGLETRANSLATE(C621,""fr"",""en"")"),"Unbeatable prices. Very clear, courteous and attentive advisor. Very good option to ensure an elderly vehicle but in good condition, only used occasionally")</f>
        <v>Unbeatable prices. Very clear, courteous and attentive advisor. Very good option to ensure an elderly vehicle but in good condition, only used occasionally</v>
      </c>
    </row>
    <row r="622" ht="15.75" customHeight="1">
      <c r="A622" s="2">
        <v>5.0</v>
      </c>
      <c r="B622" s="2" t="s">
        <v>1810</v>
      </c>
      <c r="C622" s="2" t="s">
        <v>1811</v>
      </c>
      <c r="D622" s="2" t="s">
        <v>13</v>
      </c>
      <c r="E622" s="2" t="s">
        <v>14</v>
      </c>
      <c r="F622" s="2" t="s">
        <v>15</v>
      </c>
      <c r="G622" s="2" t="s">
        <v>380</v>
      </c>
      <c r="H622" s="2" t="s">
        <v>99</v>
      </c>
      <c r="I622" s="2" t="str">
        <f>IFERROR(__xludf.DUMMYFUNCTION("GOOGLETRANSLATE(C622,""fr"",""en"")"),"Simple and quick subscription. Prices seem more than suitable for me compared to other car insurance.
I will recommend direct insurance to those around me.")</f>
        <v>Simple and quick subscription. Prices seem more than suitable for me compared to other car insurance.
I will recommend direct insurance to those around me.</v>
      </c>
    </row>
    <row r="623" ht="15.75" customHeight="1">
      <c r="A623" s="2">
        <v>1.0</v>
      </c>
      <c r="B623" s="2" t="s">
        <v>1812</v>
      </c>
      <c r="C623" s="2" t="s">
        <v>1813</v>
      </c>
      <c r="D623" s="2" t="s">
        <v>106</v>
      </c>
      <c r="E623" s="2" t="s">
        <v>14</v>
      </c>
      <c r="F623" s="2" t="s">
        <v>15</v>
      </c>
      <c r="G623" s="2" t="s">
        <v>1618</v>
      </c>
      <c r="H623" s="2" t="s">
        <v>146</v>
      </c>
      <c r="I623" s="2" t="str">
        <f>IFERROR(__xludf.DUMMYFUNCTION("GOOGLETRANSLATE(C623,""fr"",""en"")"),"Hello everyone.
Here is my opinion.
I invite you all to read in detail all the lines of the contract.
We assured my wife and I myself a common vehicle.
On the contract it is my name that appears there, our advisor tells us that a single name is necess"&amp;"ary for the subscription but that my wife being from the home is well attached to this contract.
Several years later we claim this vehicle and ask to receive our information statements.
Pacifica informs me that there is no statement for my wife it being"&amp;" unknown to their services.
I call customer services (call recorded) to share this concern with them.
I get sent to the roses like never before, the operator tells me that it is like that at Pacifica and that the contract had to be read before signing i"&amp;"t.
Wise advice, I immediately withdraw all my contracts from Pacifica and at the same time all my accounts at the LCL.
Once the contract is signed, we treat you as a less than nothing.
Cordially
")</f>
        <v>Hello everyone.
Here is my opinion.
I invite you all to read in detail all the lines of the contract.
We assured my wife and I myself a common vehicle.
On the contract it is my name that appears there, our advisor tells us that a single name is necessary for the subscription but that my wife being from the home is well attached to this contract.
Several years later we claim this vehicle and ask to receive our information statements.
Pacifica informs me that there is no statement for my wife it being unknown to their services.
I call customer services (call recorded) to share this concern with them.
I get sent to the roses like never before, the operator tells me that it is like that at Pacifica and that the contract had to be read before signing it.
Wise advice, I immediately withdraw all my contracts from Pacifica and at the same time all my accounts at the LCL.
Once the contract is signed, we treat you as a less than nothing.
Cordially
</v>
      </c>
    </row>
    <row r="624" ht="15.75" customHeight="1">
      <c r="A624" s="2">
        <v>1.0</v>
      </c>
      <c r="B624" s="2" t="s">
        <v>1814</v>
      </c>
      <c r="C624" s="2" t="s">
        <v>1815</v>
      </c>
      <c r="D624" s="2" t="s">
        <v>43</v>
      </c>
      <c r="E624" s="2" t="s">
        <v>14</v>
      </c>
      <c r="F624" s="2" t="s">
        <v>15</v>
      </c>
      <c r="G624" s="2" t="s">
        <v>1086</v>
      </c>
      <c r="H624" s="2" t="s">
        <v>68</v>
      </c>
      <c r="I624" s="2" t="str">
        <f>IFERROR(__xludf.DUMMYFUNCTION("GOOGLETRANSLATE(C624,""fr"",""en"")"),"Hello,
I found my vehicle stamped in the street. The claim was declared on 01/11/2021 and I am ensured in all risks.
My letters/emails remain unanswered and my telephone interlocutors at the Insurance Olivier are unable to provide me with response e"&amp;"lements.
However, the Olivier Assurance refuses to indicate me because it notes a lack of concordance between my declaration and the technical analyzes of the expert (no document provided to the insured to justify it and this after several reminders). "&amp;"It is unacceptable for me to have received from the olive assurance no elements allowing them to emerge from their compensation obligations, it is always incumbent on them to prove that the conditions of this exclusion are met.
In addition, I received "&amp;"the expert from the expert to obtain the note (technical analyzes) but the olive assurance refuses to send it to me, but it is the only one who can authorize the sending of this document.
In addition, at no time does the Olivier Assurance conclude on m"&amp;"y declaration (report), and does not demonstrate how it cannot be retained. Also, on April 12, 2021, the Olivier Assurance was unable to provide proof that the facts of the declared disaster enter well within the framework of exclusion.
In this regard,"&amp;" the general conditions of the contract on page 19 indicate that the collision against a fixed or moving body are guaranteed. These 2 hypotheses are guaranteed, so that a declaration on the circumstances of the accident are indifferent concerning the obje"&amp;"ct of the risk or the opinion of the insurer on this subject.
Communication with the Olivier Insurance is very complicated and tedious, their approximate conclusions and I always expect to have my answers (claim declared on 01/11/2021).
The manageme"&amp;"nt of the disaster on the part of the Olivier Insurance is currently extremely unsatisfactory.
Cordially,")</f>
        <v>Hello,
I found my vehicle stamped in the street. The claim was declared on 01/11/2021 and I am ensured in all risks.
My letters/emails remain unanswered and my telephone interlocutors at the Insurance Olivier are unable to provide me with response elements.
However, the Olivier Assurance refuses to indicate me because it notes a lack of concordance between my declaration and the technical analyzes of the expert (no document provided to the insured to justify it and this after several reminders). It is unacceptable for me to have received from the olive assurance no elements allowing them to emerge from their compensation obligations, it is always incumbent on them to prove that the conditions of this exclusion are met.
In addition, I received the expert from the expert to obtain the note (technical analyzes) but the olive assurance refuses to send it to me, but it is the only one who can authorize the sending of this document.
In addition, at no time does the Olivier Assurance conclude on my declaration (report), and does not demonstrate how it cannot be retained. Also, on April 12, 2021, the Olivier Assurance was unable to provide proof that the facts of the declared disaster enter well within the framework of exclusion.
In this regard, the general conditions of the contract on page 19 indicate that the collision against a fixed or moving body are guaranteed. These 2 hypotheses are guaranteed, so that a declaration on the circumstances of the accident are indifferent concerning the object of the risk or the opinion of the insurer on this subject.
Communication with the Olivier Insurance is very complicated and tedious, their approximate conclusions and I always expect to have my answers (claim declared on 01/11/2021).
The management of the disaster on the part of the Olivier Insurance is currently extremely unsatisfactory.
Cordially,</v>
      </c>
    </row>
    <row r="625" ht="15.75" customHeight="1">
      <c r="A625" s="2">
        <v>5.0</v>
      </c>
      <c r="B625" s="2" t="s">
        <v>1816</v>
      </c>
      <c r="C625" s="2" t="s">
        <v>1817</v>
      </c>
      <c r="D625" s="2" t="s">
        <v>34</v>
      </c>
      <c r="E625" s="2" t="s">
        <v>35</v>
      </c>
      <c r="F625" s="2" t="s">
        <v>15</v>
      </c>
      <c r="G625" s="2" t="s">
        <v>1818</v>
      </c>
      <c r="H625" s="2" t="s">
        <v>229</v>
      </c>
      <c r="I625" s="2" t="str">
        <f>IFERROR(__xludf.DUMMYFUNCTION("GOOGLETRANSLATE(C625,""fr"",""en"")"),"I will admit that I am not an expert in health at the base and the Caclul of reimbursements and other subtleties put me in difficulty. By going through Santiane in 2015 I spent almost 2 hours on the phone to choose and understand the formulas offered. My "&amp;"advisor took time and extremely well done his job, thank you again.")</f>
        <v>I will admit that I am not an expert in health at the base and the Caclul of reimbursements and other subtleties put me in difficulty. By going through Santiane in 2015 I spent almost 2 hours on the phone to choose and understand the formulas offered. My advisor took time and extremely well done his job, thank you again.</v>
      </c>
    </row>
    <row r="626" ht="15.75" customHeight="1">
      <c r="A626" s="2">
        <v>3.0</v>
      </c>
      <c r="B626" s="2" t="s">
        <v>1819</v>
      </c>
      <c r="C626" s="2" t="s">
        <v>1820</v>
      </c>
      <c r="D626" s="2" t="s">
        <v>183</v>
      </c>
      <c r="E626" s="2" t="s">
        <v>14</v>
      </c>
      <c r="F626" s="2" t="s">
        <v>15</v>
      </c>
      <c r="G626" s="2" t="s">
        <v>1821</v>
      </c>
      <c r="H626" s="2" t="s">
        <v>371</v>
      </c>
      <c r="I626" s="2" t="str">
        <f>IFERROR(__xludf.DUMMYFUNCTION("GOOGLETRANSLATE(C626,""fr"",""en"")"),"You are asked in advance the first 2 months on the subscription by ensuring that there will be no sampling on the 11th and 12th month and in the end I am still taking and when they are called now C Normal without any valid explanation")</f>
        <v>You are asked in advance the first 2 months on the subscription by ensuring that there will be no sampling on the 11th and 12th month and in the end I am still taking and when they are called now C Normal without any valid explanation</v>
      </c>
    </row>
    <row r="627" ht="15.75" customHeight="1">
      <c r="A627" s="2">
        <v>2.0</v>
      </c>
      <c r="B627" s="2" t="s">
        <v>1822</v>
      </c>
      <c r="C627" s="2" t="s">
        <v>1823</v>
      </c>
      <c r="D627" s="2" t="s">
        <v>179</v>
      </c>
      <c r="E627" s="2" t="s">
        <v>14</v>
      </c>
      <c r="F627" s="2" t="s">
        <v>15</v>
      </c>
      <c r="G627" s="2" t="s">
        <v>1824</v>
      </c>
      <c r="H627" s="2" t="s">
        <v>995</v>
      </c>
      <c r="I627" s="2" t="str">
        <f>IFERROR(__xludf.DUMMYFUNCTION("GOOGLETRANSLATE(C627,""fr"",""en"")"),"If you come across Eurofil, run away!
In November, my car suffered damage in a parking lot. Either an indelicate driver left without leaving an address, or more surely according to the mechanic expert of Eurofil, vandalism.
I filed a complaint for volun"&amp;"tary deterioration of the property of others with transmission to Eurofil.
Amazing, today I receive a registered Eurofil, which terminates my insurance and registers for the file will act for the reason that the termination of a contract allocated at lea"&amp;"st one claim in the last 36 months leads to this registration at AGRA;
So here I am on a non -grata person, ignoring my bonus by 50% and even a deductible reduction of 10%. .
But nevertheless concerned with pampering its customers, Eurofil makes it easi"&amp;"er for me to find a new insurer by communicating the address of a partner (I will rather lean for the word accomplice)
Finally, here is my conclusion:
The easiest way is to never set foot in this kind of pharmacy. One day or another you will regret it.
"&amp;"
If you will still adhere to this pseudo insurer,
Read your contract General Conditions Page 19 Article 7.1.4. In which case can the contract be terminated? Answer: by us: automatically in the event of withdrawal from our approval.
Eurofil does not have"&amp;" to justify his decision. It is the fact of the prince, he withdraws his approval and registers you in the file of bad drivers.
It was my automotive seller who has referred me to this pseudo insurer that is Eurofil, but never to the big one, I will no lo"&amp;"nger take out insurance in an unknown box, it really attracts me too much trouble. But as the fountain wrote, it swore but not late that we will not take it back!")</f>
        <v>If you come across Eurofil, run away!
In November, my car suffered damage in a parking lot. Either an indelicate driver left without leaving an address, or more surely according to the mechanic expert of Eurofil, vandalism.
I filed a complaint for voluntary deterioration of the property of others with transmission to Eurofil.
Amazing, today I receive a registered Eurofil, which terminates my insurance and registers for the file will act for the reason that the termination of a contract allocated at least one claim in the last 36 months leads to this registration at AGRA;
So here I am on a non -grata person, ignoring my bonus by 50% and even a deductible reduction of 10%. .
But nevertheless concerned with pampering its customers, Eurofil makes it easier for me to find a new insurer by communicating the address of a partner (I will rather lean for the word accomplice)
Finally, here is my conclusion:
The easiest way is to never set foot in this kind of pharmacy. One day or another you will regret it.
If you will still adhere to this pseudo insurer,
Read your contract General Conditions Page 19 Article 7.1.4. In which case can the contract be terminated? Answer: by us: automatically in the event of withdrawal from our approval.
Eurofil does not have to justify his decision. It is the fact of the prince, he withdraws his approval and registers you in the file of bad drivers.
It was my automotive seller who has referred me to this pseudo insurer that is Eurofil, but never to the big one, I will no longer take out insurance in an unknown box, it really attracts me too much trouble. But as the fountain wrote, it swore but not late that we will not take it back!</v>
      </c>
    </row>
    <row r="628" ht="15.75" customHeight="1">
      <c r="A628" s="2">
        <v>1.0</v>
      </c>
      <c r="B628" s="2" t="s">
        <v>1825</v>
      </c>
      <c r="C628" s="2" t="s">
        <v>1826</v>
      </c>
      <c r="D628" s="2" t="s">
        <v>80</v>
      </c>
      <c r="E628" s="2" t="s">
        <v>14</v>
      </c>
      <c r="F628" s="2" t="s">
        <v>15</v>
      </c>
      <c r="G628" s="2" t="s">
        <v>309</v>
      </c>
      <c r="H628" s="2" t="s">
        <v>16</v>
      </c>
      <c r="I628" s="2" t="str">
        <f>IFERROR(__xludf.DUMMYFUNCTION("GOOGLETRANSLATE(C628,""fr"",""en"")"),"Insurance that does not cover you for nothing. You have contracts signed by promising that you are super well assured and nothing at all flees this insurance")</f>
        <v>Insurance that does not cover you for nothing. You have contracts signed by promising that you are super well assured and nothing at all flees this insurance</v>
      </c>
    </row>
    <row r="629" ht="15.75" customHeight="1">
      <c r="A629" s="2">
        <v>5.0</v>
      </c>
      <c r="B629" s="2" t="s">
        <v>1827</v>
      </c>
      <c r="C629" s="2" t="s">
        <v>1828</v>
      </c>
      <c r="D629" s="2" t="s">
        <v>55</v>
      </c>
      <c r="E629" s="2" t="s">
        <v>56</v>
      </c>
      <c r="F629" s="2" t="s">
        <v>15</v>
      </c>
      <c r="G629" s="2" t="s">
        <v>377</v>
      </c>
      <c r="H629" s="2" t="s">
        <v>272</v>
      </c>
      <c r="I629" s="2" t="str">
        <f>IFERROR(__xludf.DUMMYFUNCTION("GOOGLETRANSLATE(C629,""fr"",""en"")"),"I am satisfied with the service and find them very fast. For the guarantees is good. I find that the price is relatively reasonable. Thanks again")</f>
        <v>I am satisfied with the service and find them very fast. For the guarantees is good. I find that the price is relatively reasonable. Thanks again</v>
      </c>
    </row>
    <row r="630" ht="15.75" customHeight="1">
      <c r="A630" s="2">
        <v>5.0</v>
      </c>
      <c r="B630" s="2" t="s">
        <v>1829</v>
      </c>
      <c r="C630" s="2" t="s">
        <v>1830</v>
      </c>
      <c r="D630" s="2" t="s">
        <v>13</v>
      </c>
      <c r="E630" s="2" t="s">
        <v>14</v>
      </c>
      <c r="F630" s="2" t="s">
        <v>15</v>
      </c>
      <c r="G630" s="2" t="s">
        <v>724</v>
      </c>
      <c r="H630" s="2" t="s">
        <v>272</v>
      </c>
      <c r="I630" s="2" t="str">
        <f>IFERROR(__xludf.DUMMYFUNCTION("GOOGLETRANSLATE(C630,""fr"",""en"")"),"I am satisfied with the service I want to insure your vehicle at Direct Insurance I am really satisfied and for the price it goes it's cheaper compared to your insurance")</f>
        <v>I am satisfied with the service I want to insure your vehicle at Direct Insurance I am really satisfied and for the price it goes it's cheaper compared to your insurance</v>
      </c>
    </row>
    <row r="631" ht="15.75" customHeight="1">
      <c r="A631" s="2">
        <v>5.0</v>
      </c>
      <c r="B631" s="2" t="s">
        <v>1831</v>
      </c>
      <c r="C631" s="2" t="s">
        <v>1832</v>
      </c>
      <c r="D631" s="2" t="s">
        <v>448</v>
      </c>
      <c r="E631" s="2" t="s">
        <v>112</v>
      </c>
      <c r="F631" s="2" t="s">
        <v>15</v>
      </c>
      <c r="G631" s="2" t="s">
        <v>873</v>
      </c>
      <c r="H631" s="2" t="s">
        <v>192</v>
      </c>
      <c r="I631" s="2" t="str">
        <f>IFERROR(__xludf.DUMMYFUNCTION("GOOGLETRANSLATE(C631,""fr"",""en"")"),"I am perfectly satisfied with the service, an amazing quality of welcome, always attentive, I would recommend this service around me without hesitation")</f>
        <v>I am perfectly satisfied with the service, an amazing quality of welcome, always attentive, I would recommend this service around me without hesitation</v>
      </c>
    </row>
    <row r="632" ht="15.75" customHeight="1">
      <c r="A632" s="2">
        <v>2.0</v>
      </c>
      <c r="B632" s="2" t="s">
        <v>1833</v>
      </c>
      <c r="C632" s="2" t="s">
        <v>1834</v>
      </c>
      <c r="D632" s="2" t="s">
        <v>13</v>
      </c>
      <c r="E632" s="2" t="s">
        <v>14</v>
      </c>
      <c r="F632" s="2" t="s">
        <v>15</v>
      </c>
      <c r="G632" s="2" t="s">
        <v>1494</v>
      </c>
      <c r="H632" s="2" t="s">
        <v>52</v>
      </c>
      <c r="I632" s="2" t="str">
        <f>IFERROR(__xludf.DUMMYFUNCTION("GOOGLETRANSLATE(C632,""fr"",""en"")"),"Uninteresting prices the first year but annual increases are quickly losing this interest. Direct Assurance explains to you then that the first year you have benefited from a well -arrived bonus which is not one of their quote and the invoice. Contrary to"&amp;" what is registered in the estimate, the ""annual"" premium is only valid in the first year, for the following years ... A surprise!")</f>
        <v>Uninteresting prices the first year but annual increases are quickly losing this interest. Direct Assurance explains to you then that the first year you have benefited from a well -arrived bonus which is not one of their quote and the invoice. Contrary to what is registered in the estimate, the "annual" premium is only valid in the first year, for the following years ... A surprise!</v>
      </c>
    </row>
    <row r="633" ht="15.75" customHeight="1">
      <c r="A633" s="2">
        <v>1.0</v>
      </c>
      <c r="B633" s="2" t="s">
        <v>1835</v>
      </c>
      <c r="C633" s="2" t="s">
        <v>1836</v>
      </c>
      <c r="D633" s="2" t="s">
        <v>13</v>
      </c>
      <c r="E633" s="2" t="s">
        <v>14</v>
      </c>
      <c r="F633" s="2" t="s">
        <v>15</v>
      </c>
      <c r="G633" s="2" t="s">
        <v>560</v>
      </c>
      <c r="H633" s="2" t="s">
        <v>192</v>
      </c>
      <c r="I633" s="2" t="str">
        <f>IFERROR(__xludf.DUMMYFUNCTION("GOOGLETRANSLATE(C633,""fr"",""en"")"),"Infamous customer service. Enormous price increase without justification. Direct insurance is to flee! I would never make sure again ...")</f>
        <v>Infamous customer service. Enormous price increase without justification. Direct insurance is to flee! I would never make sure again ...</v>
      </c>
    </row>
    <row r="634" ht="15.75" customHeight="1">
      <c r="A634" s="2">
        <v>2.0</v>
      </c>
      <c r="B634" s="2" t="s">
        <v>1837</v>
      </c>
      <c r="C634" s="2" t="s">
        <v>1838</v>
      </c>
      <c r="D634" s="2" t="s">
        <v>19</v>
      </c>
      <c r="E634" s="2" t="s">
        <v>85</v>
      </c>
      <c r="F634" s="2" t="s">
        <v>15</v>
      </c>
      <c r="G634" s="2" t="s">
        <v>1839</v>
      </c>
      <c r="H634" s="2" t="s">
        <v>103</v>
      </c>
      <c r="I634" s="2" t="str">
        <f>IFERROR(__xludf.DUMMYFUNCTION("GOOGLETRANSLATE(C634,""fr"",""en"")"),"A shame declaration of claim on November 3, 2019 following the storm. I spend my time called because they have to remind me but it is nothing. 8 calls for Telechiffrage Not one of them to hear me say after 22 days that my file is transferred to a Polyexpe"&amp;"rt expert. We are on December 3 still no appointment although I have already called 4 times. I moved 2 times to the Anglet agency but no one can do anything you have to wait.
A person in the Macif called me yesterday and told me that this is normal becau"&amp;"se the Macif is the first insurer of France for individuals. OK so we lying down the deadlines ???? I really think of changing insurer.")</f>
        <v>A shame declaration of claim on November 3, 2019 following the storm. I spend my time called because they have to remind me but it is nothing. 8 calls for Telechiffrage Not one of them to hear me say after 22 days that my file is transferred to a Polyexpert expert. We are on December 3 still no appointment although I have already called 4 times. I moved 2 times to the Anglet agency but no one can do anything you have to wait.
A person in the Macif called me yesterday and told me that this is normal because the Macif is the first insurer of France for individuals. OK so we lying down the deadlines ???? I really think of changing insurer.</v>
      </c>
    </row>
    <row r="635" ht="15.75" customHeight="1">
      <c r="A635" s="2">
        <v>3.0</v>
      </c>
      <c r="B635" s="2" t="s">
        <v>1840</v>
      </c>
      <c r="C635" s="2" t="s">
        <v>1841</v>
      </c>
      <c r="D635" s="2" t="s">
        <v>55</v>
      </c>
      <c r="E635" s="2" t="s">
        <v>56</v>
      </c>
      <c r="F635" s="2" t="s">
        <v>15</v>
      </c>
      <c r="G635" s="2" t="s">
        <v>1842</v>
      </c>
      <c r="H635" s="2" t="s">
        <v>192</v>
      </c>
      <c r="I635" s="2" t="str">
        <f>IFERROR(__xludf.DUMMYFUNCTION("GOOGLETRANSLATE(C635,""fr"",""en"")"),"Correct price, a little less deductible.
No telephone harassment and the exchange is constructive. Difficulty setting up a telephone appointment which explains my subscription on the net.")</f>
        <v>Correct price, a little less deductible.
No telephone harassment and the exchange is constructive. Difficulty setting up a telephone appointment which explains my subscription on the net.</v>
      </c>
    </row>
    <row r="636" ht="15.75" customHeight="1">
      <c r="A636" s="2">
        <v>2.0</v>
      </c>
      <c r="B636" s="2" t="s">
        <v>1843</v>
      </c>
      <c r="C636" s="2" t="s">
        <v>1844</v>
      </c>
      <c r="D636" s="2" t="s">
        <v>352</v>
      </c>
      <c r="E636" s="2" t="s">
        <v>14</v>
      </c>
      <c r="F636" s="2" t="s">
        <v>15</v>
      </c>
      <c r="G636" s="2" t="s">
        <v>1375</v>
      </c>
      <c r="H636" s="2" t="s">
        <v>82</v>
      </c>
      <c r="I636" s="2" t="str">
        <f>IFERROR(__xludf.DUMMYFUNCTION("GOOGLETRANSLATE(C636,""fr"",""en"")"),"Insured GMF for 45 years I have just been told that I was unwanted, because 2 claims in 2018 (equipment and light) and a break of ice not responsible in 2016 .. it is the agency of my old home that decides to Terminating the contract, although I have move"&amp;"d to another department for 5 years. So no knowledge of the customer, no possibility of dialogue. Their undoubtedly human slogan is undoubtedly unsuitable. According to the comments, I think the GMF is cleaning right now and only keeps the insured who pay"&amp;"s and declares any claim.")</f>
        <v>Insured GMF for 45 years I have just been told that I was unwanted, because 2 claims in 2018 (equipment and light) and a break of ice not responsible in 2016 .. it is the agency of my old home that decides to Terminating the contract, although I have moved to another department for 5 years. So no knowledge of the customer, no possibility of dialogue. Their undoubtedly human slogan is undoubtedly unsuitable. According to the comments, I think the GMF is cleaning right now and only keeps the insured who pays and declares any claim.</v>
      </c>
    </row>
    <row r="637" ht="15.75" customHeight="1">
      <c r="A637" s="2">
        <v>4.0</v>
      </c>
      <c r="B637" s="2" t="s">
        <v>1845</v>
      </c>
      <c r="C637" s="2" t="s">
        <v>1846</v>
      </c>
      <c r="D637" s="2" t="s">
        <v>97</v>
      </c>
      <c r="E637" s="2" t="s">
        <v>56</v>
      </c>
      <c r="F637" s="2" t="s">
        <v>15</v>
      </c>
      <c r="G637" s="2" t="s">
        <v>689</v>
      </c>
      <c r="H637" s="2" t="s">
        <v>99</v>
      </c>
      <c r="I637" s="2" t="str">
        <f>IFERROR(__xludf.DUMMYFUNCTION("GOOGLETRANSLATE(C637,""fr"",""en"")"),"Hello, I am satisfied with the speed and simplicity of the AMV site, insured in less of 10 minutes, I recommend this insurance")</f>
        <v>Hello, I am satisfied with the speed and simplicity of the AMV site, insured in less of 10 minutes, I recommend this insurance</v>
      </c>
    </row>
    <row r="638" ht="15.75" customHeight="1">
      <c r="A638" s="2">
        <v>1.0</v>
      </c>
      <c r="B638" s="2" t="s">
        <v>1847</v>
      </c>
      <c r="C638" s="2" t="s">
        <v>1848</v>
      </c>
      <c r="D638" s="2" t="s">
        <v>156</v>
      </c>
      <c r="E638" s="2" t="s">
        <v>14</v>
      </c>
      <c r="F638" s="2" t="s">
        <v>15</v>
      </c>
      <c r="G638" s="2" t="s">
        <v>1849</v>
      </c>
      <c r="H638" s="2" t="s">
        <v>576</v>
      </c>
      <c r="I638" s="2" t="str">
        <f>IFERROR(__xludf.DUMMYFUNCTION("GOOGLETRANSLATE(C638,""fr"",""en"")"),"After having a customer advisor on the phone who made me pay for a month and the fees
We had an appointment in the Vierzon agency
The documents given by our former agency did not correspond to their request.
The agency manager was very badly friendly, "&amp;"and did not seem to be interested in new customers who also wanted to bring back all their insurance contracts to them (5 contracts)
We had two ice breaks including a non -responsible vandalism for both.
The agency manager warns us that there will be a "&amp;"deductible of 15 to 75 euros since we had broken ice.
He asked us to send them back the missing documents to make the contract.
After sending the documents we received a phone call indicating that he had changed his mind and that he would not make a con"&amp;"tract and that it was he who chose his clients.
We have paid the fees for a month of insurance")</f>
        <v>After having a customer advisor on the phone who made me pay for a month and the fees
We had an appointment in the Vierzon agency
The documents given by our former agency did not correspond to their request.
The agency manager was very badly friendly, and did not seem to be interested in new customers who also wanted to bring back all their insurance contracts to them (5 contracts)
We had two ice breaks including a non -responsible vandalism for both.
The agency manager warns us that there will be a deductible of 15 to 75 euros since we had broken ice.
He asked us to send them back the missing documents to make the contract.
After sending the documents we received a phone call indicating that he had changed his mind and that he would not make a contract and that it was he who chose his clients.
We have paid the fees for a month of insurance</v>
      </c>
    </row>
    <row r="639" ht="15.75" customHeight="1">
      <c r="A639" s="2">
        <v>4.0</v>
      </c>
      <c r="B639" s="2" t="s">
        <v>1850</v>
      </c>
      <c r="C639" s="2" t="s">
        <v>1851</v>
      </c>
      <c r="D639" s="2" t="s">
        <v>116</v>
      </c>
      <c r="E639" s="2" t="s">
        <v>35</v>
      </c>
      <c r="F639" s="2" t="s">
        <v>15</v>
      </c>
      <c r="G639" s="2" t="s">
        <v>1852</v>
      </c>
      <c r="H639" s="2" t="s">
        <v>438</v>
      </c>
      <c r="I639" s="2" t="str">
        <f>IFERROR(__xludf.DUMMYFUNCTION("GOOGLETRANSLATE(C639,""fr"",""en"")"),"My first mutual insurance company as a student, I took the Oji offer and frankly, nothing to say, I saw the comments and I was afraid but their customer service (although with a waiting time 5 minute) is great, attentive and polite. They knew how to send "&amp;"me a proof of mutual in a few minutes because I needed a very quickly. I recommend this mutual!")</f>
        <v>My first mutual insurance company as a student, I took the Oji offer and frankly, nothing to say, I saw the comments and I was afraid but their customer service (although with a waiting time 5 minute) is great, attentive and polite. They knew how to send me a proof of mutual in a few minutes because I needed a very quickly. I recommend this mutual!</v>
      </c>
    </row>
    <row r="640" ht="15.75" customHeight="1">
      <c r="A640" s="2">
        <v>3.0</v>
      </c>
      <c r="B640" s="2" t="s">
        <v>1853</v>
      </c>
      <c r="C640" s="2" t="s">
        <v>1854</v>
      </c>
      <c r="D640" s="2" t="s">
        <v>352</v>
      </c>
      <c r="E640" s="2" t="s">
        <v>14</v>
      </c>
      <c r="F640" s="2" t="s">
        <v>15</v>
      </c>
      <c r="G640" s="2" t="s">
        <v>1589</v>
      </c>
      <c r="H640" s="2" t="s">
        <v>166</v>
      </c>
      <c r="I640" s="2" t="str">
        <f>IFERROR(__xludf.DUMMYFUNCTION("GOOGLETRANSLATE(C640,""fr"",""en"")"),"I do not have time to negotiate and above all I cannot go to an agency working from Monday to Friday like them and living at 45 km ... only defect ......")</f>
        <v>I do not have time to negotiate and above all I cannot go to an agency working from Monday to Friday like them and living at 45 km ... only defect ......</v>
      </c>
    </row>
    <row r="641" ht="15.75" customHeight="1">
      <c r="A641" s="2">
        <v>2.0</v>
      </c>
      <c r="B641" s="2" t="s">
        <v>1855</v>
      </c>
      <c r="C641" s="2" t="s">
        <v>1856</v>
      </c>
      <c r="D641" s="2" t="s">
        <v>156</v>
      </c>
      <c r="E641" s="2" t="s">
        <v>85</v>
      </c>
      <c r="F641" s="2" t="s">
        <v>15</v>
      </c>
      <c r="G641" s="2" t="s">
        <v>1857</v>
      </c>
      <c r="H641" s="2" t="s">
        <v>135</v>
      </c>
      <c r="I641" s="2" t="str">
        <f>IFERROR(__xludf.DUMMYFUNCTION("GOOGLETRANSLATE(C641,""fr"",""en"")"),"Insured at the maaf for 15 years no claim ... To date burglary without break -in the maaf of wanting nothing more uninformed sinister service ... I came across a most unpleasant person
File in complaint and no news we are really pigeons")</f>
        <v>Insured at the maaf for 15 years no claim ... To date burglary without break -in the maaf of wanting nothing more uninformed sinister service ... I came across a most unpleasant person
File in complaint and no news we are really pigeons</v>
      </c>
    </row>
    <row r="642" ht="15.75" customHeight="1">
      <c r="A642" s="2">
        <v>1.0</v>
      </c>
      <c r="B642" s="2" t="s">
        <v>1858</v>
      </c>
      <c r="C642" s="2" t="s">
        <v>1859</v>
      </c>
      <c r="D642" s="2" t="s">
        <v>13</v>
      </c>
      <c r="E642" s="2" t="s">
        <v>14</v>
      </c>
      <c r="F642" s="2" t="s">
        <v>15</v>
      </c>
      <c r="G642" s="2" t="s">
        <v>166</v>
      </c>
      <c r="H642" s="2" t="s">
        <v>166</v>
      </c>
      <c r="I642" s="2" t="str">
        <f>IFERROR(__xludf.DUMMYFUNCTION("GOOGLETRANSLATE(C642,""fr"",""en"")"),"Insurance with two francs I just suffered non -responsible damage and despite all this insurance wants me to pay a deductible when it is committed to settle everything. The file is not followed, they no longer answer on the phone nor to the email. I must "&amp;"unfortunately go in procedure with them ... therefore avoid!")</f>
        <v>Insurance with two francs I just suffered non -responsible damage and despite all this insurance wants me to pay a deductible when it is committed to settle everything. The file is not followed, they no longer answer on the phone nor to the email. I must unfortunately go in procedure with them ... therefore avoid!</v>
      </c>
    </row>
    <row r="643" ht="15.75" customHeight="1">
      <c r="A643" s="2">
        <v>4.0</v>
      </c>
      <c r="B643" s="2" t="s">
        <v>1860</v>
      </c>
      <c r="C643" s="2" t="s">
        <v>1861</v>
      </c>
      <c r="D643" s="2" t="s">
        <v>34</v>
      </c>
      <c r="E643" s="2" t="s">
        <v>35</v>
      </c>
      <c r="F643" s="2" t="s">
        <v>15</v>
      </c>
      <c r="G643" s="2" t="s">
        <v>1331</v>
      </c>
      <c r="H643" s="2" t="s">
        <v>72</v>
      </c>
      <c r="I643" s="2" t="str">
        <f>IFERROR(__xludf.DUMMYFUNCTION("GOOGLETRANSLATE(C643,""fr"",""en"")"),"Hello everyone, being temporarily about to change additional health, I find myself completely satisfied, as for telephone exchanges with this company, I thank them to clarify all my doubts about the general operating rules, Mariama, being in the Lot of my"&amp;" telephone contacts and, I wish a good continuation to all the speakers .....")</f>
        <v>Hello everyone, being temporarily about to change additional health, I find myself completely satisfied, as for telephone exchanges with this company, I thank them to clarify all my doubts about the general operating rules, Mariama, being in the Lot of my telephone contacts and, I wish a good continuation to all the speakers .....</v>
      </c>
    </row>
    <row r="644" ht="15.75" customHeight="1">
      <c r="A644" s="2">
        <v>5.0</v>
      </c>
      <c r="B644" s="2" t="s">
        <v>1862</v>
      </c>
      <c r="C644" s="2" t="s">
        <v>1863</v>
      </c>
      <c r="D644" s="2" t="s">
        <v>43</v>
      </c>
      <c r="E644" s="2" t="s">
        <v>14</v>
      </c>
      <c r="F644" s="2" t="s">
        <v>15</v>
      </c>
      <c r="G644" s="2" t="s">
        <v>1864</v>
      </c>
      <c r="H644" s="2" t="s">
        <v>87</v>
      </c>
      <c r="I644" s="2" t="str">
        <f>IFERROR(__xludf.DUMMYFUNCTION("GOOGLETRANSLATE(C644,""fr"",""en"")"),"Best Olivier Insurance
Nice advisor and listening to customers
Take -up after more than fast claim and I recommend olivine assurance to my friends and knowledge
Thank you my insurance sink")</f>
        <v>Best Olivier Insurance
Nice advisor and listening to customers
Take -up after more than fast claim and I recommend olivine assurance to my friends and knowledge
Thank you my insurance sink</v>
      </c>
    </row>
    <row r="645" ht="15.75" customHeight="1">
      <c r="A645" s="2">
        <v>5.0</v>
      </c>
      <c r="B645" s="2" t="s">
        <v>1865</v>
      </c>
      <c r="C645" s="2" t="s">
        <v>1866</v>
      </c>
      <c r="D645" s="2" t="s">
        <v>13</v>
      </c>
      <c r="E645" s="2" t="s">
        <v>14</v>
      </c>
      <c r="F645" s="2" t="s">
        <v>15</v>
      </c>
      <c r="G645" s="2" t="s">
        <v>1867</v>
      </c>
      <c r="H645" s="2" t="s">
        <v>272</v>
      </c>
      <c r="I645" s="2" t="str">
        <f>IFERROR(__xludf.DUMMYFUNCTION("GOOGLETRANSLATE(C645,""fr"",""en"")"),"I was already a customer at Direct Insurance and I go back again because the very advantageous price related to my current insurance.")</f>
        <v>I was already a customer at Direct Insurance and I go back again because the very advantageous price related to my current insurance.</v>
      </c>
    </row>
    <row r="646" ht="15.75" customHeight="1">
      <c r="A646" s="2">
        <v>1.0</v>
      </c>
      <c r="B646" s="2" t="s">
        <v>1868</v>
      </c>
      <c r="C646" s="2" t="s">
        <v>1869</v>
      </c>
      <c r="D646" s="2" t="s">
        <v>13</v>
      </c>
      <c r="E646" s="2" t="s">
        <v>14</v>
      </c>
      <c r="F646" s="2" t="s">
        <v>15</v>
      </c>
      <c r="G646" s="2" t="s">
        <v>1400</v>
      </c>
      <c r="H646" s="2" t="s">
        <v>52</v>
      </c>
      <c r="I646" s="2" t="str">
        <f>IFERROR(__xludf.DUMMYFUNCTION("GOOGLETRANSLATE(C646,""fr"",""en"")"),"I am not satisfied. Troping difficulty in being understood! Too much Couriel lost! I pay on March 19, 2021. 325 € and we are on March 25 and I did not receive a provisional green card so I can't go to work!")</f>
        <v>I am not satisfied. Troping difficulty in being understood! Too much Couriel lost! I pay on March 19, 2021. 325 € and we are on March 25 and I did not receive a provisional green card so I can't go to work!</v>
      </c>
    </row>
    <row r="647" ht="15.75" customHeight="1">
      <c r="A647" s="2">
        <v>2.0</v>
      </c>
      <c r="B647" s="2" t="s">
        <v>1870</v>
      </c>
      <c r="C647" s="2" t="s">
        <v>1871</v>
      </c>
      <c r="D647" s="2" t="s">
        <v>183</v>
      </c>
      <c r="E647" s="2" t="s">
        <v>14</v>
      </c>
      <c r="F647" s="2" t="s">
        <v>15</v>
      </c>
      <c r="G647" s="2" t="s">
        <v>1872</v>
      </c>
      <c r="H647" s="2" t="s">
        <v>123</v>
      </c>
      <c r="I647" s="2" t="str">
        <f>IFERROR(__xludf.DUMMYFUNCTION("GOOGLETRANSLATE(C647,""fr"",""en"")"),"Very good approach to validation of the quote and collection. After all, it is complicated. They do not validate my information statement. For 1 week Silence Radio despite my repeated shipments and my requests by email.
A hung up on the nose on their pla"&amp;"tform A 0.80Euro per minute and an unacceptable slowness to make communication last just to take my name and first name to find out my customer number not sent by their care. To be able to recover my provisional certificate
An amateur website with no fun"&amp;"ctionality")</f>
        <v>Very good approach to validation of the quote and collection. After all, it is complicated. They do not validate my information statement. For 1 week Silence Radio despite my repeated shipments and my requests by email.
A hung up on the nose on their platform A 0.80Euro per minute and an unacceptable slowness to make communication last just to take my name and first name to find out my customer number not sent by their care. To be able to recover my provisional certificate
An amateur website with no functionality</v>
      </c>
    </row>
    <row r="648" ht="15.75" customHeight="1">
      <c r="A648" s="2">
        <v>4.0</v>
      </c>
      <c r="B648" s="2" t="s">
        <v>1873</v>
      </c>
      <c r="C648" s="2" t="s">
        <v>1874</v>
      </c>
      <c r="D648" s="2" t="s">
        <v>129</v>
      </c>
      <c r="E648" s="2" t="s">
        <v>317</v>
      </c>
      <c r="F648" s="2" t="s">
        <v>15</v>
      </c>
      <c r="G648" s="2" t="s">
        <v>646</v>
      </c>
      <c r="H648" s="2" t="s">
        <v>52</v>
      </c>
      <c r="I648" s="2" t="str">
        <f>IFERROR(__xludf.DUMMYFUNCTION("GOOGLETRANSLATE(C648,""fr"",""en"")"),"Overall, I am satisfied with the coverage and prices charged by this Mutual Provident organization.
listening customer service and quickly reachable")</f>
        <v>Overall, I am satisfied with the coverage and prices charged by this Mutual Provident organization.
listening customer service and quickly reachable</v>
      </c>
    </row>
    <row r="649" ht="15.75" customHeight="1">
      <c r="A649" s="2">
        <v>1.0</v>
      </c>
      <c r="B649" s="2" t="s">
        <v>1875</v>
      </c>
      <c r="C649" s="2" t="s">
        <v>1876</v>
      </c>
      <c r="D649" s="2" t="s">
        <v>63</v>
      </c>
      <c r="E649" s="2" t="s">
        <v>25</v>
      </c>
      <c r="F649" s="2" t="s">
        <v>15</v>
      </c>
      <c r="G649" s="2" t="s">
        <v>1877</v>
      </c>
      <c r="H649" s="2" t="s">
        <v>123</v>
      </c>
      <c r="I649" s="2" t="str">
        <f>IFERROR(__xludf.DUMMYFUNCTION("GOOGLETRANSLATE(C649,""fr"",""en"")"),"Life insurance to flee!")</f>
        <v>Life insurance to flee!</v>
      </c>
    </row>
    <row r="650" ht="15.75" customHeight="1">
      <c r="A650" s="2">
        <v>1.0</v>
      </c>
      <c r="B650" s="2" t="s">
        <v>1878</v>
      </c>
      <c r="C650" s="2" t="s">
        <v>1879</v>
      </c>
      <c r="D650" s="2" t="s">
        <v>106</v>
      </c>
      <c r="E650" s="2" t="s">
        <v>85</v>
      </c>
      <c r="F650" s="2" t="s">
        <v>15</v>
      </c>
      <c r="G650" s="2" t="s">
        <v>1880</v>
      </c>
      <c r="H650" s="2" t="s">
        <v>283</v>
      </c>
      <c r="I650" s="2" t="str">
        <f>IFERROR(__xludf.DUMMYFUNCTION("GOOGLETRANSLATE(C650,""fr"",""en"")"),"Victim of water damage in June 2017, my claim was managed catastrophically by their expert. We are still today, 5 months after our disaster, in a calamitous situation, the latest event, they mandated a business to pose prosecutor's office that knew nothin"&amp;"g about it. Result 1o days of work for nothing. Above all, do not take any contract with them (home or car), I strongly advise against this insurance")</f>
        <v>Victim of water damage in June 2017, my claim was managed catastrophically by their expert. We are still today, 5 months after our disaster, in a calamitous situation, the latest event, they mandated a business to pose prosecutor's office that knew nothing about it. Result 1o days of work for nothing. Above all, do not take any contract with them (home or car), I strongly advise against this insurance</v>
      </c>
    </row>
    <row r="651" ht="15.75" customHeight="1">
      <c r="A651" s="2">
        <v>5.0</v>
      </c>
      <c r="B651" s="2" t="s">
        <v>1881</v>
      </c>
      <c r="C651" s="2" t="s">
        <v>1882</v>
      </c>
      <c r="D651" s="2" t="s">
        <v>111</v>
      </c>
      <c r="E651" s="2" t="s">
        <v>35</v>
      </c>
      <c r="F651" s="2" t="s">
        <v>15</v>
      </c>
      <c r="G651" s="2" t="s">
        <v>293</v>
      </c>
      <c r="H651" s="2" t="s">
        <v>293</v>
      </c>
      <c r="I651" s="2" t="str">
        <f>IFERROR(__xludf.DUMMYFUNCTION("GOOGLETRANSLATE(C651,""fr"",""en"")"),"Simple quick and efficient thank you. The prices and management suit me perfectly, I would certainly recommend my loved ones and why not add my spouse as beneficiary afterwards.")</f>
        <v>Simple quick and efficient thank you. The prices and management suit me perfectly, I would certainly recommend my loved ones and why not add my spouse as beneficiary afterwards.</v>
      </c>
    </row>
    <row r="652" ht="15.75" customHeight="1">
      <c r="A652" s="2">
        <v>1.0</v>
      </c>
      <c r="B652" s="2" t="s">
        <v>1883</v>
      </c>
      <c r="C652" s="2" t="s">
        <v>1884</v>
      </c>
      <c r="D652" s="2" t="s">
        <v>278</v>
      </c>
      <c r="E652" s="2" t="s">
        <v>14</v>
      </c>
      <c r="F652" s="2" t="s">
        <v>15</v>
      </c>
      <c r="G652" s="2" t="s">
        <v>521</v>
      </c>
      <c r="H652" s="2" t="s">
        <v>319</v>
      </c>
      <c r="I652" s="2" t="str">
        <f>IFERROR(__xludf.DUMMYFUNCTION("GOOGLETRANSLATE(C652,""fr"",""en"")"),"Matmut customer for 9 years with 3 auto contracts and 1 housing contract, bonus coefficient of 0.37 no responsible accident or ice breaks. The Matmut refuses to make me benefit from its new auto contracts at the price of 300 euros per year for one of my v"&amp;"ehicles compared to my current contract with the same guarantees. Without any explanation, the seat refuses, the agency unfortunately can do nothing and can only regret this situation.
I will therefore go see the competition whose prices are often lower "&amp;"and remove all my contracts. I am extremely disappointed with the Matmut.")</f>
        <v>Matmut customer for 9 years with 3 auto contracts and 1 housing contract, bonus coefficient of 0.37 no responsible accident or ice breaks. The Matmut refuses to make me benefit from its new auto contracts at the price of 300 euros per year for one of my vehicles compared to my current contract with the same guarantees. Without any explanation, the seat refuses, the agency unfortunately can do nothing and can only regret this situation.
I will therefore go see the competition whose prices are often lower and remove all my contracts. I am extremely disappointed with the Matmut.</v>
      </c>
    </row>
    <row r="653" ht="15.75" customHeight="1">
      <c r="A653" s="2">
        <v>1.0</v>
      </c>
      <c r="B653" s="2" t="s">
        <v>1885</v>
      </c>
      <c r="C653" s="2" t="s">
        <v>1886</v>
      </c>
      <c r="D653" s="2" t="s">
        <v>308</v>
      </c>
      <c r="E653" s="2" t="s">
        <v>25</v>
      </c>
      <c r="F653" s="2" t="s">
        <v>15</v>
      </c>
      <c r="G653" s="2" t="s">
        <v>209</v>
      </c>
      <c r="H653" s="2" t="s">
        <v>209</v>
      </c>
      <c r="I653" s="2" t="str">
        <f>IFERROR(__xludf.DUMMYFUNCTION("GOOGLETRANSLATE(C653,""fr"",""en"")"),"My mother had taken out life insurance. On his death it is the cross and the banner to recover the money. My 50% beneficiary sister with me perceived the sum on April 12 and I just an SMS they forgot to validate the payment concerning me. Almost a month l"&amp;"ater and despite multiple emails and letters in AR still nothing. In addition, the amount returned is approximately 11% of the capital paid by our mother and there is therefore no interest. The complaint service suggested the following explanation: it was"&amp;" to be a contract at a loss")</f>
        <v>My mother had taken out life insurance. On his death it is the cross and the banner to recover the money. My 50% beneficiary sister with me perceived the sum on April 12 and I just an SMS they forgot to validate the payment concerning me. Almost a month later and despite multiple emails and letters in AR still nothing. In addition, the amount returned is approximately 11% of the capital paid by our mother and there is therefore no interest. The complaint service suggested the following explanation: it was to be a contract at a loss</v>
      </c>
    </row>
    <row r="654" ht="15.75" customHeight="1">
      <c r="A654" s="2">
        <v>2.0</v>
      </c>
      <c r="B654" s="2" t="s">
        <v>1887</v>
      </c>
      <c r="C654" s="2" t="s">
        <v>1888</v>
      </c>
      <c r="D654" s="2" t="s">
        <v>13</v>
      </c>
      <c r="E654" s="2" t="s">
        <v>14</v>
      </c>
      <c r="F654" s="2" t="s">
        <v>15</v>
      </c>
      <c r="G654" s="2" t="s">
        <v>1889</v>
      </c>
      <c r="H654" s="2" t="s">
        <v>268</v>
      </c>
      <c r="I654" s="2" t="str">
        <f>IFERROR(__xludf.DUMMYFUNCTION("GOOGLETRANSLATE(C654,""fr"",""en"")"),"Defend very badly his insured people even if you are not wrong but above all everything is done by oral and the pseudo lawyers tell you one day to the next day.
For having had a disaster and for which I did not want to repair my car I had the right to a "&amp;"repair order and a care that I never signed!")</f>
        <v>Defend very badly his insured people even if you are not wrong but above all everything is done by oral and the pseudo lawyers tell you one day to the next day.
For having had a disaster and for which I did not want to repair my car I had the right to a repair order and a care that I never signed!</v>
      </c>
    </row>
    <row r="655" ht="15.75" customHeight="1">
      <c r="A655" s="2">
        <v>5.0</v>
      </c>
      <c r="B655" s="2" t="s">
        <v>1890</v>
      </c>
      <c r="C655" s="2" t="s">
        <v>1891</v>
      </c>
      <c r="D655" s="2" t="s">
        <v>13</v>
      </c>
      <c r="E655" s="2" t="s">
        <v>14</v>
      </c>
      <c r="F655" s="2" t="s">
        <v>15</v>
      </c>
      <c r="G655" s="2" t="s">
        <v>1892</v>
      </c>
      <c r="H655" s="2" t="s">
        <v>72</v>
      </c>
      <c r="I655" s="2" t="str">
        <f>IFERROR(__xludf.DUMMYFUNCTION("GOOGLETRANSLATE(C655,""fr"",""en"")"),"very satisfied with the price with the advantages
In all risk formula, the price is really more attractive than my old car insurance! I strongly advise direct insurance to other motorists!")</f>
        <v>very satisfied with the price with the advantages
In all risk formula, the price is really more attractive than my old car insurance! I strongly advise direct insurance to other motorists!</v>
      </c>
    </row>
    <row r="656" ht="15.75" customHeight="1">
      <c r="A656" s="2">
        <v>4.0</v>
      </c>
      <c r="B656" s="2" t="s">
        <v>1893</v>
      </c>
      <c r="C656" s="2" t="s">
        <v>1894</v>
      </c>
      <c r="D656" s="2" t="s">
        <v>97</v>
      </c>
      <c r="E656" s="2" t="s">
        <v>56</v>
      </c>
      <c r="F656" s="2" t="s">
        <v>15</v>
      </c>
      <c r="G656" s="2" t="s">
        <v>1895</v>
      </c>
      <c r="H656" s="2" t="s">
        <v>236</v>
      </c>
      <c r="I656" s="2" t="str">
        <f>IFERROR(__xludf.DUMMYFUNCTION("GOOGLETRANSLATE(C656,""fr"",""en"")"),"AMV is a very good assurance a bit more expensive than others but it is a real insurer. They are there when it takes. I roll in ZZR 1400, I drive on average 15000km/year; I pay around 900 € all risks. I had a responsible accident and I have my bonus 50.ca"&amp;" is 25 years old that I am at home, I find them pros!")</f>
        <v>AMV is a very good assurance a bit more expensive than others but it is a real insurer. They are there when it takes. I roll in ZZR 1400, I drive on average 15000km/year; I pay around 900 € all risks. I had a responsible accident and I have my bonus 50.ca is 25 years old that I am at home, I find them pros!</v>
      </c>
    </row>
    <row r="657" ht="15.75" customHeight="1">
      <c r="A657" s="2">
        <v>4.0</v>
      </c>
      <c r="B657" s="2" t="s">
        <v>1896</v>
      </c>
      <c r="C657" s="2" t="s">
        <v>1897</v>
      </c>
      <c r="D657" s="2" t="s">
        <v>34</v>
      </c>
      <c r="E657" s="2" t="s">
        <v>35</v>
      </c>
      <c r="F657" s="2" t="s">
        <v>15</v>
      </c>
      <c r="G657" s="2" t="s">
        <v>1898</v>
      </c>
      <c r="H657" s="2" t="s">
        <v>268</v>
      </c>
      <c r="I657" s="2" t="str">
        <f>IFERROR(__xludf.DUMMYFUNCTION("GOOGLETRANSLATE(C657,""fr"",""en"")"),"Very well received by your very smiling Ikram advisor.")</f>
        <v>Very well received by your very smiling Ikram advisor.</v>
      </c>
    </row>
    <row r="658" ht="15.75" customHeight="1">
      <c r="A658" s="2">
        <v>1.0</v>
      </c>
      <c r="B658" s="2" t="s">
        <v>1899</v>
      </c>
      <c r="C658" s="2" t="s">
        <v>1900</v>
      </c>
      <c r="D658" s="2" t="s">
        <v>13</v>
      </c>
      <c r="E658" s="2" t="s">
        <v>14</v>
      </c>
      <c r="F658" s="2" t="s">
        <v>15</v>
      </c>
      <c r="G658" s="2" t="s">
        <v>1901</v>
      </c>
      <c r="H658" s="2" t="s">
        <v>776</v>
      </c>
      <c r="I658" s="2" t="str">
        <f>IFERROR(__xludf.DUMMYFUNCTION("GOOGLETRANSLATE(C658,""fr"",""en"")"),"I went to Direct Insurance but gradually the price increased by around 7% each year. This insurer offers an enticing first price and then the rate increases. After 3 years I pay much more expensive than my old insurer! A priori this behavior is very advan"&amp;"ced by Direct Insurance. We a lot in this case at Direct Insurance.")</f>
        <v>I went to Direct Insurance but gradually the price increased by around 7% each year. This insurer offers an enticing first price and then the rate increases. After 3 years I pay much more expensive than my old insurer! A priori this behavior is very advanced by Direct Insurance. We a lot in this case at Direct Insurance.</v>
      </c>
    </row>
    <row r="659" ht="15.75" customHeight="1">
      <c r="A659" s="2">
        <v>5.0</v>
      </c>
      <c r="B659" s="2" t="s">
        <v>1902</v>
      </c>
      <c r="C659" s="2" t="s">
        <v>1903</v>
      </c>
      <c r="D659" s="2" t="s">
        <v>13</v>
      </c>
      <c r="E659" s="2" t="s">
        <v>14</v>
      </c>
      <c r="F659" s="2" t="s">
        <v>15</v>
      </c>
      <c r="G659" s="2" t="s">
        <v>293</v>
      </c>
      <c r="H659" s="2" t="s">
        <v>293</v>
      </c>
      <c r="I659" s="2" t="str">
        <f>IFERROR(__xludf.DUMMYFUNCTION("GOOGLETRANSLATE(C659,""fr"",""en"")"),"Attractive price and easy subscription
New customer to see over time but it seems to be a good insurance company.
I was also convinced by the notoriety of Direct Insurance")</f>
        <v>Attractive price and easy subscription
New customer to see over time but it seems to be a good insurance company.
I was also convinced by the notoriety of Direct Insurance</v>
      </c>
    </row>
    <row r="660" ht="15.75" customHeight="1">
      <c r="A660" s="2">
        <v>3.0</v>
      </c>
      <c r="B660" s="2" t="s">
        <v>1904</v>
      </c>
      <c r="C660" s="2" t="s">
        <v>1905</v>
      </c>
      <c r="D660" s="2" t="s">
        <v>43</v>
      </c>
      <c r="E660" s="2" t="s">
        <v>14</v>
      </c>
      <c r="F660" s="2" t="s">
        <v>15</v>
      </c>
      <c r="G660" s="2" t="s">
        <v>1906</v>
      </c>
      <c r="H660" s="2" t="s">
        <v>52</v>
      </c>
      <c r="I660" s="2" t="str">
        <f>IFERROR(__xludf.DUMMYFUNCTION("GOOGLETRANSLATE(C660,""fr"",""en"")"),"I am satisfied with your services but I find that it is still complicated to access the files
Pending my card.
Respect being satisfied in the event of a claim also
")</f>
        <v>I am satisfied with your services but I find that it is still complicated to access the files
Pending my card.
Respect being satisfied in the event of a claim also
</v>
      </c>
    </row>
    <row r="661" ht="15.75" customHeight="1">
      <c r="A661" s="2">
        <v>4.0</v>
      </c>
      <c r="B661" s="2" t="s">
        <v>1907</v>
      </c>
      <c r="C661" s="2" t="s">
        <v>1908</v>
      </c>
      <c r="D661" s="2" t="s">
        <v>43</v>
      </c>
      <c r="E661" s="2" t="s">
        <v>14</v>
      </c>
      <c r="F661" s="2" t="s">
        <v>15</v>
      </c>
      <c r="G661" s="2" t="s">
        <v>165</v>
      </c>
      <c r="H661" s="2" t="s">
        <v>166</v>
      </c>
      <c r="I661" s="2" t="str">
        <f>IFERROR(__xludf.DUMMYFUNCTION("GOOGLETRANSLATE(C661,""fr"",""en"")"),"I am satisfied with the service. Simplicity and good listening
I am satisfied with the service. Simplicity and good listening
I am satisfied with the service. Simplicity and good listening")</f>
        <v>I am satisfied with the service. Simplicity and good listening
I am satisfied with the service. Simplicity and good listening
I am satisfied with the service. Simplicity and good listening</v>
      </c>
    </row>
    <row r="662" ht="15.75" customHeight="1">
      <c r="A662" s="2">
        <v>1.0</v>
      </c>
      <c r="B662" s="2" t="s">
        <v>1909</v>
      </c>
      <c r="C662" s="2" t="s">
        <v>1910</v>
      </c>
      <c r="D662" s="2" t="s">
        <v>352</v>
      </c>
      <c r="E662" s="2" t="s">
        <v>14</v>
      </c>
      <c r="F662" s="2" t="s">
        <v>15</v>
      </c>
      <c r="G662" s="2" t="s">
        <v>1911</v>
      </c>
      <c r="H662" s="2" t="s">
        <v>1912</v>
      </c>
      <c r="I662" s="2" t="str">
        <f>IFERROR(__xludf.DUMMYFUNCTION("GOOGLETRANSLATE(C662,""fr"",""en"")"),"I am terminated in 3 months following 3 broken ice and a non -responsible accident in 3 years and after having held services at home over 20 years. I have my 12 permit points, 50% bonus for a very long time and I am fired as a malpropre for non -responsib"&amp;"le incidents over 3 years. Scandalous")</f>
        <v>I am terminated in 3 months following 3 broken ice and a non -responsible accident in 3 years and after having held services at home over 20 years. I have my 12 permit points, 50% bonus for a very long time and I am fired as a malpropre for non -responsible incidents over 3 years. Scandalous</v>
      </c>
    </row>
    <row r="663" ht="15.75" customHeight="1">
      <c r="A663" s="2">
        <v>5.0</v>
      </c>
      <c r="B663" s="2" t="s">
        <v>1913</v>
      </c>
      <c r="C663" s="2" t="s">
        <v>1914</v>
      </c>
      <c r="D663" s="2" t="s">
        <v>43</v>
      </c>
      <c r="E663" s="2" t="s">
        <v>14</v>
      </c>
      <c r="F663" s="2" t="s">
        <v>15</v>
      </c>
      <c r="G663" s="2" t="s">
        <v>1915</v>
      </c>
      <c r="H663" s="2" t="s">
        <v>422</v>
      </c>
      <c r="I663" s="2" t="str">
        <f>IFERROR(__xludf.DUMMYFUNCTION("GOOGLETRANSLATE(C663,""fr"",""en"")"),"Very attractive insurance rate, suitable guarantees. Having used customer service several times (especially for questions and other little joyfuls), I found my interlocutor very available, clear and pleasant each time (really)! A real plus for me. In shor"&amp;"t, good little insurance.")</f>
        <v>Very attractive insurance rate, suitable guarantees. Having used customer service several times (especially for questions and other little joyfuls), I found my interlocutor very available, clear and pleasant each time (really)! A real plus for me. In short, good little insurance.</v>
      </c>
    </row>
    <row r="664" ht="15.75" customHeight="1">
      <c r="A664" s="2">
        <v>5.0</v>
      </c>
      <c r="B664" s="2" t="s">
        <v>1916</v>
      </c>
      <c r="C664" s="2" t="s">
        <v>1917</v>
      </c>
      <c r="D664" s="2" t="s">
        <v>97</v>
      </c>
      <c r="E664" s="2" t="s">
        <v>56</v>
      </c>
      <c r="F664" s="2" t="s">
        <v>15</v>
      </c>
      <c r="G664" s="2" t="s">
        <v>1918</v>
      </c>
      <c r="H664" s="2" t="s">
        <v>283</v>
      </c>
      <c r="I664" s="2" t="str">
        <f>IFERROR(__xludf.DUMMYFUNCTION("GOOGLETRANSLATE(C664,""fr"",""en"")"),"Motorcycle insurance that knows the specifics of bikers well.")</f>
        <v>Motorcycle insurance that knows the specifics of bikers well.</v>
      </c>
    </row>
    <row r="665" ht="15.75" customHeight="1">
      <c r="A665" s="2">
        <v>2.0</v>
      </c>
      <c r="B665" s="2" t="s">
        <v>1919</v>
      </c>
      <c r="C665" s="2" t="s">
        <v>1920</v>
      </c>
      <c r="D665" s="2" t="s">
        <v>34</v>
      </c>
      <c r="E665" s="2" t="s">
        <v>35</v>
      </c>
      <c r="F665" s="2" t="s">
        <v>15</v>
      </c>
      <c r="G665" s="2" t="s">
        <v>1921</v>
      </c>
      <c r="H665" s="2" t="s">
        <v>94</v>
      </c>
      <c r="I665" s="2" t="str">
        <f>IFERROR(__xludf.DUMMYFUNCTION("GOOGLETRANSLATE(C665,""fr"",""en"")"),"A company to flee
I want to terminate all my family being unhappy with your impossible service to the Social REFILIATION in the end that commercial canvassing I was never reimbursed more than one can do that I can withdraw with my mandatory mutual my fam"&amp;"ily while they his also to my compulsory mutual")</f>
        <v>A company to flee
I want to terminate all my family being unhappy with your impossible service to the Social REFILIATION in the end that commercial canvassing I was never reimbursed more than one can do that I can withdraw with my mandatory mutual my family while they his also to my compulsory mutual</v>
      </c>
    </row>
    <row r="666" ht="15.75" customHeight="1">
      <c r="A666" s="2">
        <v>2.0</v>
      </c>
      <c r="B666" s="2" t="s">
        <v>1922</v>
      </c>
      <c r="C666" s="2" t="s">
        <v>1923</v>
      </c>
      <c r="D666" s="2" t="s">
        <v>13</v>
      </c>
      <c r="E666" s="2" t="s">
        <v>14</v>
      </c>
      <c r="F666" s="2" t="s">
        <v>15</v>
      </c>
      <c r="G666" s="2" t="s">
        <v>1857</v>
      </c>
      <c r="H666" s="2" t="s">
        <v>135</v>
      </c>
      <c r="I666" s="2" t="str">
        <f>IFERROR(__xludf.DUMMYFUNCTION("GOOGLETRANSLATE(C666,""fr"",""en"")"),"Following a windshield since July 17, 2018 have made an accident declaration with another motorist because he had projected me a pebble on my windshield since no repair of direct insurance since
I have priced them before hoping to be reimbursed May to da"&amp;"te they do not want to reimburse me the full amount paying")</f>
        <v>Following a windshield since July 17, 2018 have made an accident declaration with another motorist because he had projected me a pebble on my windshield since no repair of direct insurance since
I have priced them before hoping to be reimbursed May to date they do not want to reimburse me the full amount paying</v>
      </c>
    </row>
    <row r="667" ht="15.75" customHeight="1">
      <c r="A667" s="2">
        <v>1.0</v>
      </c>
      <c r="B667" s="2" t="s">
        <v>1924</v>
      </c>
      <c r="C667" s="2" t="s">
        <v>1925</v>
      </c>
      <c r="D667" s="2" t="s">
        <v>308</v>
      </c>
      <c r="E667" s="2" t="s">
        <v>14</v>
      </c>
      <c r="F667" s="2" t="s">
        <v>15</v>
      </c>
      <c r="G667" s="2" t="s">
        <v>1336</v>
      </c>
      <c r="H667" s="2" t="s">
        <v>68</v>
      </c>
      <c r="I667" s="2" t="str">
        <f>IFERROR(__xludf.DUMMYFUNCTION("GOOGLETRANSLATE(C667,""fr"",""en"")"),"I have been waiting for a response to a car accident for 18 months and over 2 months on my stolen vehicle and 3 amicable findings made the same time at the same place which for this company would correspond to 3 different accidents of or increase in premi"&amp;"ums or termination Cie to avoid J Corbault")</f>
        <v>I have been waiting for a response to a car accident for 18 months and over 2 months on my stolen vehicle and 3 amicable findings made the same time at the same place which for this company would correspond to 3 different accidents of or increase in premiums or termination Cie to avoid J Corbault</v>
      </c>
    </row>
    <row r="668" ht="15.75" customHeight="1">
      <c r="A668" s="2">
        <v>5.0</v>
      </c>
      <c r="B668" s="2" t="s">
        <v>1926</v>
      </c>
      <c r="C668" s="2" t="s">
        <v>1927</v>
      </c>
      <c r="D668" s="2" t="s">
        <v>55</v>
      </c>
      <c r="E668" s="2" t="s">
        <v>56</v>
      </c>
      <c r="F668" s="2" t="s">
        <v>15</v>
      </c>
      <c r="G668" s="2" t="s">
        <v>1928</v>
      </c>
      <c r="H668" s="2" t="s">
        <v>72</v>
      </c>
      <c r="I668" s="2" t="str">
        <f>IFERROR(__xludf.DUMMYFUNCTION("GOOGLETRANSLATE(C668,""fr"",""en"")"),"Satisfied with the service, fast and inexpensive. Very good quality and price
Quick to complete, answers to immediate and clear questions.
Very very satisfied")</f>
        <v>Satisfied with the service, fast and inexpensive. Very good quality and price
Quick to complete, answers to immediate and clear questions.
Very very satisfied</v>
      </c>
    </row>
    <row r="669" ht="15.75" customHeight="1">
      <c r="A669" s="2">
        <v>1.0</v>
      </c>
      <c r="B669" s="2" t="s">
        <v>1929</v>
      </c>
      <c r="C669" s="2" t="s">
        <v>1930</v>
      </c>
      <c r="D669" s="2" t="s">
        <v>183</v>
      </c>
      <c r="E669" s="2" t="s">
        <v>14</v>
      </c>
      <c r="F669" s="2" t="s">
        <v>15</v>
      </c>
      <c r="G669" s="2" t="s">
        <v>1931</v>
      </c>
      <c r="H669" s="2" t="s">
        <v>442</v>
      </c>
      <c r="I669" s="2" t="str">
        <f>IFERROR(__xludf.DUMMYFUNCTION("GOOGLETRANSLATE(C669,""fr"",""en"")"),"So how can you tell you that it is the insurance the draw I have seen in my life, zero customer service, followed no, almost a year that I run behind to be compensated, I do not tell you the number of calls That I have expressed, always they are looking f"&amp;"or the little beast not to compensate you, and you can always run so that they give you news.
Frankly if I had to note this insurance I will put any star. Very very disappointed !!!")</f>
        <v>So how can you tell you that it is the insurance the draw I have seen in my life, zero customer service, followed no, almost a year that I run behind to be compensated, I do not tell you the number of calls That I have expressed, always they are looking for the little beast not to compensate you, and you can always run so that they give you news.
Frankly if I had to note this insurance I will put any star. Very very disappointed !!!</v>
      </c>
    </row>
    <row r="670" ht="15.75" customHeight="1">
      <c r="A670" s="2">
        <v>5.0</v>
      </c>
      <c r="B670" s="2" t="s">
        <v>1932</v>
      </c>
      <c r="C670" s="2" t="s">
        <v>1933</v>
      </c>
      <c r="D670" s="2" t="s">
        <v>97</v>
      </c>
      <c r="E670" s="2" t="s">
        <v>56</v>
      </c>
      <c r="F670" s="2" t="s">
        <v>15</v>
      </c>
      <c r="G670" s="2" t="s">
        <v>1934</v>
      </c>
      <c r="H670" s="2" t="s">
        <v>236</v>
      </c>
      <c r="I670" s="2" t="str">
        <f>IFERROR(__xludf.DUMMYFUNCTION("GOOGLETRANSLATE(C670,""fr"",""en"")"),"Soon 4 years at AMV no problem of problem. Satisfactory value for money even if I have never needed to call on them! I recommend")</f>
        <v>Soon 4 years at AMV no problem of problem. Satisfactory value for money even if I have never needed to call on them! I recommend</v>
      </c>
    </row>
    <row r="671" ht="15.75" customHeight="1">
      <c r="A671" s="2">
        <v>4.0</v>
      </c>
      <c r="B671" s="2" t="s">
        <v>1935</v>
      </c>
      <c r="C671" s="2" t="s">
        <v>1936</v>
      </c>
      <c r="D671" s="2" t="s">
        <v>43</v>
      </c>
      <c r="E671" s="2" t="s">
        <v>14</v>
      </c>
      <c r="F671" s="2" t="s">
        <v>15</v>
      </c>
      <c r="G671" s="2" t="s">
        <v>1400</v>
      </c>
      <c r="H671" s="2" t="s">
        <v>52</v>
      </c>
      <c r="I671" s="2" t="str">
        <f>IFERROR(__xludf.DUMMYFUNCTION("GOOGLETRANSLATE(C671,""fr"",""en"")"),"I am satisfied with the service, thank you very much to the Lille advisor who advised me very well. I could not give him the note after the end of the call! A 10/10")</f>
        <v>I am satisfied with the service, thank you very much to the Lille advisor who advised me very well. I could not give him the note after the end of the call! A 10/10</v>
      </c>
    </row>
    <row r="672" ht="15.75" customHeight="1">
      <c r="A672" s="2">
        <v>1.0</v>
      </c>
      <c r="B672" s="2" t="s">
        <v>1937</v>
      </c>
      <c r="C672" s="2" t="s">
        <v>1938</v>
      </c>
      <c r="D672" s="2" t="s">
        <v>24</v>
      </c>
      <c r="E672" s="2" t="s">
        <v>112</v>
      </c>
      <c r="F672" s="2" t="s">
        <v>15</v>
      </c>
      <c r="G672" s="2" t="s">
        <v>263</v>
      </c>
      <c r="H672" s="2" t="s">
        <v>264</v>
      </c>
      <c r="I672" s="2" t="str">
        <f>IFERROR(__xludf.DUMMYFUNCTION("GOOGLETRANSLATE(C672,""fr"",""en"")"),"Why so much fierce against me!
2 years ago, Cardif ceased to repay the 425 euros per month, because in the eyes of a medical expert, I was not sick enough! I only have 7 pathologies
_: Hypersomnia (we sleep all the time, everywhere)
_ Category 4 out of"&amp;" 5 melanoma cancer. Recurrence 90%
_ More immunity (sick every 15 days from September to May, antibiotic and cortisone
_ Left ear hearing loss
_ Loss of significant visual field. Linked to cancer treatment.
_ Deep depression (stay in psychiatry becaus"&amp;"e I can no longer support the health problems that aggravate
_ Horrible pain in all joints and back, despite Lamaline, Ketoprofene LP 100,
_ Lymphedeme (like 80 years old!
Bras all swells, very sensitive to everything!
_ A big hole in the arm (because"&amp;" you can't make a cosmetic surgery, following my skin graft.
Because of my lymphedem.
So it looks like a dog M with a bit of 15 cm by 13 cm!
And in addition, I took 2 sizes of clothes, because when you are in pain, you are stuffed with drugs and we do "&amp;"not do sport, because we are too tired by pain!
But I try to stay smiling!
But if Cardif dares to tell me every two years, that I am only invalidity of 2 nd category (knowing that the medical expert of the Secu only gives you that at the request of nati"&amp;"onal renowned medical teachers and has the exam of my Medical file ranks in elves by year and by pathology since 2012.
A HUGE SUPPLY OF MEDICAL DOSSIERS.
In May, I am asked to go back to a medical expert. While I just go out of a 2nd stay in the year,"&amp;" psychiatry, because I can no longer bear to be sick and the desire to end up suffering!
I was entitled to 5 hours of expertise by a doctor in 2 times!
With all my drug files!
I am high, because when I left psychiatry, we rather want to change the idea"&amp;"s, because to review all the health problems for 2 hours and a half day.
And 15 days later, re 2 hours and a half !!
And this summer, darling! It exhausted me too!
And the ponpon still yesterday, where I read that they close my compensation file becaus"&amp;"e I do not provide an arret in sickness (normal I send the disability payment statements !!!,
And that I don't have enough disability, just 2/3 of a normal person!
I can no longer work, dixit the SECU expert, because more immunity, too large vision prob"&amp;"lem, and problem with my heh, I can't stand too much noise, because the right ear hears too much!
And I end up everywhere !!
So I have to be completely disabled, extended on a bed and no longer move!
Rest assured, given the speed of my body which deg"&amp;"rades itself very quickly, I will get there !!
But I would like to know if you harass all the patients you are compensating!
Are they all with important files like me ??
When I arrive seeing the medical specialists, my suitcase scares them with its vol"&amp;"ume and after by my different pathologies !!!
SO WHAT ???
I don't cry in front of them?
Sorry I cry when I am alone !!!
People do not have to undergo my fears and my continuous sufferings !!!
")</f>
        <v>Why so much fierce against me!
2 years ago, Cardif ceased to repay the 425 euros per month, because in the eyes of a medical expert, I was not sick enough! I only have 7 pathologies
_: Hypersomnia (we sleep all the time, everywhere)
_ Category 4 out of 5 melanoma cancer. Recurrence 90%
_ More immunity (sick every 15 days from September to May, antibiotic and cortisone
_ Left ear hearing loss
_ Loss of significant visual field. Linked to cancer treatment.
_ Deep depression (stay in psychiatry because I can no longer support the health problems that aggravate
_ Horrible pain in all joints and back, despite Lamaline, Ketoprofene LP 100,
_ Lymphedeme (like 80 years old!
Bras all swells, very sensitive to everything!
_ A big hole in the arm (because you can't make a cosmetic surgery, following my skin graft.
Because of my lymphedem.
So it looks like a dog M with a bit of 15 cm by 13 cm!
And in addition, I took 2 sizes of clothes, because when you are in pain, you are stuffed with drugs and we do not do sport, because we are too tired by pain!
But I try to stay smiling!
But if Cardif dares to tell me every two years, that I am only invalidity of 2 nd category (knowing that the medical expert of the Secu only gives you that at the request of national renowned medical teachers and has the exam of my Medical file ranks in elves by year and by pathology since 2012.
A HUGE SUPPLY OF MEDICAL DOSSIERS.
In May, I am asked to go back to a medical expert. While I just go out of a 2nd stay in the year, psychiatry, because I can no longer bear to be sick and the desire to end up suffering!
I was entitled to 5 hours of expertise by a doctor in 2 times!
With all my drug files!
I am high, because when I left psychiatry, we rather want to change the ideas, because to review all the health problems for 2 hours and a half day.
And 15 days later, re 2 hours and a half !!
And this summer, darling! It exhausted me too!
And the ponpon still yesterday, where I read that they close my compensation file because I do not provide an arret in sickness (normal I send the disability payment statements !!!,
And that I don't have enough disability, just 2/3 of a normal person!
I can no longer work, dixit the SECU expert, because more immunity, too large vision problem, and problem with my heh, I can't stand too much noise, because the right ear hears too much!
And I end up everywhere !!
So I have to be completely disabled, extended on a bed and no longer move!
Rest assured, given the speed of my body which degrades itself very quickly, I will get there !!
But I would like to know if you harass all the patients you are compensating!
Are they all with important files like me ??
When I arrive seeing the medical specialists, my suitcase scares them with its volume and after by my different pathologies !!!
SO WHAT ???
I don't cry in front of them?
Sorry I cry when I am alone !!!
People do not have to undergo my fears and my continuous sufferings !!!
</v>
      </c>
    </row>
    <row r="673" ht="15.75" customHeight="1">
      <c r="A673" s="2">
        <v>1.0</v>
      </c>
      <c r="B673" s="2" t="s">
        <v>1939</v>
      </c>
      <c r="C673" s="2" t="s">
        <v>1940</v>
      </c>
      <c r="D673" s="2" t="s">
        <v>80</v>
      </c>
      <c r="E673" s="2" t="s">
        <v>85</v>
      </c>
      <c r="F673" s="2" t="s">
        <v>15</v>
      </c>
      <c r="G673" s="2" t="s">
        <v>150</v>
      </c>
      <c r="H673" s="2" t="s">
        <v>150</v>
      </c>
      <c r="I673" s="2" t="str">
        <f>IFERROR(__xludf.DUMMYFUNCTION("GOOGLETRANSLATE(C673,""fr"",""en"")"),"Hello
I robbed myself one night at home
The thieves threatened me with a knife and took me almost all my valuables
My partner was here we were naked
The expert has rendered her conclusions but Axa still does not want to compensate us
They seem to que"&amp;"stion my good faith and that of an independent expert
After the trauma of aggression after the fear of my life I had the right to contempt for AXA insurers who have been walking for weeks to avoid paying what they owe us
I strongly advise you not to tak"&amp;"e insurance from AXA in the event of a disaster it will go very very badly
")</f>
        <v>Hello
I robbed myself one night at home
The thieves threatened me with a knife and took me almost all my valuables
My partner was here we were naked
The expert has rendered her conclusions but Axa still does not want to compensate us
They seem to question my good faith and that of an independent expert
After the trauma of aggression after the fear of my life I had the right to contempt for AXA insurers who have been walking for weeks to avoid paying what they owe us
I strongly advise you not to take insurance from AXA in the event of a disaster it will go very very badly
</v>
      </c>
    </row>
    <row r="674" ht="15.75" customHeight="1">
      <c r="A674" s="2">
        <v>1.0</v>
      </c>
      <c r="B674" s="2" t="s">
        <v>1941</v>
      </c>
      <c r="C674" s="2" t="s">
        <v>1942</v>
      </c>
      <c r="D674" s="2" t="s">
        <v>183</v>
      </c>
      <c r="E674" s="2" t="s">
        <v>14</v>
      </c>
      <c r="F674" s="2" t="s">
        <v>15</v>
      </c>
      <c r="G674" s="2" t="s">
        <v>1514</v>
      </c>
      <c r="H674" s="2" t="s">
        <v>192</v>
      </c>
      <c r="I674" s="2" t="str">
        <f>IFERROR(__xludf.DUMMYFUNCTION("GOOGLETRANSLATE(C674,""fr"",""en"")")," The broker certifies that he finds the best price among the list of companies with which he is related. Outside the renewal of the scale
It announces a price 75% more expensive than the price you find by making a quote yourself online on their site with"&amp;" exactly the same information. Moreover no response to the email sent with documents and proof to support.
Bravo customer service.
Find the error.c is simple more c is expensive more is remunerative for this broker.
")</f>
        <v> The broker certifies that he finds the best price among the list of companies with which he is related. Outside the renewal of the scale
It announces a price 75% more expensive than the price you find by making a quote yourself online on their site with exactly the same information. Moreover no response to the email sent with documents and proof to support.
Bravo customer service.
Find the error.c is simple more c is expensive more is remunerative for this broker.
</v>
      </c>
    </row>
    <row r="675" ht="15.75" customHeight="1">
      <c r="A675" s="2">
        <v>1.0</v>
      </c>
      <c r="B675" s="2" t="s">
        <v>1943</v>
      </c>
      <c r="C675" s="2" t="s">
        <v>1944</v>
      </c>
      <c r="D675" s="2" t="s">
        <v>1945</v>
      </c>
      <c r="E675" s="2" t="s">
        <v>317</v>
      </c>
      <c r="F675" s="2" t="s">
        <v>15</v>
      </c>
      <c r="G675" s="2" t="s">
        <v>686</v>
      </c>
      <c r="H675" s="2" t="s">
        <v>192</v>
      </c>
      <c r="I675" s="2" t="str">
        <f>IFERROR(__xludf.DUMMYFUNCTION("GOOGLETRANSLATE(C675,""fr"",""en"")"),"hello I am disappointed with this mutual insurance company I have been invaliditing since but 2021 to date he settles my salary supplement of June 2021 in August 2021 to date I await July and August and we are at the end of September I ut ut The premium i"&amp;"n July it will give me nothing because I have pierced the state premium these inadmissible I have a loss of salary of 430 euro every month have called the only thing that tells you I go back up these inadmissible they need more a month and half to study 2"&amp;" salary slips to really flee")</f>
        <v>hello I am disappointed with this mutual insurance company I have been invaliditing since but 2021 to date he settles my salary supplement of June 2021 in August 2021 to date I await July and August and we are at the end of September I ut ut The premium in July it will give me nothing because I have pierced the state premium these inadmissible I have a loss of salary of 430 euro every month have called the only thing that tells you I go back up these inadmissible they need more a month and half to study 2 salary slips to really flee</v>
      </c>
    </row>
    <row r="676" ht="15.75" customHeight="1">
      <c r="A676" s="2">
        <v>2.0</v>
      </c>
      <c r="B676" s="2" t="s">
        <v>1946</v>
      </c>
      <c r="C676" s="2" t="s">
        <v>1947</v>
      </c>
      <c r="D676" s="2" t="s">
        <v>179</v>
      </c>
      <c r="E676" s="2" t="s">
        <v>14</v>
      </c>
      <c r="F676" s="2" t="s">
        <v>15</v>
      </c>
      <c r="G676" s="2" t="s">
        <v>1948</v>
      </c>
      <c r="H676" s="2" t="s">
        <v>201</v>
      </c>
      <c r="I676" s="2" t="str">
        <f>IFERROR(__xludf.DUMMYFUNCTION("GOOGLETRANSLATE(C676,""fr"",""en"")"),"Very surprised to learn that Eurofil terminates my automotive contract Here is the letter I have just received: following a recent examination of your file the inadequacy of the risk with regard to the company's acceptance policy does not allow its renewa"&amp;"l For the coming period
By sicing that I did not have a disaster except breakdown, by paying by monthly payment the asurance is always paid in time I have been at 0.50 for years and my contract and terminated anyway by acting as that Eurofil goes Losing "&amp;"a lot of customers of which I first, I have 4 contracts with them I just sent my letter of termination on other contracts")</f>
        <v>Very surprised to learn that Eurofil terminates my automotive contract Here is the letter I have just received: following a recent examination of your file the inadequacy of the risk with regard to the company's acceptance policy does not allow its renewal For the coming period
By sicing that I did not have a disaster except breakdown, by paying by monthly payment the asurance is always paid in time I have been at 0.50 for years and my contract and terminated anyway by acting as that Eurofil goes Losing a lot of customers of which I first, I have 4 contracts with them I just sent my letter of termination on other contracts</v>
      </c>
    </row>
    <row r="677" ht="15.75" customHeight="1">
      <c r="A677" s="2">
        <v>4.0</v>
      </c>
      <c r="B677" s="2" t="s">
        <v>1949</v>
      </c>
      <c r="C677" s="2" t="s">
        <v>1950</v>
      </c>
      <c r="D677" s="2" t="s">
        <v>13</v>
      </c>
      <c r="E677" s="2" t="s">
        <v>14</v>
      </c>
      <c r="F677" s="2" t="s">
        <v>15</v>
      </c>
      <c r="G677" s="2" t="s">
        <v>1086</v>
      </c>
      <c r="H677" s="2" t="s">
        <v>68</v>
      </c>
      <c r="I677" s="2" t="str">
        <f>IFERROR(__xludf.DUMMYFUNCTION("GOOGLETRANSLATE(C677,""fr"",""en"")"),"The prices are very attractive all this fact quickly by internet however for sending photo vehicle it does not work I recommend your insurance after seeing in the event of an accident")</f>
        <v>The prices are very attractive all this fact quickly by internet however for sending photo vehicle it does not work I recommend your insurance after seeing in the event of an accident</v>
      </c>
    </row>
    <row r="678" ht="15.75" customHeight="1">
      <c r="A678" s="2">
        <v>1.0</v>
      </c>
      <c r="B678" s="2" t="s">
        <v>1951</v>
      </c>
      <c r="C678" s="2" t="s">
        <v>1952</v>
      </c>
      <c r="D678" s="2" t="s">
        <v>352</v>
      </c>
      <c r="E678" s="2" t="s">
        <v>14</v>
      </c>
      <c r="F678" s="2" t="s">
        <v>15</v>
      </c>
      <c r="G678" s="2" t="s">
        <v>1148</v>
      </c>
      <c r="H678" s="2" t="s">
        <v>68</v>
      </c>
      <c r="I678" s="2" t="str">
        <f>IFERROR(__xludf.DUMMYFUNCTION("GOOGLETRANSLATE(C678,""fr"",""en"")"),"Presentation of the context:
GMF ""opposing"" insurance of a motorist who overthrew me (100% wrong).
I have to defend myself.
I will not even talk about the value of the bicycle reimbursement for 100 euros, a shame.
Just stressed that he refuses c"&amp;"ommunication by email but communicates .. by email !!!
And forces any response by mail and requests a new document each time.
History to undermine the victim a little more.
I leave you judging the fairness of such a practice.
")</f>
        <v>Presentation of the context:
GMF "opposing" insurance of a motorist who overthrew me (100% wrong).
I have to defend myself.
I will not even talk about the value of the bicycle reimbursement for 100 euros, a shame.
Just stressed that he refuses communication by email but communicates .. by email !!!
And forces any response by mail and requests a new document each time.
History to undermine the victim a little more.
I leave you judging the fairness of such a practice.
</v>
      </c>
    </row>
    <row r="679" ht="15.75" customHeight="1">
      <c r="A679" s="2">
        <v>5.0</v>
      </c>
      <c r="B679" s="2" t="s">
        <v>1953</v>
      </c>
      <c r="C679" s="2" t="s">
        <v>1954</v>
      </c>
      <c r="D679" s="2" t="s">
        <v>55</v>
      </c>
      <c r="E679" s="2" t="s">
        <v>56</v>
      </c>
      <c r="F679" s="2" t="s">
        <v>15</v>
      </c>
      <c r="G679" s="2" t="s">
        <v>583</v>
      </c>
      <c r="H679" s="2" t="s">
        <v>192</v>
      </c>
      <c r="I679" s="2" t="str">
        <f>IFERROR(__xludf.DUMMYFUNCTION("GOOGLETRANSLATE(C679,""fr"",""en"")"),"Satisfied with fast services and at any time I really recommend.
Satisfied with fast services and at any time I really recommend.")</f>
        <v>Satisfied with fast services and at any time I really recommend.
Satisfied with fast services and at any time I really recommend.</v>
      </c>
    </row>
    <row r="680" ht="15.75" customHeight="1">
      <c r="A680" s="2">
        <v>5.0</v>
      </c>
      <c r="B680" s="2" t="s">
        <v>1955</v>
      </c>
      <c r="C680" s="2" t="s">
        <v>1956</v>
      </c>
      <c r="D680" s="2" t="s">
        <v>55</v>
      </c>
      <c r="E680" s="2" t="s">
        <v>56</v>
      </c>
      <c r="F680" s="2" t="s">
        <v>15</v>
      </c>
      <c r="G680" s="2" t="s">
        <v>785</v>
      </c>
      <c r="H680" s="2" t="s">
        <v>192</v>
      </c>
      <c r="I680" s="2" t="str">
        <f>IFERROR(__xludf.DUMMYFUNCTION("GOOGLETRANSLATE(C680,""fr"",""en"")"),"Satisfied with the service, very affordable price, listening advisor, very clear explanations. I recommend this Eye Insurance Close. thank you very much for your speed")</f>
        <v>Satisfied with the service, very affordable price, listening advisor, very clear explanations. I recommend this Eye Insurance Close. thank you very much for your speed</v>
      </c>
    </row>
    <row r="681" ht="15.75" customHeight="1">
      <c r="A681" s="2">
        <v>3.0</v>
      </c>
      <c r="B681" s="2" t="s">
        <v>1957</v>
      </c>
      <c r="C681" s="2" t="s">
        <v>1958</v>
      </c>
      <c r="D681" s="2" t="s">
        <v>80</v>
      </c>
      <c r="E681" s="2" t="s">
        <v>85</v>
      </c>
      <c r="F681" s="2" t="s">
        <v>15</v>
      </c>
      <c r="G681" s="2" t="s">
        <v>1959</v>
      </c>
      <c r="H681" s="2" t="s">
        <v>442</v>
      </c>
      <c r="I681" s="2" t="str">
        <f>IFERROR(__xludf.DUMMYFUNCTION("GOOGLETRANSLATE(C681,""fr"",""en"")"),"You have to fight to get discounts but it works")</f>
        <v>You have to fight to get discounts but it works</v>
      </c>
    </row>
    <row r="682" ht="15.75" customHeight="1">
      <c r="A682" s="2">
        <v>5.0</v>
      </c>
      <c r="B682" s="2" t="s">
        <v>1960</v>
      </c>
      <c r="C682" s="2" t="s">
        <v>1961</v>
      </c>
      <c r="D682" s="2" t="s">
        <v>13</v>
      </c>
      <c r="E682" s="2" t="s">
        <v>14</v>
      </c>
      <c r="F682" s="2" t="s">
        <v>15</v>
      </c>
      <c r="G682" s="2" t="s">
        <v>586</v>
      </c>
      <c r="H682" s="2" t="s">
        <v>72</v>
      </c>
      <c r="I682" s="2" t="str">
        <f>IFERROR(__xludf.DUMMYFUNCTION("GOOGLETRANSLATE(C682,""fr"",""en"")"),"Practical and fast to subscribe, already used for many relatives, now in my turn to get started, I know that I will not regret it")</f>
        <v>Practical and fast to subscribe, already used for many relatives, now in my turn to get started, I know that I will not regret it</v>
      </c>
    </row>
    <row r="683" ht="15.75" customHeight="1">
      <c r="A683" s="2">
        <v>5.0</v>
      </c>
      <c r="B683" s="2" t="s">
        <v>1962</v>
      </c>
      <c r="C683" s="2" t="s">
        <v>1963</v>
      </c>
      <c r="D683" s="2" t="s">
        <v>13</v>
      </c>
      <c r="E683" s="2" t="s">
        <v>14</v>
      </c>
      <c r="F683" s="2" t="s">
        <v>15</v>
      </c>
      <c r="G683" s="2" t="s">
        <v>727</v>
      </c>
      <c r="H683" s="2" t="s">
        <v>166</v>
      </c>
      <c r="I683" s="2" t="str">
        <f>IFERROR(__xludf.DUMMYFUNCTION("GOOGLETRANSLATE(C683,""fr"",""en"")"),"Very satisfied with the online quote service and the prices offered, I highly recommend direct insurance. Simple, fast and efficient, ideal for individuals")</f>
        <v>Very satisfied with the online quote service and the prices offered, I highly recommend direct insurance. Simple, fast and efficient, ideal for individuals</v>
      </c>
    </row>
    <row r="684" ht="15.75" customHeight="1">
      <c r="A684" s="2">
        <v>3.0</v>
      </c>
      <c r="B684" s="2" t="s">
        <v>1964</v>
      </c>
      <c r="C684" s="2" t="s">
        <v>1965</v>
      </c>
      <c r="D684" s="2" t="s">
        <v>55</v>
      </c>
      <c r="E684" s="2" t="s">
        <v>56</v>
      </c>
      <c r="F684" s="2" t="s">
        <v>15</v>
      </c>
      <c r="G684" s="2" t="s">
        <v>346</v>
      </c>
      <c r="H684" s="2" t="s">
        <v>166</v>
      </c>
      <c r="I684" s="2" t="str">
        <f>IFERROR(__xludf.DUMMYFUNCTION("GOOGLETRANSLATE(C684,""fr"",""en"")"),"Service satisfactory to listen. On the other hand, better availability on the phone would be appreciated. The prices seem competitive. For the rest you will have to see in use")</f>
        <v>Service satisfactory to listen. On the other hand, better availability on the phone would be appreciated. The prices seem competitive. For the rest you will have to see in use</v>
      </c>
    </row>
    <row r="685" ht="15.75" customHeight="1">
      <c r="A685" s="2">
        <v>4.0</v>
      </c>
      <c r="B685" s="2" t="s">
        <v>1966</v>
      </c>
      <c r="C685" s="2" t="s">
        <v>1967</v>
      </c>
      <c r="D685" s="2" t="s">
        <v>55</v>
      </c>
      <c r="E685" s="2" t="s">
        <v>56</v>
      </c>
      <c r="F685" s="2" t="s">
        <v>15</v>
      </c>
      <c r="G685" s="2" t="s">
        <v>1968</v>
      </c>
      <c r="H685" s="2" t="s">
        <v>68</v>
      </c>
      <c r="I685" s="2" t="str">
        <f>IFERROR(__xludf.DUMMYFUNCTION("GOOGLETRANSLATE(C685,""fr"",""en"")"),"I am satisfied with the price and the proposal made to me. Recommended very nice and very pro. If all goes well I would recommend this insurance")</f>
        <v>I am satisfied with the price and the proposal made to me. Recommended very nice and very pro. If all goes well I would recommend this insurance</v>
      </c>
    </row>
    <row r="686" ht="15.75" customHeight="1">
      <c r="A686" s="2">
        <v>4.0</v>
      </c>
      <c r="B686" s="2" t="s">
        <v>1969</v>
      </c>
      <c r="C686" s="2" t="s">
        <v>1970</v>
      </c>
      <c r="D686" s="2" t="s">
        <v>278</v>
      </c>
      <c r="E686" s="2" t="s">
        <v>14</v>
      </c>
      <c r="F686" s="2" t="s">
        <v>15</v>
      </c>
      <c r="G686" s="2" t="s">
        <v>601</v>
      </c>
      <c r="H686" s="2" t="s">
        <v>45</v>
      </c>
      <c r="I686" s="2" t="str">
        <f>IFERROR(__xludf.DUMMYFUNCTION("GOOGLETRANSLATE(C686,""fr"",""en"")"),"I have been assured at home for several years. I declared a non -responsible claim in December 2016 which was quickly settled and the car quickly repaired.
I recently bought a new 208, and by comparing the various quotes that I made (in all risks), I fin"&amp;"d that the value for money of the proposed guarantees is one of the most interesting.
My agency advisers (Thionville) are courteous and know how to answer my questions")</f>
        <v>I have been assured at home for several years. I declared a non -responsible claim in December 2016 which was quickly settled and the car quickly repaired.
I recently bought a new 208, and by comparing the various quotes that I made (in all risks), I find that the value for money of the proposed guarantees is one of the most interesting.
My agency advisers (Thionville) are courteous and know how to answer my questions</v>
      </c>
    </row>
    <row r="687" ht="15.75" customHeight="1">
      <c r="A687" s="2">
        <v>1.0</v>
      </c>
      <c r="B687" s="2" t="s">
        <v>1971</v>
      </c>
      <c r="C687" s="2" t="s">
        <v>1972</v>
      </c>
      <c r="D687" s="2" t="s">
        <v>207</v>
      </c>
      <c r="E687" s="2" t="s">
        <v>35</v>
      </c>
      <c r="F687" s="2" t="s">
        <v>15</v>
      </c>
      <c r="G687" s="2" t="s">
        <v>1973</v>
      </c>
      <c r="H687" s="2" t="s">
        <v>68</v>
      </c>
      <c r="I687" s="2" t="str">
        <f>IFERROR(__xludf.DUMMYFUNCTION("GOOGLETRANSLATE(C687,""fr"",""en"")"),"Mutual that we have by obligation of the employer. We are under a framework package which at a financial and compulsory cost given our functions !!
We had to contact them for reimbursements ok a forgetfulness with the situation why not !! But there for o"&amp;"ptical costs after several calls from the unanswered email optician I had to advance the costs more than 100th which have been pending since February 24 and lon you are walking with each call is a shame to be taken for puppets !! No one has been able to s"&amp;"olve the problems of giving real response or deadlines to change jobs if you are unable to provide a service behind !!!")</f>
        <v>Mutual that we have by obligation of the employer. We are under a framework package which at a financial and compulsory cost given our functions !!
We had to contact them for reimbursements ok a forgetfulness with the situation why not !! But there for optical costs after several calls from the unanswered email optician I had to advance the costs more than 100th which have been pending since February 24 and lon you are walking with each call is a shame to be taken for puppets !! No one has been able to solve the problems of giving real response or deadlines to change jobs if you are unable to provide a service behind !!!</v>
      </c>
    </row>
    <row r="688" ht="15.75" customHeight="1">
      <c r="A688" s="2">
        <v>5.0</v>
      </c>
      <c r="B688" s="2" t="s">
        <v>1974</v>
      </c>
      <c r="C688" s="2" t="s">
        <v>1975</v>
      </c>
      <c r="D688" s="2" t="s">
        <v>55</v>
      </c>
      <c r="E688" s="2" t="s">
        <v>56</v>
      </c>
      <c r="F688" s="2" t="s">
        <v>15</v>
      </c>
      <c r="G688" s="2" t="s">
        <v>1018</v>
      </c>
      <c r="H688" s="2" t="s">
        <v>293</v>
      </c>
      <c r="I688" s="2" t="str">
        <f>IFERROR(__xludf.DUMMYFUNCTION("GOOGLETRANSLATE(C688,""fr"",""en"")"),"Great I am satisfied with speed and price. I hope to quickly receive my green card otherwise everything is ok
I highly recommend this insurer")</f>
        <v>Great I am satisfied with speed and price. I hope to quickly receive my green card otherwise everything is ok
I highly recommend this insurer</v>
      </c>
    </row>
    <row r="689" ht="15.75" customHeight="1">
      <c r="A689" s="2">
        <v>1.0</v>
      </c>
      <c r="B689" s="2" t="s">
        <v>1976</v>
      </c>
      <c r="C689" s="2" t="s">
        <v>1977</v>
      </c>
      <c r="D689" s="2" t="s">
        <v>207</v>
      </c>
      <c r="E689" s="2" t="s">
        <v>35</v>
      </c>
      <c r="F689" s="2" t="s">
        <v>15</v>
      </c>
      <c r="G689" s="2" t="s">
        <v>848</v>
      </c>
      <c r="H689" s="2" t="s">
        <v>99</v>
      </c>
      <c r="I689" s="2" t="str">
        <f>IFERROR(__xludf.DUMMYFUNCTION("GOOGLETRANSLATE(C689,""fr"",""en"")"),"Too bad there is no less than a star! Unfortunately for me, I see myself forced to be with this mutual since it is imposed on me by my business. Customer service brings together all the incapable, lazy and stupid France and metropolitan. When they are cal"&amp;"led for information, well they are of no use because they know nothing about it! I wonder they are paid to do?")</f>
        <v>Too bad there is no less than a star! Unfortunately for me, I see myself forced to be with this mutual since it is imposed on me by my business. Customer service brings together all the incapable, lazy and stupid France and metropolitan. When they are called for information, well they are of no use because they know nothing about it! I wonder they are paid to do?</v>
      </c>
    </row>
    <row r="690" ht="15.75" customHeight="1">
      <c r="A690" s="2">
        <v>2.0</v>
      </c>
      <c r="B690" s="2" t="s">
        <v>1978</v>
      </c>
      <c r="C690" s="2" t="s">
        <v>1979</v>
      </c>
      <c r="D690" s="2" t="s">
        <v>179</v>
      </c>
      <c r="E690" s="2" t="s">
        <v>14</v>
      </c>
      <c r="F690" s="2" t="s">
        <v>15</v>
      </c>
      <c r="G690" s="2" t="s">
        <v>1980</v>
      </c>
      <c r="H690" s="2" t="s">
        <v>319</v>
      </c>
      <c r="I690" s="2" t="str">
        <f>IFERROR(__xludf.DUMMYFUNCTION("GOOGLETRANSLATE(C690,""fr"",""en"")"),"It was very good and good price until the day when he sends you a letter of termination without reason as for my part! (without having had a single disaster, nor any payment defect) when you try to understand no reasons it is their right to terminate with"&amp;" great storage!")</f>
        <v>It was very good and good price until the day when he sends you a letter of termination without reason as for my part! (without having had a single disaster, nor any payment defect) when you try to understand no reasons it is their right to terminate with great storage!</v>
      </c>
    </row>
    <row r="691" ht="15.75" customHeight="1">
      <c r="A691" s="2">
        <v>1.0</v>
      </c>
      <c r="B691" s="2" t="s">
        <v>1981</v>
      </c>
      <c r="C691" s="2" t="s">
        <v>1982</v>
      </c>
      <c r="D691" s="2" t="s">
        <v>308</v>
      </c>
      <c r="E691" s="2" t="s">
        <v>14</v>
      </c>
      <c r="F691" s="2" t="s">
        <v>15</v>
      </c>
      <c r="G691" s="2" t="s">
        <v>1983</v>
      </c>
      <c r="H691" s="2" t="s">
        <v>72</v>
      </c>
      <c r="I691" s="2" t="str">
        <f>IFERROR(__xludf.DUMMYFUNCTION("GOOGLETRANSLATE(C691,""fr"",""en"")"),"After a non -responsible disaster with third -party identified and observation, added to this all -risk insurance, no compensation paid and this while the accident occurred at mid April 2021.
Since then we are wandered and not considered by this company."&amp;"
There was not a matter of it, there are many of us in my case")</f>
        <v>After a non -responsible disaster with third -party identified and observation, added to this all -risk insurance, no compensation paid and this while the accident occurred at mid April 2021.
Since then we are wandered and not considered by this company.
There was not a matter of it, there are many of us in my case</v>
      </c>
    </row>
    <row r="692" ht="15.75" customHeight="1">
      <c r="A692" s="2">
        <v>2.0</v>
      </c>
      <c r="B692" s="2" t="s">
        <v>1984</v>
      </c>
      <c r="C692" s="2" t="s">
        <v>1985</v>
      </c>
      <c r="D692" s="2" t="s">
        <v>43</v>
      </c>
      <c r="E692" s="2" t="s">
        <v>14</v>
      </c>
      <c r="F692" s="2" t="s">
        <v>15</v>
      </c>
      <c r="G692" s="2" t="s">
        <v>1986</v>
      </c>
      <c r="H692" s="2" t="s">
        <v>619</v>
      </c>
      <c r="I692" s="2" t="str">
        <f>IFERROR(__xludf.DUMMYFUNCTION("GOOGLETRANSLATE(C692,""fr"",""en"")"),"Interesting insurer, less when you don't have to do to them, give them 100 euros per month without anything asking them yes they know how to do it! But for the slightest important or secondary concerns no longer anyone ...
Brasse teams Break on the phone"&amp;" nonchalant soporific and incomprehensible and that yells at you limits
I call for a request for a contract suspension because I sold my car (I clearly tell the person) I receive a confirmation email ""confirmation of suspension of your contract"" unti"&amp;"l here everything is fine
But later during a quote on the phone for my future vehicle I am told that my contract has been terminated I do not understand, I am told that the person has trouble doing their job and that therefore I have to pay fees Additi"&amp;"onal ... (file fees etc)?
I end this call by saying to listen to not touch anything I will see on my side and if necessary I remind you
15 minutes later 2 email arrived at me
- Termination of your contract
1 second after
- Return to your contract a"&amp;"nd it is in this famous email that they tell me that I owe them 220 euros (no explanation)
In short, anything big")</f>
        <v>Interesting insurer, less when you don't have to do to them, give them 100 euros per month without anything asking them yes they know how to do it! But for the slightest important or secondary concerns no longer anyone ...
Brasse teams Break on the phone nonchalant soporific and incomprehensible and that yells at you limits
I call for a request for a contract suspension because I sold my car (I clearly tell the person) I receive a confirmation email "confirmation of suspension of your contract" until here everything is fine
But later during a quote on the phone for my future vehicle I am told that my contract has been terminated I do not understand, I am told that the person has trouble doing their job and that therefore I have to pay fees Additional ... (file fees etc)?
I end this call by saying to listen to not touch anything I will see on my side and if necessary I remind you
15 minutes later 2 email arrived at me
- Termination of your contract
1 second after
- Return to your contract and it is in this famous email that they tell me that I owe them 220 euros (no explanation)
In short, anything big</v>
      </c>
    </row>
    <row r="693" ht="15.75" customHeight="1">
      <c r="A693" s="2">
        <v>5.0</v>
      </c>
      <c r="B693" s="2" t="s">
        <v>1987</v>
      </c>
      <c r="C693" s="2" t="s">
        <v>1988</v>
      </c>
      <c r="D693" s="2" t="s">
        <v>43</v>
      </c>
      <c r="E693" s="2" t="s">
        <v>14</v>
      </c>
      <c r="F693" s="2" t="s">
        <v>15</v>
      </c>
      <c r="G693" s="2" t="s">
        <v>1989</v>
      </c>
      <c r="H693" s="2" t="s">
        <v>166</v>
      </c>
      <c r="I693" s="2" t="str">
        <f>IFERROR(__xludf.DUMMYFUNCTION("GOOGLETRANSLATE(C693,""fr"",""en"")"),"Efficient, fast subscription, good value for money, the olive tree takes care to terminate the old contract. It's great, I highly recommend this insurer ??????")</f>
        <v>Efficient, fast subscription, good value for money, the olive tree takes care to terminate the old contract. It's great, I highly recommend this insurer ??????</v>
      </c>
    </row>
    <row r="694" ht="15.75" customHeight="1">
      <c r="A694" s="2">
        <v>4.0</v>
      </c>
      <c r="B694" s="2" t="s">
        <v>1990</v>
      </c>
      <c r="C694" s="2" t="s">
        <v>1991</v>
      </c>
      <c r="D694" s="2" t="s">
        <v>13</v>
      </c>
      <c r="E694" s="2" t="s">
        <v>14</v>
      </c>
      <c r="F694" s="2" t="s">
        <v>15</v>
      </c>
      <c r="G694" s="2" t="s">
        <v>1416</v>
      </c>
      <c r="H694" s="2" t="s">
        <v>99</v>
      </c>
      <c r="I694" s="2" t="str">
        <f>IFERROR(__xludf.DUMMYFUNCTION("GOOGLETRANSLATE(C694,""fr"",""en"")"),"I am satisfied with the service. Very reactive staff. Easy site and application. All information is clear and precise. Quite attractive price compare to competition.")</f>
        <v>I am satisfied with the service. Very reactive staff. Easy site and application. All information is clear and precise. Quite attractive price compare to competition.</v>
      </c>
    </row>
    <row r="695" ht="15.75" customHeight="1">
      <c r="A695" s="2">
        <v>5.0</v>
      </c>
      <c r="B695" s="2" t="s">
        <v>1992</v>
      </c>
      <c r="C695" s="2" t="s">
        <v>1993</v>
      </c>
      <c r="D695" s="2" t="s">
        <v>448</v>
      </c>
      <c r="E695" s="2" t="s">
        <v>112</v>
      </c>
      <c r="F695" s="2" t="s">
        <v>15</v>
      </c>
      <c r="G695" s="2" t="s">
        <v>563</v>
      </c>
      <c r="H695" s="2" t="s">
        <v>68</v>
      </c>
      <c r="I695" s="2" t="str">
        <f>IFERROR(__xludf.DUMMYFUNCTION("GOOGLETRANSLATE(C695,""fr"",""en"")"),"I am satisfied with your offer, the speed of subscription, and the price too. I will not hesitate to advise those around me if necessary, cordially.")</f>
        <v>I am satisfied with your offer, the speed of subscription, and the price too. I will not hesitate to advise those around me if necessary, cordially.</v>
      </c>
    </row>
    <row r="696" ht="15.75" customHeight="1">
      <c r="A696" s="2">
        <v>4.0</v>
      </c>
      <c r="B696" s="2" t="s">
        <v>1994</v>
      </c>
      <c r="C696" s="2" t="s">
        <v>1995</v>
      </c>
      <c r="D696" s="2" t="s">
        <v>13</v>
      </c>
      <c r="E696" s="2" t="s">
        <v>14</v>
      </c>
      <c r="F696" s="2" t="s">
        <v>15</v>
      </c>
      <c r="G696" s="2" t="s">
        <v>1996</v>
      </c>
      <c r="H696" s="2" t="s">
        <v>99</v>
      </c>
      <c r="I696" s="2" t="str">
        <f>IFERROR(__xludf.DUMMYFUNCTION("GOOGLETRANSLATE(C696,""fr"",""en"")"),"Satisfied with the fast service The price is competitive with other net insurance and I am already a customer so no problem for reassuring is still thank you")</f>
        <v>Satisfied with the fast service The price is competitive with other net insurance and I am already a customer so no problem for reassuring is still thank you</v>
      </c>
    </row>
    <row r="697" ht="15.75" customHeight="1">
      <c r="A697" s="2">
        <v>1.0</v>
      </c>
      <c r="B697" s="2" t="s">
        <v>1997</v>
      </c>
      <c r="C697" s="2" t="s">
        <v>1998</v>
      </c>
      <c r="D697" s="2" t="s">
        <v>345</v>
      </c>
      <c r="E697" s="2" t="s">
        <v>35</v>
      </c>
      <c r="F697" s="2" t="s">
        <v>15</v>
      </c>
      <c r="G697" s="2" t="s">
        <v>1999</v>
      </c>
      <c r="H697" s="2" t="s">
        <v>236</v>
      </c>
      <c r="I697" s="2" t="str">
        <f>IFERROR(__xludf.DUMMYFUNCTION("GOOGLETRANSLATE(C697,""fr"",""en"")"),"Generation has a sea website*e, really to review or incompetent insurer, I do not have enough experience with them to find out !!! I am a member with my TAF by obligation.
Obliged to justify yourself for a PACS, but impossible to transmit my documents!
"&amp;"This is the first time that I have been asked for this document, it is really to do it because via my job all the supporting documents are already in their possession! So in the end my wife still does not have her card after more than 1 month of membershi"&amp;"p ...
It does not bother anything good !!!")</f>
        <v>Generation has a sea website*e, really to review or incompetent insurer, I do not have enough experience with them to find out !!! I am a member with my TAF by obligation.
Obliged to justify yourself for a PACS, but impossible to transmit my documents!
This is the first time that I have been asked for this document, it is really to do it because via my job all the supporting documents are already in their possession! So in the end my wife still does not have her card after more than 1 month of membership ...
It does not bother anything good !!!</v>
      </c>
    </row>
    <row r="698" ht="15.75" customHeight="1">
      <c r="A698" s="2">
        <v>5.0</v>
      </c>
      <c r="B698" s="2" t="s">
        <v>2000</v>
      </c>
      <c r="C698" s="2" t="s">
        <v>2001</v>
      </c>
      <c r="D698" s="2" t="s">
        <v>97</v>
      </c>
      <c r="E698" s="2" t="s">
        <v>56</v>
      </c>
      <c r="F698" s="2" t="s">
        <v>15</v>
      </c>
      <c r="G698" s="2" t="s">
        <v>811</v>
      </c>
      <c r="H698" s="2" t="s">
        <v>99</v>
      </c>
      <c r="I698" s="2" t="str">
        <f>IFERROR(__xludf.DUMMYFUNCTION("GOOGLETRANSLATE(C698,""fr"",""en"")"),"Everything is fine and I need to duck my motorcycle in order to avoid many problems and be in good standing for any control of the police. The payment has been done. Pending the insurance in order to put it on my motorcycle
Cordially")</f>
        <v>Everything is fine and I need to duck my motorcycle in order to avoid many problems and be in good standing for any control of the police. The payment has been done. Pending the insurance in order to put it on my motorcycle
Cordially</v>
      </c>
    </row>
    <row r="699" ht="15.75" customHeight="1">
      <c r="A699" s="2">
        <v>1.0</v>
      </c>
      <c r="B699" s="2" t="s">
        <v>2002</v>
      </c>
      <c r="C699" s="2" t="s">
        <v>2003</v>
      </c>
      <c r="D699" s="2" t="s">
        <v>365</v>
      </c>
      <c r="E699" s="2" t="s">
        <v>85</v>
      </c>
      <c r="F699" s="2" t="s">
        <v>15</v>
      </c>
      <c r="G699" s="2" t="s">
        <v>1999</v>
      </c>
      <c r="H699" s="2" t="s">
        <v>236</v>
      </c>
      <c r="I699" s="2" t="str">
        <f>IFERROR(__xludf.DUMMYFUNCTION("GOOGLETRANSLATE(C699,""fr"",""en"")"),"Catastrophic telephone reception at La MAIF, this January 28, 21. I asked for a residential insurance quote (on behalf of my daughter who has very addictive work and has multiple steps to do a very short time due to a house purchase ds the context of curf"&amp;"ew). First of all, the person at the reception made fun of me and especially my daughter who ""did not call alone at his age"" and other nonsense like ""she only has to call on Saturday "". (As if no one was at work or on a business trip on Saturday! And "&amp;"as if it were shameful to help someone for administrative information.) Solidarity and family entry for MAIF (through this Home agent) Doesn't that exist ??? What a disappointment ... and what anger!
I put only one star because I had not had a standard w"&amp;"ait, which is appreciable. For the rest: zero pointed ... and of course, I addressed myself elsewhere.")</f>
        <v>Catastrophic telephone reception at La MAIF, this January 28, 21. I asked for a residential insurance quote (on behalf of my daughter who has very addictive work and has multiple steps to do a very short time due to a house purchase ds the context of curfew). First of all, the person at the reception made fun of me and especially my daughter who "did not call alone at his age" and other nonsense like "she only has to call on Saturday ". (As if no one was at work or on a business trip on Saturday! And as if it were shameful to help someone for administrative information.) Solidarity and family entry for MAIF (through this Home agent) Doesn't that exist ??? What a disappointment ... and what anger!
I put only one star because I had not had a standard wait, which is appreciable. For the rest: zero pointed ... and of course, I addressed myself elsewhere.</v>
      </c>
    </row>
    <row r="700" ht="15.75" customHeight="1">
      <c r="A700" s="2">
        <v>3.0</v>
      </c>
      <c r="B700" s="2" t="s">
        <v>2004</v>
      </c>
      <c r="C700" s="2" t="s">
        <v>2005</v>
      </c>
      <c r="D700" s="2" t="s">
        <v>13</v>
      </c>
      <c r="E700" s="2" t="s">
        <v>14</v>
      </c>
      <c r="F700" s="2" t="s">
        <v>15</v>
      </c>
      <c r="G700" s="2" t="s">
        <v>1624</v>
      </c>
      <c r="H700" s="2" t="s">
        <v>166</v>
      </c>
      <c r="I700" s="2" t="str">
        <f>IFERROR(__xludf.DUMMYFUNCTION("GOOGLETRANSLATE(C700,""fr"",""en"")"),"I am satisfied with the service. I wish to terminate my contract because I demean and my house is too large you don't want to insure it. Cordially")</f>
        <v>I am satisfied with the service. I wish to terminate my contract because I demean and my house is too large you don't want to insure it. Cordially</v>
      </c>
    </row>
    <row r="701" ht="15.75" customHeight="1">
      <c r="A701" s="2">
        <v>3.0</v>
      </c>
      <c r="B701" s="2" t="s">
        <v>2006</v>
      </c>
      <c r="C701" s="2" t="s">
        <v>2007</v>
      </c>
      <c r="D701" s="2" t="s">
        <v>19</v>
      </c>
      <c r="E701" s="2" t="s">
        <v>85</v>
      </c>
      <c r="F701" s="2" t="s">
        <v>15</v>
      </c>
      <c r="G701" s="2" t="s">
        <v>1197</v>
      </c>
      <c r="H701" s="2" t="s">
        <v>166</v>
      </c>
      <c r="I701" s="2" t="str">
        <f>IFERROR(__xludf.DUMMYFUNCTION("GOOGLETRANSLATE(C701,""fr"",""en"")"),"Sinister in June 2021 to date October 8, 2021 repairs are still not over. After several reminders still no solutions.
lamentable.
no comment
")</f>
        <v>Sinister in June 2021 to date October 8, 2021 repairs are still not over. After several reminders still no solutions.
lamentable.
no comment
</v>
      </c>
    </row>
    <row r="702" ht="15.75" customHeight="1">
      <c r="A702" s="2">
        <v>2.0</v>
      </c>
      <c r="B702" s="2" t="s">
        <v>2008</v>
      </c>
      <c r="C702" s="2" t="s">
        <v>2009</v>
      </c>
      <c r="D702" s="2" t="s">
        <v>156</v>
      </c>
      <c r="E702" s="2" t="s">
        <v>85</v>
      </c>
      <c r="F702" s="2" t="s">
        <v>15</v>
      </c>
      <c r="G702" s="2" t="s">
        <v>2010</v>
      </c>
      <c r="H702" s="2" t="s">
        <v>197</v>
      </c>
      <c r="I702" s="2" t="str">
        <f>IFERROR(__xludf.DUMMYFUNCTION("GOOGLETRANSLATE(C702,""fr"",""en"")"),"A member since 1975, I was struck off in 2018 with the reason ""change of commercial policy"", after having undergone several water damage.
Being ""throwing yourself"" after 43 years of loyalty has been frankly indigestible ...
In short, I terminated my"&amp;" remaining contracts to find as well.
So, their advertising campaigns, they could see them again.")</f>
        <v>A member since 1975, I was struck off in 2018 with the reason "change of commercial policy", after having undergone several water damage.
Being "throwing yourself" after 43 years of loyalty has been frankly indigestible ...
In short, I terminated my remaining contracts to find as well.
So, their advertising campaigns, they could see them again.</v>
      </c>
    </row>
    <row r="703" ht="15.75" customHeight="1">
      <c r="A703" s="2">
        <v>2.0</v>
      </c>
      <c r="B703" s="2" t="s">
        <v>2011</v>
      </c>
      <c r="C703" s="2" t="s">
        <v>2012</v>
      </c>
      <c r="D703" s="2" t="s">
        <v>80</v>
      </c>
      <c r="E703" s="2" t="s">
        <v>14</v>
      </c>
      <c r="F703" s="2" t="s">
        <v>15</v>
      </c>
      <c r="G703" s="2" t="s">
        <v>2013</v>
      </c>
      <c r="H703" s="2" t="s">
        <v>103</v>
      </c>
      <c r="I703" s="2" t="str">
        <f>IFERROR(__xludf.DUMMYFUNCTION("GOOGLETRANSLATE(C703,""fr"",""en"")"),"Very good insurance, I had a broken windshield, I was covered by insurance. Nothing to spend on the specialist poses windshield approved by AXA, I could have gone without problem with Carglass for example, but I preferred the one that I was advised. To do"&amp;" this, subscribe to guarantee without deductible broken ice it is ...")</f>
        <v>Very good insurance, I had a broken windshield, I was covered by insurance. Nothing to spend on the specialist poses windshield approved by AXA, I could have gone without problem with Carglass for example, but I preferred the one that I was advised. To do this, subscribe to guarantee without deductible broken ice it is ...</v>
      </c>
    </row>
    <row r="704" ht="15.75" customHeight="1">
      <c r="A704" s="2">
        <v>2.0</v>
      </c>
      <c r="B704" s="2" t="s">
        <v>2014</v>
      </c>
      <c r="C704" s="2" t="s">
        <v>2015</v>
      </c>
      <c r="D704" s="2" t="s">
        <v>156</v>
      </c>
      <c r="E704" s="2" t="s">
        <v>14</v>
      </c>
      <c r="F704" s="2" t="s">
        <v>15</v>
      </c>
      <c r="G704" s="2" t="s">
        <v>1432</v>
      </c>
      <c r="H704" s="2" t="s">
        <v>272</v>
      </c>
      <c r="I704" s="2" t="str">
        <f>IFERROR(__xludf.DUMMYFUNCTION("GOOGLETRANSLATE(C704,""fr"",""en"")"),"Very disappointed by the MAAF after being a client for several years. Like so many other customers, my contract will be terminated for too many claims (3), even if one of them is not my responsibility.")</f>
        <v>Very disappointed by the MAAF after being a client for several years. Like so many other customers, my contract will be terminated for too many claims (3), even if one of them is not my responsibility.</v>
      </c>
    </row>
    <row r="705" ht="15.75" customHeight="1">
      <c r="A705" s="2">
        <v>1.0</v>
      </c>
      <c r="B705" s="2" t="s">
        <v>2016</v>
      </c>
      <c r="C705" s="2" t="s">
        <v>2017</v>
      </c>
      <c r="D705" s="2" t="s">
        <v>43</v>
      </c>
      <c r="E705" s="2" t="s">
        <v>14</v>
      </c>
      <c r="F705" s="2" t="s">
        <v>15</v>
      </c>
      <c r="G705" s="2" t="s">
        <v>415</v>
      </c>
      <c r="H705" s="2" t="s">
        <v>108</v>
      </c>
      <c r="I705" s="2" t="str">
        <f>IFERROR(__xludf.DUMMYFUNCTION("GOOGLETRANSLATE(C705,""fr"",""en"")"),"Worse than worse. I had a non -responsible accident in February and insurance took 3 months to reach the other insurance to ultimately close the file. I was taken € 600 instead of € 380 in doubt where I am responsible. In addition, they charge me 15 € for"&amp;" the procedures. TO FLEE !")</f>
        <v>Worse than worse. I had a non -responsible accident in February and insurance took 3 months to reach the other insurance to ultimately close the file. I was taken € 600 instead of € 380 in doubt where I am responsible. In addition, they charge me 15 € for the procedures. TO FLEE !</v>
      </c>
    </row>
    <row r="706" ht="15.75" customHeight="1">
      <c r="A706" s="2">
        <v>1.0</v>
      </c>
      <c r="B706" s="2" t="s">
        <v>2018</v>
      </c>
      <c r="C706" s="2" t="s">
        <v>2019</v>
      </c>
      <c r="D706" s="2" t="s">
        <v>207</v>
      </c>
      <c r="E706" s="2" t="s">
        <v>35</v>
      </c>
      <c r="F706" s="2" t="s">
        <v>15</v>
      </c>
      <c r="G706" s="2" t="s">
        <v>2020</v>
      </c>
      <c r="H706" s="2" t="s">
        <v>236</v>
      </c>
      <c r="I706" s="2" t="str">
        <f>IFERROR(__xludf.DUMMYFUNCTION("GOOGLETRANSLATE(C706,""fr"",""en"")"),"A mutual and incompetent customer service impossible to take into account a change of bank details, late reimbursements, advisers who can never answer a simple question they always make lifts in the form of complaints, connection to its blocked customer a"&amp;"rea, no solution, I have never been dealing with so much incompetence.")</f>
        <v>A mutual and incompetent customer service impossible to take into account a change of bank details, late reimbursements, advisers who can never answer a simple question they always make lifts in the form of complaints, connection to its blocked customer area, no solution, I have never been dealing with so much incompetence.</v>
      </c>
    </row>
    <row r="707" ht="15.75" customHeight="1">
      <c r="A707" s="2">
        <v>5.0</v>
      </c>
      <c r="B707" s="2" t="s">
        <v>2021</v>
      </c>
      <c r="C707" s="2" t="s">
        <v>2022</v>
      </c>
      <c r="D707" s="2" t="s">
        <v>43</v>
      </c>
      <c r="E707" s="2" t="s">
        <v>14</v>
      </c>
      <c r="F707" s="2" t="s">
        <v>15</v>
      </c>
      <c r="G707" s="2" t="s">
        <v>2023</v>
      </c>
      <c r="H707" s="2" t="s">
        <v>68</v>
      </c>
      <c r="I707" s="2" t="str">
        <f>IFERROR(__xludf.DUMMYFUNCTION("GOOGLETRANSLATE(C707,""fr"",""en"")"),"I am satisfied. Thank you for your usual collaboration. I recommend your insurance on the other hand I hope to add Morocco to the authorized paid")</f>
        <v>I am satisfied. Thank you for your usual collaboration. I recommend your insurance on the other hand I hope to add Morocco to the authorized paid</v>
      </c>
    </row>
    <row r="708" ht="15.75" customHeight="1">
      <c r="A708" s="2">
        <v>4.0</v>
      </c>
      <c r="B708" s="2" t="s">
        <v>2024</v>
      </c>
      <c r="C708" s="2" t="s">
        <v>2025</v>
      </c>
      <c r="D708" s="2" t="s">
        <v>43</v>
      </c>
      <c r="E708" s="2" t="s">
        <v>14</v>
      </c>
      <c r="F708" s="2" t="s">
        <v>15</v>
      </c>
      <c r="G708" s="2" t="s">
        <v>689</v>
      </c>
      <c r="H708" s="2" t="s">
        <v>99</v>
      </c>
      <c r="I708" s="2" t="str">
        <f>IFERROR(__xludf.DUMMYFUNCTION("GOOGLETRANSLATE(C708,""fr"",""en"")"),"I am very satisfied with the income and reception price which was reserved for me I would recommend the insurance Les Olivier thank you very much attention that was paid me")</f>
        <v>I am very satisfied with the income and reception price which was reserved for me I would recommend the insurance Les Olivier thank you very much attention that was paid me</v>
      </c>
    </row>
    <row r="709" ht="15.75" customHeight="1">
      <c r="A709" s="2">
        <v>2.0</v>
      </c>
      <c r="B709" s="2" t="s">
        <v>2026</v>
      </c>
      <c r="C709" s="2" t="s">
        <v>2027</v>
      </c>
      <c r="D709" s="2" t="s">
        <v>156</v>
      </c>
      <c r="E709" s="2" t="s">
        <v>14</v>
      </c>
      <c r="F709" s="2" t="s">
        <v>15</v>
      </c>
      <c r="G709" s="2" t="s">
        <v>2028</v>
      </c>
      <c r="H709" s="2" t="s">
        <v>123</v>
      </c>
      <c r="I709" s="2" t="str">
        <f>IFERROR(__xludf.DUMMYFUNCTION("GOOGLETRANSLATE(C709,""fr"",""en"")"),"Their assistance emergency number is out of service; I was broken down and I couldn't reach them; Thinking to be covered by insurance, I called the tow truck myself. But I was not covered; If they had answered, they would have informed me and I would have"&amp;" repaired the vehicle on the spot; INADMISSIBILIBIL. An insurer must anticipate, it is not a micro -wave of cold that can justify a submerged emergency number; We are not talking about a cyclone. Just cold")</f>
        <v>Their assistance emergency number is out of service; I was broken down and I couldn't reach them; Thinking to be covered by insurance, I called the tow truck myself. But I was not covered; If they had answered, they would have informed me and I would have repaired the vehicle on the spot; INADMISSIBILIBIL. An insurer must anticipate, it is not a micro -wave of cold that can justify a submerged emergency number; We are not talking about a cyclone. Just cold</v>
      </c>
    </row>
    <row r="710" ht="15.75" customHeight="1">
      <c r="A710" s="2">
        <v>4.0</v>
      </c>
      <c r="B710" s="2" t="s">
        <v>2029</v>
      </c>
      <c r="C710" s="2" t="s">
        <v>2030</v>
      </c>
      <c r="D710" s="2" t="s">
        <v>43</v>
      </c>
      <c r="E710" s="2" t="s">
        <v>14</v>
      </c>
      <c r="F710" s="2" t="s">
        <v>15</v>
      </c>
      <c r="G710" s="2" t="s">
        <v>2031</v>
      </c>
      <c r="H710" s="2" t="s">
        <v>72</v>
      </c>
      <c r="I710" s="2" t="str">
        <f>IFERROR(__xludf.DUMMYFUNCTION("GOOGLETRANSLATE(C710,""fr"",""en"")"),"The price suits me, the ease and transparency concerning the options of the contract. The fact of being able to subscribe online from A to Z even by being occupied elsewhere. I recommend")</f>
        <v>The price suits me, the ease and transparency concerning the options of the contract. The fact of being able to subscribe online from A to Z even by being occupied elsewhere. I recommend</v>
      </c>
    </row>
    <row r="711" ht="15.75" customHeight="1">
      <c r="A711" s="2">
        <v>5.0</v>
      </c>
      <c r="B711" s="2" t="s">
        <v>2032</v>
      </c>
      <c r="C711" s="2" t="s">
        <v>2033</v>
      </c>
      <c r="D711" s="2" t="s">
        <v>13</v>
      </c>
      <c r="E711" s="2" t="s">
        <v>14</v>
      </c>
      <c r="F711" s="2" t="s">
        <v>15</v>
      </c>
      <c r="G711" s="2" t="s">
        <v>724</v>
      </c>
      <c r="H711" s="2" t="s">
        <v>272</v>
      </c>
      <c r="I711" s="2" t="str">
        <f>IFERROR(__xludf.DUMMYFUNCTION("GOOGLETRANSLATE(C711,""fr"",""en"")"),"I am very satisfied, price level, ease of subscription. Already insurance at Direct Insurance and very fast to have the contract and sticker.")</f>
        <v>I am very satisfied, price level, ease of subscription. Already insurance at Direct Insurance and very fast to have the contract and sticker.</v>
      </c>
    </row>
    <row r="712" ht="15.75" customHeight="1">
      <c r="A712" s="2">
        <v>3.0</v>
      </c>
      <c r="B712" s="2" t="s">
        <v>2034</v>
      </c>
      <c r="C712" s="2" t="s">
        <v>2035</v>
      </c>
      <c r="D712" s="2" t="s">
        <v>13</v>
      </c>
      <c r="E712" s="2" t="s">
        <v>14</v>
      </c>
      <c r="F712" s="2" t="s">
        <v>15</v>
      </c>
      <c r="G712" s="2" t="s">
        <v>811</v>
      </c>
      <c r="H712" s="2" t="s">
        <v>99</v>
      </c>
      <c r="I712" s="2" t="str">
        <f>IFERROR(__xludf.DUMMYFUNCTION("GOOGLETRANSLATE(C712,""fr"",""en"")"),"I am satisfied at the moment, I will have my
New car tomorrow, hope your services are useful for my first car, my opinion will change according to that")</f>
        <v>I am satisfied at the moment, I will have my
New car tomorrow, hope your services are useful for my first car, my opinion will change according to that</v>
      </c>
    </row>
    <row r="713" ht="15.75" customHeight="1">
      <c r="A713" s="2">
        <v>1.0</v>
      </c>
      <c r="B713" s="2" t="s">
        <v>2036</v>
      </c>
      <c r="C713" s="2" t="s">
        <v>2037</v>
      </c>
      <c r="D713" s="2" t="s">
        <v>43</v>
      </c>
      <c r="E713" s="2" t="s">
        <v>14</v>
      </c>
      <c r="F713" s="2" t="s">
        <v>15</v>
      </c>
      <c r="G713" s="2" t="s">
        <v>904</v>
      </c>
      <c r="H713" s="2" t="s">
        <v>158</v>
      </c>
      <c r="I713" s="2" t="str">
        <f>IFERROR(__xludf.DUMMYFUNCTION("GOOGLETRANSLATE(C713,""fr"",""en"")"),"Attracted by prices in the first year, I signed a contract with this insurance, for a Peugeot 309 Symbio Diesel 5P for an amount of € 374. Less than 1 month later, a non -responsible disaster has arrived. Correct care without more (payment 1000 € 5 months"&amp;" after disaster and 1 month after sale for destruction - I immediately sent them by mail the certificate filled by the SA will be to Pantin, I never had acknowledgment of receipt 2 months after the wreckage, I assured a Seat Leon at home. I never received"&amp;" the contract or the green card and I thought it was done automatically, so I did not worried. Surprise, 1 month before the annual deadline, I receive the call for contributions for the 309 wreckage with an annual increase of € 117. The SEAT 5 days before"&amp;" the deadline and I transmit the certificate of transfer to them by reporting to them that I no longer had a car to ensure. As in the meantime, they had tried to take the deadline and that it had returned to them unpaid , their answer was to tell me that "&amp;"he could not stop insurance on a car while she was unpaid without answering the question of the substitution of the 309 in place of the SEAT which therefore was never really assured. OKAY. But the car they have assured was in destruction for more than 7 m"&amp;"onths. Easy and profitable no risk of a claim. Since then, I have been at the bailiff with which I have just submitted my file")</f>
        <v>Attracted by prices in the first year, I signed a contract with this insurance, for a Peugeot 309 Symbio Diesel 5P for an amount of € 374. Less than 1 month later, a non -responsible disaster has arrived. Correct care without more (payment 1000 € 5 months after disaster and 1 month after sale for destruction - I immediately sent them by mail the certificate filled by the SA will be to Pantin, I never had acknowledgment of receipt 2 months after the wreckage, I assured a Seat Leon at home. I never received the contract or the green card and I thought it was done automatically, so I did not worried. Surprise, 1 month before the annual deadline, I receive the call for contributions for the 309 wreckage with an annual increase of € 117. The SEAT 5 days before the deadline and I transmit the certificate of transfer to them by reporting to them that I no longer had a car to ensure. As in the meantime, they had tried to take the deadline and that it had returned to them unpaid , their answer was to tell me that he could not stop insurance on a car while she was unpaid without answering the question of the substitution of the 309 in place of the SEAT which therefore was never really assured. OKAY. But the car they have assured was in destruction for more than 7 months. Easy and profitable no risk of a claim. Since then, I have been at the bailiff with which I have just submitted my file</v>
      </c>
    </row>
    <row r="714" ht="15.75" customHeight="1">
      <c r="A714" s="2">
        <v>1.0</v>
      </c>
      <c r="B714" s="2" t="s">
        <v>2038</v>
      </c>
      <c r="C714" s="2" t="s">
        <v>2039</v>
      </c>
      <c r="D714" s="2" t="s">
        <v>369</v>
      </c>
      <c r="E714" s="2" t="s">
        <v>35</v>
      </c>
      <c r="F714" s="2" t="s">
        <v>15</v>
      </c>
      <c r="G714" s="2" t="s">
        <v>560</v>
      </c>
      <c r="H714" s="2" t="s">
        <v>192</v>
      </c>
      <c r="I714" s="2" t="str">
        <f>IFERROR(__xludf.DUMMYFUNCTION("GOOGLETRANSLATE(C714,""fr"",""en"")"),"Mutual to flee absolutely .. look for all the escuses not to reimburse .. Request of the invoices paid while social security has reimbursed a party .. never responds to emails .... business mutual for my part ... . So I didn't have the choice")</f>
        <v>Mutual to flee absolutely .. look for all the escuses not to reimburse .. Request of the invoices paid while social security has reimbursed a party .. never responds to emails .... business mutual for my part ... . So I didn't have the choice</v>
      </c>
    </row>
    <row r="715" ht="15.75" customHeight="1">
      <c r="A715" s="2">
        <v>1.0</v>
      </c>
      <c r="B715" s="2" t="s">
        <v>2040</v>
      </c>
      <c r="C715" s="2" t="s">
        <v>2041</v>
      </c>
      <c r="D715" s="2" t="s">
        <v>97</v>
      </c>
      <c r="E715" s="2" t="s">
        <v>56</v>
      </c>
      <c r="F715" s="2" t="s">
        <v>15</v>
      </c>
      <c r="G715" s="2" t="s">
        <v>639</v>
      </c>
      <c r="H715" s="2" t="s">
        <v>166</v>
      </c>
      <c r="I715" s="2" t="str">
        <f>IFERROR(__xludf.DUMMYFUNCTION("GOOGLETRANSLATE(C715,""fr"",""en"")"),"To flee absolutely !!! No assistance, no claims follow -up or compensation for the bodily.
Their doctor advice is only present to minimize compensation.
Better your not be insured than contracted with AMV")</f>
        <v>To flee absolutely !!! No assistance, no claims follow -up or compensation for the bodily.
Their doctor advice is only present to minimize compensation.
Better your not be insured than contracted with AMV</v>
      </c>
    </row>
    <row r="716" ht="15.75" customHeight="1">
      <c r="A716" s="2">
        <v>4.0</v>
      </c>
      <c r="B716" s="2" t="s">
        <v>2042</v>
      </c>
      <c r="C716" s="2" t="s">
        <v>2043</v>
      </c>
      <c r="D716" s="2" t="s">
        <v>13</v>
      </c>
      <c r="E716" s="2" t="s">
        <v>14</v>
      </c>
      <c r="F716" s="2" t="s">
        <v>15</v>
      </c>
      <c r="G716" s="2" t="s">
        <v>1530</v>
      </c>
      <c r="H716" s="2" t="s">
        <v>68</v>
      </c>
      <c r="I716" s="2" t="str">
        <f>IFERROR(__xludf.DUMMYFUNCTION("GOOGLETRANSLATE(C716,""fr"",""en"")"),"I am satisfied with the service ... I recommend ... the prices are correct ... very good value for money ... I would talk to me ... thank you ...")</f>
        <v>I am satisfied with the service ... I recommend ... the prices are correct ... very good value for money ... I would talk to me ... thank you ...</v>
      </c>
    </row>
    <row r="717" ht="15.75" customHeight="1">
      <c r="A717" s="2">
        <v>4.0</v>
      </c>
      <c r="B717" s="2" t="s">
        <v>2044</v>
      </c>
      <c r="C717" s="2" t="s">
        <v>2045</v>
      </c>
      <c r="D717" s="2" t="s">
        <v>13</v>
      </c>
      <c r="E717" s="2" t="s">
        <v>14</v>
      </c>
      <c r="F717" s="2" t="s">
        <v>15</v>
      </c>
      <c r="G717" s="2" t="s">
        <v>289</v>
      </c>
      <c r="H717" s="2" t="s">
        <v>52</v>
      </c>
      <c r="I717" s="2" t="str">
        <f>IFERROR(__xludf.DUMMYFUNCTION("GOOGLETRANSLATE(C717,""fr"",""en"")"),"I am satisfied with the service, with little need so far.
The site is easy to use to edit a certificate, or make the payment of my subscription. On the other hand, I take advantage of reporting that I have received the green card twice.")</f>
        <v>I am satisfied with the service, with little need so far.
The site is easy to use to edit a certificate, or make the payment of my subscription. On the other hand, I take advantage of reporting that I have received the green card twice.</v>
      </c>
    </row>
    <row r="718" ht="15.75" customHeight="1">
      <c r="A718" s="2">
        <v>1.0</v>
      </c>
      <c r="B718" s="2" t="s">
        <v>2046</v>
      </c>
      <c r="C718" s="2" t="s">
        <v>2047</v>
      </c>
      <c r="D718" s="2" t="s">
        <v>369</v>
      </c>
      <c r="E718" s="2" t="s">
        <v>35</v>
      </c>
      <c r="F718" s="2" t="s">
        <v>15</v>
      </c>
      <c r="G718" s="2" t="s">
        <v>2048</v>
      </c>
      <c r="H718" s="2" t="s">
        <v>236</v>
      </c>
      <c r="I718" s="2" t="str">
        <f>IFERROR(__xludf.DUMMYFUNCTION("GOOGLETRANSLATE(C718,""fr"",""en"")"),"Very very bad mutual. Very bad reimbursements, we take a long time before we can reach an advisor, the requests take a lot of time before being processed.
In addition, it's been two months since I terminated my contract (having 3 advisers on the phone) b"&amp;"ut I am continued to be paid by telling me that when I terminated I did not specify that I wanted to ""remove"" Options ""(and of course no one told me).
Scandalous .. I have no work, not as if I could afford to give you money")</f>
        <v>Very very bad mutual. Very bad reimbursements, we take a long time before we can reach an advisor, the requests take a lot of time before being processed.
In addition, it's been two months since I terminated my contract (having 3 advisers on the phone) but I am continued to be paid by telling me that when I terminated I did not specify that I wanted to "remove" Options "(and of course no one told me).
Scandalous .. I have no work, not as if I could afford to give you money</v>
      </c>
    </row>
    <row r="719" ht="15.75" customHeight="1">
      <c r="A719" s="2">
        <v>5.0</v>
      </c>
      <c r="B719" s="2" t="s">
        <v>2049</v>
      </c>
      <c r="C719" s="2" t="s">
        <v>2050</v>
      </c>
      <c r="D719" s="2" t="s">
        <v>43</v>
      </c>
      <c r="E719" s="2" t="s">
        <v>14</v>
      </c>
      <c r="F719" s="2" t="s">
        <v>15</v>
      </c>
      <c r="G719" s="2" t="s">
        <v>2051</v>
      </c>
      <c r="H719" s="2" t="s">
        <v>118</v>
      </c>
      <c r="I719" s="2" t="str">
        <f>IFERROR(__xludf.DUMMYFUNCTION("GOOGLETRANSLATE(C719,""fr"",""en"")"),"Very good customer service, quality of services, quality/price ratio, listening, availability, very short waiting time, short commissioning period, responsiveness,")</f>
        <v>Very good customer service, quality of services, quality/price ratio, listening, availability, very short waiting time, short commissioning period, responsiveness,</v>
      </c>
    </row>
    <row r="720" ht="15.75" customHeight="1">
      <c r="A720" s="2">
        <v>1.0</v>
      </c>
      <c r="B720" s="2" t="s">
        <v>2052</v>
      </c>
      <c r="C720" s="2" t="s">
        <v>2053</v>
      </c>
      <c r="D720" s="2" t="s">
        <v>106</v>
      </c>
      <c r="E720" s="2" t="s">
        <v>14</v>
      </c>
      <c r="F720" s="2" t="s">
        <v>15</v>
      </c>
      <c r="G720" s="2" t="s">
        <v>1074</v>
      </c>
      <c r="H720" s="2" t="s">
        <v>197</v>
      </c>
      <c r="I720" s="2" t="str">
        <f>IFERROR(__xludf.DUMMYFUNCTION("GOOGLETRANSLATE(C720,""fr"",""en"")"),"This insurance company is a disaster. They are unreachable. When you finally manage to have someone he tells you exactly the opposite of his colleague. They are slow in the treatment of claims. They send their experts without even giving them the file ..."&amp;" There are few partner garages in my region and it is 6 months of waiting.
I await the reimbursement of a deductible which is not to be claimed to me and I flee.
Insurance imposed in the context of a mortgage obviously ...")</f>
        <v>This insurance company is a disaster. They are unreachable. When you finally manage to have someone he tells you exactly the opposite of his colleague. They are slow in the treatment of claims. They send their experts without even giving them the file ... There are few partner garages in my region and it is 6 months of waiting.
I await the reimbursement of a deductible which is not to be claimed to me and I flee.
Insurance imposed in the context of a mortgage obviously ...</v>
      </c>
    </row>
    <row r="721" ht="15.75" customHeight="1">
      <c r="A721" s="2">
        <v>4.0</v>
      </c>
      <c r="B721" s="2" t="s">
        <v>2054</v>
      </c>
      <c r="C721" s="2" t="s">
        <v>2055</v>
      </c>
      <c r="D721" s="2" t="s">
        <v>13</v>
      </c>
      <c r="E721" s="2" t="s">
        <v>14</v>
      </c>
      <c r="F721" s="2" t="s">
        <v>15</v>
      </c>
      <c r="G721" s="2" t="s">
        <v>2056</v>
      </c>
      <c r="H721" s="2" t="s">
        <v>72</v>
      </c>
      <c r="I721" s="2" t="str">
        <f>IFERROR(__xludf.DUMMYFUNCTION("GOOGLETRANSLATE(C721,""fr"",""en"")"),"I am satisfied with the service
Price quality
Very happy with the contact
Very fast and without any worries
 Quality payment ease
Very fast
")</f>
        <v>I am satisfied with the service
Price quality
Very happy with the contact
Very fast and without any worries
 Quality payment ease
Very fast
</v>
      </c>
    </row>
    <row r="722" ht="15.75" customHeight="1">
      <c r="A722" s="2">
        <v>2.0</v>
      </c>
      <c r="B722" s="2" t="s">
        <v>2057</v>
      </c>
      <c r="C722" s="2" t="s">
        <v>2058</v>
      </c>
      <c r="D722" s="2" t="s">
        <v>19</v>
      </c>
      <c r="E722" s="2" t="s">
        <v>56</v>
      </c>
      <c r="F722" s="2" t="s">
        <v>15</v>
      </c>
      <c r="G722" s="2" t="s">
        <v>2059</v>
      </c>
      <c r="H722" s="2" t="s">
        <v>2060</v>
      </c>
      <c r="I722" s="2" t="str">
        <f>IFERROR(__xludf.DUMMYFUNCTION("GOOGLETRANSLATE(C722,""fr"",""en"")"),"Dear Sir,
I come back to you in the continuity of a situation that escapes me.
Like me, I think you don't like to be insulted, even mistreated, and yet!
I will not deliver to the description of what I see and think of the insurance where we are cer"&amp;"tainly sure of being taken from our contributions from our contributions, the insurance are championships!
September 2018, finally being able to go and have a little motorcycle trip, the latter taking the dust for a few years following health problems,"&amp;" but always guaranteed, even if confined in my garage.
I therefore call the Macif to change protection (guaranteed), of course, the day before departure.
I am asked to have to go to the agency to have the state of my motorcycle noted.
I specify that it"&amp;" is impossible to wait for the office opening, my departure early in the morning is planned to catch a ferry on time.
Faced with my misunderstanding (indeed, it would have been a new vehicle, new or second -hand, I would never have asked me for presentat"&amp;"ion of the vehicle), I propose to present my motorcycle at the office of Saint Raphaël who Find not far from my route, being ready to stop there (note all the same).
It is refused to me under the pretext that it is not a substitution office.
Faced wit"&amp;"h this bad faith, I give up changing the warranty and I go to get some fresh air, after all, this is where the priority resides.")</f>
        <v>Dear Sir,
I come back to you in the continuity of a situation that escapes me.
Like me, I think you don't like to be insulted, even mistreated, and yet!
I will not deliver to the description of what I see and think of the insurance where we are certainly sure of being taken from our contributions from our contributions, the insurance are championships!
September 2018, finally being able to go and have a little motorcycle trip, the latter taking the dust for a few years following health problems, but always guaranteed, even if confined in my garage.
I therefore call the Macif to change protection (guaranteed), of course, the day before departure.
I am asked to have to go to the agency to have the state of my motorcycle noted.
I specify that it is impossible to wait for the office opening, my departure early in the morning is planned to catch a ferry on time.
Faced with my misunderstanding (indeed, it would have been a new vehicle, new or second -hand, I would never have asked me for presentation of the vehicle), I propose to present my motorcycle at the office of Saint Raphaël who Find not far from my route, being ready to stop there (note all the same).
It is refused to me under the pretext that it is not a substitution office.
Faced with this bad faith, I give up changing the warranty and I go to get some fresh air, after all, this is where the priority resides.</v>
      </c>
    </row>
    <row r="723" ht="15.75" customHeight="1">
      <c r="A723" s="2">
        <v>2.0</v>
      </c>
      <c r="B723" s="2" t="s">
        <v>2061</v>
      </c>
      <c r="C723" s="2" t="s">
        <v>2062</v>
      </c>
      <c r="D723" s="2" t="s">
        <v>278</v>
      </c>
      <c r="E723" s="2" t="s">
        <v>85</v>
      </c>
      <c r="F723" s="2" t="s">
        <v>15</v>
      </c>
      <c r="G723" s="2" t="s">
        <v>2063</v>
      </c>
      <c r="H723" s="2" t="s">
        <v>1029</v>
      </c>
      <c r="I723" s="2" t="str">
        <f>IFERROR(__xludf.DUMMYFUNCTION("GOOGLETRANSLATE(C723,""fr"",""en"")"),"insurance to avoid especially if you hope for a refund in the event of a sinister
I have been with them for more than 20 years following an electrical surgery of the certain EDF network of my aircraft have grids I am indemonimizes a misery and moreover I"&amp;" am given the deductible of 150 euros inadmissible")</f>
        <v>insurance to avoid especially if you hope for a refund in the event of a sinister
I have been with them for more than 20 years following an electrical surgery of the certain EDF network of my aircraft have grids I am indemonimizes a misery and moreover I am given the deductible of 150 euros inadmissible</v>
      </c>
    </row>
    <row r="724" ht="15.75" customHeight="1">
      <c r="A724" s="2">
        <v>2.0</v>
      </c>
      <c r="B724" s="2" t="s">
        <v>2064</v>
      </c>
      <c r="C724" s="2" t="s">
        <v>2065</v>
      </c>
      <c r="D724" s="2" t="s">
        <v>308</v>
      </c>
      <c r="E724" s="2" t="s">
        <v>14</v>
      </c>
      <c r="F724" s="2" t="s">
        <v>15</v>
      </c>
      <c r="G724" s="2" t="s">
        <v>2066</v>
      </c>
      <c r="H724" s="2" t="s">
        <v>131</v>
      </c>
      <c r="I724" s="2" t="str">
        <f>IFERROR(__xludf.DUMMYFUNCTION("GOOGLETRANSLATE(C724,""fr"",""en"")"),"In the same situation as Bozz and Zooma77 ... Subscription of insurance by such. June 27. That day I set 3 monthly payments per cb. Since I received a lot of emails indicating that my file had to be complete to obtain a final certificate. Insurance at all"&amp;" parts required but threatens to terminate at the end of the month and keep all the money perceived. The services can be unreachable by such., I have been calling them without success for 10 days ... Today I went on vacation without knowing if next Monday"&amp;" I will be insured! A big hassle after an exhausting year do I would have gone well ...")</f>
        <v>In the same situation as Bozz and Zooma77 ... Subscription of insurance by such. June 27. That day I set 3 monthly payments per cb. Since I received a lot of emails indicating that my file had to be complete to obtain a final certificate. Insurance at all parts required but threatens to terminate at the end of the month and keep all the money perceived. The services can be unreachable by such., I have been calling them without success for 10 days ... Today I went on vacation without knowing if next Monday I will be insured! A big hassle after an exhausting year do I would have gone well ...</v>
      </c>
    </row>
    <row r="725" ht="15.75" customHeight="1">
      <c r="A725" s="2">
        <v>2.0</v>
      </c>
      <c r="B725" s="2" t="s">
        <v>2067</v>
      </c>
      <c r="C725" s="2" t="s">
        <v>2068</v>
      </c>
      <c r="D725" s="2" t="s">
        <v>13</v>
      </c>
      <c r="E725" s="2" t="s">
        <v>14</v>
      </c>
      <c r="F725" s="2" t="s">
        <v>15</v>
      </c>
      <c r="G725" s="2" t="s">
        <v>1165</v>
      </c>
      <c r="H725" s="2" t="s">
        <v>72</v>
      </c>
      <c r="I725" s="2" t="str">
        <f>IFERROR(__xludf.DUMMYFUNCTION("GOOGLETRANSLATE(C725,""fr"",""en"")"),"I am satisfied but it is as even expensive for young drivers but we have always been satisfied in the event of a problem-person that I had on the phone was very professional")</f>
        <v>I am satisfied but it is as even expensive for young drivers but we have always been satisfied in the event of a problem-person that I had on the phone was very professional</v>
      </c>
    </row>
    <row r="726" ht="15.75" customHeight="1">
      <c r="A726" s="2">
        <v>4.0</v>
      </c>
      <c r="B726" s="2" t="s">
        <v>2069</v>
      </c>
      <c r="C726" s="2" t="s">
        <v>2070</v>
      </c>
      <c r="D726" s="2" t="s">
        <v>195</v>
      </c>
      <c r="E726" s="2" t="s">
        <v>25</v>
      </c>
      <c r="F726" s="2" t="s">
        <v>15</v>
      </c>
      <c r="G726" s="2" t="s">
        <v>322</v>
      </c>
      <c r="H726" s="2" t="s">
        <v>52</v>
      </c>
      <c r="I726" s="2" t="str">
        <f>IFERROR(__xludf.DUMMYFUNCTION("GOOGLETRANSLATE(C726,""fr"",""en"")"),"hello, 
Contrary to what we see in negative comments, I am very satisfied with the speed in the processing of my life insurance reimbursement file. My mail with AR was received in their services on 02/15/2021, the transfer on my account was made on 02/03"&amp;". Obviously it is necessary that the file is complete, so follow their requests well it is not so complicated ... I did not receive a letter from them in the meantime, the count should not be long.
For the moment I have work in sight, but thereafter if I"&amp;" have availability, I think I would redo a placement with them.")</f>
        <v>hello, 
Contrary to what we see in negative comments, I am very satisfied with the speed in the processing of my life insurance reimbursement file. My mail with AR was received in their services on 02/15/2021, the transfer on my account was made on 02/03. Obviously it is necessary that the file is complete, so follow their requests well it is not so complicated ... I did not receive a letter from them in the meantime, the count should not be long.
For the moment I have work in sight, but thereafter if I have availability, I think I would redo a placement with them.</v>
      </c>
    </row>
    <row r="727" ht="15.75" customHeight="1">
      <c r="A727" s="2">
        <v>1.0</v>
      </c>
      <c r="B727" s="2" t="s">
        <v>2071</v>
      </c>
      <c r="C727" s="2" t="s">
        <v>2072</v>
      </c>
      <c r="D727" s="2" t="s">
        <v>24</v>
      </c>
      <c r="E727" s="2" t="s">
        <v>112</v>
      </c>
      <c r="F727" s="2" t="s">
        <v>15</v>
      </c>
      <c r="G727" s="2" t="s">
        <v>2073</v>
      </c>
      <c r="H727" s="2" t="s">
        <v>27</v>
      </c>
      <c r="I727" s="2" t="str">
        <f>IFERROR(__xludf.DUMMYFUNCTION("GOOGLETRANSLATE(C727,""fr"",""en"")"),"I am really disappointed and I do not find explanations for the refusal to take care of my Cetelem credit, I am on stop following a work accident I sent all the requested documents as well as the history of my daily allowances, 2 days after refusal of car"&amp;"e! Why do we pay insurance ????")</f>
        <v>I am really disappointed and I do not find explanations for the refusal to take care of my Cetelem credit, I am on stop following a work accident I sent all the requested documents as well as the history of my daily allowances, 2 days after refusal of care! Why do we pay insurance ????</v>
      </c>
    </row>
    <row r="728" ht="15.75" customHeight="1">
      <c r="A728" s="2">
        <v>3.0</v>
      </c>
      <c r="B728" s="2" t="s">
        <v>2074</v>
      </c>
      <c r="C728" s="2" t="s">
        <v>2075</v>
      </c>
      <c r="D728" s="2" t="s">
        <v>13</v>
      </c>
      <c r="E728" s="2" t="s">
        <v>14</v>
      </c>
      <c r="F728" s="2" t="s">
        <v>15</v>
      </c>
      <c r="G728" s="2" t="s">
        <v>1989</v>
      </c>
      <c r="H728" s="2" t="s">
        <v>166</v>
      </c>
      <c r="I728" s="2" t="str">
        <f>IFERROR(__xludf.DUMMYFUNCTION("GOOGLETRANSLATE(C728,""fr"",""en"")"),"I registered for my son, student and minor at the time, residential insurance. From his studio he is now major and autonomous, and it is not easy to change either the owner of the contract, nor the bank details I would have liked more facilities to transf"&amp;"er the contract to its online name.")</f>
        <v>I registered for my son, student and minor at the time, residential insurance. From his studio he is now major and autonomous, and it is not easy to change either the owner of the contract, nor the bank details I would have liked more facilities to transfer the contract to its online name.</v>
      </c>
    </row>
    <row r="729" ht="15.75" customHeight="1">
      <c r="A729" s="2">
        <v>1.0</v>
      </c>
      <c r="B729" s="2" t="s">
        <v>2076</v>
      </c>
      <c r="C729" s="2" t="s">
        <v>2077</v>
      </c>
      <c r="D729" s="2" t="s">
        <v>220</v>
      </c>
      <c r="E729" s="2" t="s">
        <v>35</v>
      </c>
      <c r="F729" s="2" t="s">
        <v>15</v>
      </c>
      <c r="G729" s="2" t="s">
        <v>1336</v>
      </c>
      <c r="H729" s="2" t="s">
        <v>68</v>
      </c>
      <c r="I729" s="2" t="str">
        <f>IFERROR(__xludf.DUMMYFUNCTION("GOOGLETRANSLATE(C729,""fr"",""en"")"),"Without reimbursement for 2 months. The SECU reimburses in 48 hours. Unreachable neither by email, nor by such, nor by mail. Broker with absent subscribers.")</f>
        <v>Without reimbursement for 2 months. The SECU reimburses in 48 hours. Unreachable neither by email, nor by such, nor by mail. Broker with absent subscribers.</v>
      </c>
    </row>
    <row r="730" ht="15.75" customHeight="1">
      <c r="A730" s="2">
        <v>1.0</v>
      </c>
      <c r="B730" s="2" t="s">
        <v>2078</v>
      </c>
      <c r="C730" s="2" t="s">
        <v>2079</v>
      </c>
      <c r="D730" s="2" t="s">
        <v>278</v>
      </c>
      <c r="E730" s="2" t="s">
        <v>85</v>
      </c>
      <c r="F730" s="2" t="s">
        <v>15</v>
      </c>
      <c r="G730" s="2" t="s">
        <v>2080</v>
      </c>
      <c r="H730" s="2" t="s">
        <v>319</v>
      </c>
      <c r="I730" s="2" t="str">
        <f>IFERROR(__xludf.DUMMYFUNCTION("GOOGLETRANSLATE(C730,""fr"",""en"")"),"To absolutely flee two claims and two refusals and no interlocutor, sorry it is the only word that comes out during the meager conversations")</f>
        <v>To absolutely flee two claims and two refusals and no interlocutor, sorry it is the only word that comes out during the meager conversations</v>
      </c>
    </row>
    <row r="731" ht="15.75" customHeight="1">
      <c r="A731" s="2">
        <v>3.0</v>
      </c>
      <c r="B731" s="2" t="s">
        <v>2081</v>
      </c>
      <c r="C731" s="2" t="s">
        <v>2082</v>
      </c>
      <c r="D731" s="2" t="s">
        <v>1060</v>
      </c>
      <c r="E731" s="2" t="s">
        <v>144</v>
      </c>
      <c r="F731" s="2" t="s">
        <v>15</v>
      </c>
      <c r="G731" s="2" t="s">
        <v>2083</v>
      </c>
      <c r="H731" s="2" t="s">
        <v>371</v>
      </c>
      <c r="I731" s="2" t="str">
        <f>IFERROR(__xludf.DUMMYFUNCTION("GOOGLETRANSLATE(C731,""fr"",""en"")"),"More than disappointed!
During the subscription, the responses were rapid and friendly, we are sold a particular advisor which is attached to us.
Outside since I subscribed to Assur O'Poil and announced my dissatisfaction with the care which supposedly "&amp;"was assured reimbursed (email by my advisor). Surprise, I saw my care sheets returned by stipulating a deficiency period of 45 days, while the advisor had by email indicated that for small sores, there were no problems ....
For several emails no news, an"&amp;"d of course, the termination period was exceeded. So I find myself with insurance for 1 year at more than 30 euros and which does not reimburse, does not answer you! Super the argument of the personal advisor !!!!!")</f>
        <v>More than disappointed!
During the subscription, the responses were rapid and friendly, we are sold a particular advisor which is attached to us.
Outside since I subscribed to Assur O'Poil and announced my dissatisfaction with the care which supposedly was assured reimbursed (email by my advisor). Surprise, I saw my care sheets returned by stipulating a deficiency period of 45 days, while the advisor had by email indicated that for small sores, there were no problems ....
For several emails no news, and of course, the termination period was exceeded. So I find myself with insurance for 1 year at more than 30 euros and which does not reimburse, does not answer you! Super the argument of the personal advisor !!!!!</v>
      </c>
    </row>
    <row r="732" ht="15.75" customHeight="1">
      <c r="A732" s="2">
        <v>3.0</v>
      </c>
      <c r="B732" s="2" t="s">
        <v>2084</v>
      </c>
      <c r="C732" s="2" t="s">
        <v>2085</v>
      </c>
      <c r="D732" s="2" t="s">
        <v>129</v>
      </c>
      <c r="E732" s="2" t="s">
        <v>35</v>
      </c>
      <c r="F732" s="2" t="s">
        <v>15</v>
      </c>
      <c r="G732" s="2" t="s">
        <v>1205</v>
      </c>
      <c r="H732" s="2" t="s">
        <v>31</v>
      </c>
      <c r="I732" s="2" t="str">
        <f>IFERROR(__xludf.DUMMYFUNCTION("GOOGLETRANSLATE(C732,""fr"",""en"")"),"Advisers always pleasant on the phone and who meet requests.
Good explanations, a good orientation.
Reactive for sending documents by email or by mail.
Fairly high prices all the same.")</f>
        <v>Advisers always pleasant on the phone and who meet requests.
Good explanations, a good orientation.
Reactive for sending documents by email or by mail.
Fairly high prices all the same.</v>
      </c>
    </row>
    <row r="733" ht="15.75" customHeight="1">
      <c r="A733" s="2">
        <v>1.0</v>
      </c>
      <c r="B733" s="2" t="s">
        <v>2086</v>
      </c>
      <c r="C733" s="2" t="s">
        <v>2087</v>
      </c>
      <c r="D733" s="2" t="s">
        <v>224</v>
      </c>
      <c r="E733" s="2" t="s">
        <v>35</v>
      </c>
      <c r="F733" s="2" t="s">
        <v>15</v>
      </c>
      <c r="G733" s="2" t="s">
        <v>2088</v>
      </c>
      <c r="H733" s="2" t="s">
        <v>580</v>
      </c>
      <c r="I733" s="2" t="str">
        <f>IFERROR(__xludf.DUMMYFUNCTION("GOOGLETRANSLATE(C733,""fr"",""en"")"),"I am trying to terminate my IJH contracts at home for 2 years now contracts which do not cancel themselves with the termination of the mutual and of course people tell us at the signature after the advice of the recommended emails mails I do not arrive St"&amp;"ill not to be terminated either too early or too late 2 days as you have financial difficulties no matter what they increase you they do not even deign to answer me to the emails to know the anniversary to be in the nails")</f>
        <v>I am trying to terminate my IJH contracts at home for 2 years now contracts which do not cancel themselves with the termination of the mutual and of course people tell us at the signature after the advice of the recommended emails mails I do not arrive Still not to be terminated either too early or too late 2 days as you have financial difficulties no matter what they increase you they do not even deign to answer me to the emails to know the anniversary to be in the nails</v>
      </c>
    </row>
    <row r="734" ht="15.75" customHeight="1">
      <c r="A734" s="2">
        <v>5.0</v>
      </c>
      <c r="B734" s="2" t="s">
        <v>2089</v>
      </c>
      <c r="C734" s="2" t="s">
        <v>2090</v>
      </c>
      <c r="D734" s="2" t="s">
        <v>13</v>
      </c>
      <c r="E734" s="2" t="s">
        <v>14</v>
      </c>
      <c r="F734" s="2" t="s">
        <v>15</v>
      </c>
      <c r="G734" s="2" t="s">
        <v>1001</v>
      </c>
      <c r="H734" s="2" t="s">
        <v>272</v>
      </c>
      <c r="I734" s="2" t="str">
        <f>IFERROR(__xludf.DUMMYFUNCTION("GOOGLETRANSLATE(C734,""fr"",""en"")"),"Satisfied with the service
Quality price
Speed
Prices suit me
Fast simple and efficient
Happy with the speed of the Internet service")</f>
        <v>Satisfied with the service
Quality price
Speed
Prices suit me
Fast simple and efficient
Happy with the speed of the Internet service</v>
      </c>
    </row>
    <row r="735" ht="15.75" customHeight="1">
      <c r="A735" s="2">
        <v>1.0</v>
      </c>
      <c r="B735" s="2" t="s">
        <v>2091</v>
      </c>
      <c r="C735" s="2" t="s">
        <v>2092</v>
      </c>
      <c r="D735" s="2" t="s">
        <v>369</v>
      </c>
      <c r="E735" s="2" t="s">
        <v>35</v>
      </c>
      <c r="F735" s="2" t="s">
        <v>15</v>
      </c>
      <c r="G735" s="2" t="s">
        <v>2093</v>
      </c>
      <c r="H735" s="2" t="s">
        <v>213</v>
      </c>
      <c r="I735" s="2" t="str">
        <f>IFERROR(__xludf.DUMMYFUNCTION("GOOGLETRANSLATE(C735,""fr"",""en"")"),"Too bad we can't put less than 1 star !!!
It took me more than a year to have the chance to leave them, they did not respect the insurers' code; I have never managed to be reimbursed for a dental crown, so I never used their service on something else, ha"&amp;"ving the chance to have good health.
Impossible to make them change my sample RIB for also 1 year, on an account that I had to close, so I caught bank charges.
I was however on their premium formula; Customer at home even before they change their names,"&amp;" this insurer is simply a disaster.")</f>
        <v>Too bad we can't put less than 1 star !!!
It took me more than a year to have the chance to leave them, they did not respect the insurers' code; I have never managed to be reimbursed for a dental crown, so I never used their service on something else, having the chance to have good health.
Impossible to make them change my sample RIB for also 1 year, on an account that I had to close, so I caught bank charges.
I was however on their premium formula; Customer at home even before they change their names, this insurer is simply a disaster.</v>
      </c>
    </row>
    <row r="736" ht="15.75" customHeight="1">
      <c r="A736" s="2">
        <v>4.0</v>
      </c>
      <c r="B736" s="2" t="s">
        <v>2094</v>
      </c>
      <c r="C736" s="2" t="s">
        <v>2095</v>
      </c>
      <c r="D736" s="2" t="s">
        <v>55</v>
      </c>
      <c r="E736" s="2" t="s">
        <v>56</v>
      </c>
      <c r="F736" s="2" t="s">
        <v>15</v>
      </c>
      <c r="G736" s="2" t="s">
        <v>811</v>
      </c>
      <c r="H736" s="2" t="s">
        <v>99</v>
      </c>
      <c r="I736" s="2" t="str">
        <f>IFERROR(__xludf.DUMMYFUNCTION("GOOGLETRANSLATE(C736,""fr"",""en"")"),"I have subscribed here because prices suit me. Indeed, I earn around € 26 per month by being insured in all risks while in my other insurance I was at the third party.")</f>
        <v>I have subscribed here because prices suit me. Indeed, I earn around € 26 per month by being insured in all risks while in my other insurance I was at the third party.</v>
      </c>
    </row>
    <row r="737" ht="15.75" customHeight="1">
      <c r="A737" s="2">
        <v>2.0</v>
      </c>
      <c r="B737" s="2" t="s">
        <v>2096</v>
      </c>
      <c r="C737" s="2" t="s">
        <v>2097</v>
      </c>
      <c r="D737" s="2" t="s">
        <v>97</v>
      </c>
      <c r="E737" s="2" t="s">
        <v>56</v>
      </c>
      <c r="F737" s="2" t="s">
        <v>15</v>
      </c>
      <c r="G737" s="2" t="s">
        <v>2098</v>
      </c>
      <c r="H737" s="2" t="s">
        <v>229</v>
      </c>
      <c r="I737" s="2" t="str">
        <f>IFERROR(__xludf.DUMMYFUNCTION("GOOGLETRANSLATE(C737,""fr"",""en"")"),"I am a lamda client I have a sinter on May 30, 2016.
After the observation that I sent my appointment with an expert, an appointment canceled because it is not the sector of Lexpert or was my scooter,
Another appointment with an expert is taken in the g"&amp;"rage, lexpertise and done is no news from Lexpert Pdt two months (Garding costs at my charge 12th per day)
I have to relaunch the expert myself to advance, the expert report rendered I am not responsible for the claim amv tells me that it is necessary to"&amp;" wait for the regulation of the opposing company to compensate you, 0n is the 9 DEC 2016 He say to wait and there is nothing to do,
Frankly pay more expensive but avoided AMV.
Good insurance is to answer this during a sinter and not be bound every month"&amp;".
Resulat no scooter since May requires taking a transport pass and the best of all its is that I am still very payable that the file (m6a13701) is clotuating to resile Chao has ever Amv again")</f>
        <v>I am a lamda client I have a sinter on May 30, 2016.
After the observation that I sent my appointment with an expert, an appointment canceled because it is not the sector of Lexpert or was my scooter,
Another appointment with an expert is taken in the grage, lexpertise and done is no news from Lexpert Pdt two months (Garding costs at my charge 12th per day)
I have to relaunch the expert myself to advance, the expert report rendered I am not responsible for the claim amv tells me that it is necessary to wait for the regulation of the opposing company to compensate you, 0n is the 9 DEC 2016 He say to wait and there is nothing to do,
Frankly pay more expensive but avoided AMV.
Good insurance is to answer this during a sinter and not be bound every month.
Resulat no scooter since May requires taking a transport pass and the best of all its is that I am still very payable that the file (m6a13701) is clotuating to resile Chao has ever Amv again</v>
      </c>
    </row>
    <row r="738" ht="15.75" customHeight="1">
      <c r="A738" s="2">
        <v>5.0</v>
      </c>
      <c r="B738" s="2" t="s">
        <v>2099</v>
      </c>
      <c r="C738" s="2" t="s">
        <v>2100</v>
      </c>
      <c r="D738" s="2" t="s">
        <v>13</v>
      </c>
      <c r="E738" s="2" t="s">
        <v>14</v>
      </c>
      <c r="F738" s="2" t="s">
        <v>15</v>
      </c>
      <c r="G738" s="2" t="s">
        <v>658</v>
      </c>
      <c r="H738" s="2" t="s">
        <v>52</v>
      </c>
      <c r="I738" s="2" t="str">
        <f>IFERROR(__xludf.DUMMYFUNCTION("GOOGLETRANSLATE(C738,""fr"",""en"")"),"I am satisfied thank you for simplicating it for your site for the price it is perfect I would recommend it to my friends for the monthly paiment that well to manage my finances")</f>
        <v>I am satisfied thank you for simplicating it for your site for the price it is perfect I would recommend it to my friends for the monthly paiment that well to manage my finances</v>
      </c>
    </row>
    <row r="739" ht="15.75" customHeight="1">
      <c r="A739" s="2">
        <v>1.0</v>
      </c>
      <c r="B739" s="2" t="s">
        <v>2101</v>
      </c>
      <c r="C739" s="2" t="s">
        <v>2102</v>
      </c>
      <c r="D739" s="2" t="s">
        <v>436</v>
      </c>
      <c r="E739" s="2" t="s">
        <v>25</v>
      </c>
      <c r="F739" s="2" t="s">
        <v>15</v>
      </c>
      <c r="G739" s="2" t="s">
        <v>2103</v>
      </c>
      <c r="H739" s="2" t="s">
        <v>45</v>
      </c>
      <c r="I739" s="2" t="str">
        <f>IFERROR(__xludf.DUMMYFUNCTION("GOOGLETRANSLATE(C739,""fr"",""en"")"),"2 months that I run to make a partial buyout and so far nothing.
He sends me a list of documents by email, I complete and they tell me no it still lacks, to make me run and my situation did not change")</f>
        <v>2 months that I run to make a partial buyout and so far nothing.
He sends me a list of documents by email, I complete and they tell me no it still lacks, to make me run and my situation did not change</v>
      </c>
    </row>
    <row r="740" ht="15.75" customHeight="1">
      <c r="A740" s="2">
        <v>1.0</v>
      </c>
      <c r="B740" s="2" t="s">
        <v>2104</v>
      </c>
      <c r="C740" s="2" t="s">
        <v>2105</v>
      </c>
      <c r="D740" s="2" t="s">
        <v>352</v>
      </c>
      <c r="E740" s="2" t="s">
        <v>85</v>
      </c>
      <c r="F740" s="2" t="s">
        <v>15</v>
      </c>
      <c r="G740" s="2" t="s">
        <v>2106</v>
      </c>
      <c r="H740" s="2" t="s">
        <v>197</v>
      </c>
      <c r="I740" s="2" t="str">
        <f>IFERROR(__xludf.DUMMYFUNCTION("GOOGLETRANSLATE(C740,""fr"",""en"")"),"Poor quality telephone service. You can be returned from service to service for hours.
Nonexistent and not kind legal service.
Very good when you don't need them. For the rest to be avoided or expect disappointments.")</f>
        <v>Poor quality telephone service. You can be returned from service to service for hours.
Nonexistent and not kind legal service.
Very good when you don't need them. For the rest to be avoided or expect disappointments.</v>
      </c>
    </row>
    <row r="741" ht="15.75" customHeight="1">
      <c r="A741" s="2">
        <v>5.0</v>
      </c>
      <c r="B741" s="2" t="s">
        <v>2107</v>
      </c>
      <c r="C741" s="2" t="s">
        <v>2108</v>
      </c>
      <c r="D741" s="2" t="s">
        <v>43</v>
      </c>
      <c r="E741" s="2" t="s">
        <v>14</v>
      </c>
      <c r="F741" s="2" t="s">
        <v>15</v>
      </c>
      <c r="G741" s="2" t="s">
        <v>1624</v>
      </c>
      <c r="H741" s="2" t="s">
        <v>166</v>
      </c>
      <c r="I741" s="2" t="str">
        <f>IFERROR(__xludf.DUMMYFUNCTION("GOOGLETRANSLATE(C741,""fr"",""en"")"),"Satisfied with the affordable price is very fast telephone services is effective I recommend the olive tree for any type of quick quote vehicle")</f>
        <v>Satisfied with the affordable price is very fast telephone services is effective I recommend the olive tree for any type of quick quote vehicle</v>
      </c>
    </row>
    <row r="742" ht="15.75" customHeight="1">
      <c r="A742" s="2">
        <v>3.0</v>
      </c>
      <c r="B742" s="2" t="s">
        <v>2109</v>
      </c>
      <c r="C742" s="2" t="s">
        <v>2110</v>
      </c>
      <c r="D742" s="2" t="s">
        <v>34</v>
      </c>
      <c r="E742" s="2" t="s">
        <v>35</v>
      </c>
      <c r="F742" s="2" t="s">
        <v>15</v>
      </c>
      <c r="G742" s="2" t="s">
        <v>1915</v>
      </c>
      <c r="H742" s="2" t="s">
        <v>422</v>
      </c>
      <c r="I742" s="2" t="str">
        <f>IFERROR(__xludf.DUMMYFUNCTION("GOOGLETRANSLATE(C742,""fr"",""en"")"),"Very good information during communications and customer requests. We direct very well to insurance.")</f>
        <v>Very good information during communications and customer requests. We direct very well to insurance.</v>
      </c>
    </row>
    <row r="743" ht="15.75" customHeight="1">
      <c r="A743" s="2">
        <v>1.0</v>
      </c>
      <c r="B743" s="2" t="s">
        <v>2111</v>
      </c>
      <c r="C743" s="2" t="s">
        <v>2112</v>
      </c>
      <c r="D743" s="2" t="s">
        <v>97</v>
      </c>
      <c r="E743" s="2" t="s">
        <v>56</v>
      </c>
      <c r="F743" s="2" t="s">
        <v>15</v>
      </c>
      <c r="G743" s="2" t="s">
        <v>2113</v>
      </c>
      <c r="H743" s="2" t="s">
        <v>197</v>
      </c>
      <c r="I743" s="2" t="str">
        <f>IFERROR(__xludf.DUMMYFUNCTION("GOOGLETRANSLATE(C743,""fr"",""en"")"),"I have been a customer for more than 6 years at AMV for my motorcycle without any claim I am 51 years old and 0.50 of bonuses for more than 7 years.
I just changed motorbikes and after an exorbitant quote I decided to change insurer
They put battons in "&amp;"the veiled wheels to make me pay even more than 6 months when I have changed insurer.
Real !!! They will better take care of their customers properly and practice reasonable prices instead of spending their money in advertising.
this insurance and to fl"&amp;"ee to terminate your contracts.
I am now at Ensureo and they are very good with good prices and very good warranty.")</f>
        <v>I have been a customer for more than 6 years at AMV for my motorcycle without any claim I am 51 years old and 0.50 of bonuses for more than 7 years.
I just changed motorbikes and after an exorbitant quote I decided to change insurer
They put battons in the veiled wheels to make me pay even more than 6 months when I have changed insurer.
Real !!! They will better take care of their customers properly and practice reasonable prices instead of spending their money in advertising.
this insurance and to flee to terminate your contracts.
I am now at Ensureo and they are very good with good prices and very good warranty.</v>
      </c>
    </row>
    <row r="744" ht="15.75" customHeight="1">
      <c r="A744" s="2">
        <v>2.0</v>
      </c>
      <c r="B744" s="2" t="s">
        <v>2114</v>
      </c>
      <c r="C744" s="2" t="s">
        <v>2115</v>
      </c>
      <c r="D744" s="2" t="s">
        <v>156</v>
      </c>
      <c r="E744" s="2" t="s">
        <v>14</v>
      </c>
      <c r="F744" s="2" t="s">
        <v>15</v>
      </c>
      <c r="G744" s="2" t="s">
        <v>2116</v>
      </c>
      <c r="H744" s="2" t="s">
        <v>495</v>
      </c>
      <c r="I744" s="2" t="str">
        <f>IFERROR(__xludf.DUMMYFUNCTION("GOOGLETRANSLATE(C744,""fr"",""en"")"),"Regarding not increased for 2020 false, I have a 1.89th increase on auto + 17.75th on total housing my ass: 28.20th in + for 2020 with 50% bonuses.")</f>
        <v>Regarding not increased for 2020 false, I have a 1.89th increase on auto + 17.75th on total housing my ass: 28.20th in + for 2020 with 50% bonuses.</v>
      </c>
    </row>
    <row r="745" ht="15.75" customHeight="1">
      <c r="A745" s="2">
        <v>4.0</v>
      </c>
      <c r="B745" s="2" t="s">
        <v>2117</v>
      </c>
      <c r="C745" s="2" t="s">
        <v>2118</v>
      </c>
      <c r="D745" s="2" t="s">
        <v>13</v>
      </c>
      <c r="E745" s="2" t="s">
        <v>14</v>
      </c>
      <c r="F745" s="2" t="s">
        <v>15</v>
      </c>
      <c r="G745" s="2" t="s">
        <v>401</v>
      </c>
      <c r="H745" s="2" t="s">
        <v>99</v>
      </c>
      <c r="I745" s="2" t="str">
        <f>IFERROR(__xludf.DUMMYFUNCTION("GOOGLETRANSLATE(C745,""fr"",""en"")"),"2 vehicle contracts and 2 housing contracts at home, I haven't had any concern at home since 2013, satisfied overall!
Only downside, a pity that we have to take the full pack to be able to have 0km assistance, without it being an option without a pack.")</f>
        <v>2 vehicle contracts and 2 housing contracts at home, I haven't had any concern at home since 2013, satisfied overall!
Only downside, a pity that we have to take the full pack to be able to have 0km assistance, without it being an option without a pack.</v>
      </c>
    </row>
    <row r="746" ht="15.75" customHeight="1">
      <c r="A746" s="2">
        <v>5.0</v>
      </c>
      <c r="B746" s="2" t="s">
        <v>2119</v>
      </c>
      <c r="C746" s="2" t="s">
        <v>2120</v>
      </c>
      <c r="D746" s="2" t="s">
        <v>13</v>
      </c>
      <c r="E746" s="2" t="s">
        <v>14</v>
      </c>
      <c r="F746" s="2" t="s">
        <v>15</v>
      </c>
      <c r="G746" s="2" t="s">
        <v>1667</v>
      </c>
      <c r="H746" s="2" t="s">
        <v>166</v>
      </c>
      <c r="I746" s="2" t="str">
        <f>IFERROR(__xludf.DUMMYFUNCTION("GOOGLETRANSLATE(C746,""fr"",""en"")"),"All services and services are correct.
The prices are attractive.
The troubleshooting service is effective
Requests are quickly processed")</f>
        <v>All services and services are correct.
The prices are attractive.
The troubleshooting service is effective
Requests are quickly processed</v>
      </c>
    </row>
    <row r="747" ht="15.75" customHeight="1">
      <c r="A747" s="2">
        <v>4.0</v>
      </c>
      <c r="B747" s="2" t="s">
        <v>2121</v>
      </c>
      <c r="C747" s="2" t="s">
        <v>2122</v>
      </c>
      <c r="D747" s="2" t="s">
        <v>43</v>
      </c>
      <c r="E747" s="2" t="s">
        <v>14</v>
      </c>
      <c r="F747" s="2" t="s">
        <v>15</v>
      </c>
      <c r="G747" s="2" t="s">
        <v>138</v>
      </c>
      <c r="H747" s="2" t="s">
        <v>72</v>
      </c>
      <c r="I747" s="2" t="str">
        <f>IFERROR(__xludf.DUMMYFUNCTION("GOOGLETRANSLATE(C747,""fr"",""en"")"),"I am happy with the price and the people I could have on the phone I would recommend in my entourage because guaranteed and very attractive prices")</f>
        <v>I am happy with the price and the people I could have on the phone I would recommend in my entourage because guaranteed and very attractive prices</v>
      </c>
    </row>
    <row r="748" ht="15.75" customHeight="1">
      <c r="A748" s="2">
        <v>2.0</v>
      </c>
      <c r="B748" s="2" t="s">
        <v>2123</v>
      </c>
      <c r="C748" s="2" t="s">
        <v>2124</v>
      </c>
      <c r="D748" s="2" t="s">
        <v>13</v>
      </c>
      <c r="E748" s="2" t="s">
        <v>14</v>
      </c>
      <c r="F748" s="2" t="s">
        <v>15</v>
      </c>
      <c r="G748" s="2" t="s">
        <v>2125</v>
      </c>
      <c r="H748" s="2" t="s">
        <v>52</v>
      </c>
      <c r="I748" s="2" t="str">
        <f>IFERROR(__xludf.DUMMYFUNCTION("GOOGLETRANSLATE(C748,""fr"",""en"")"),"I am not satisfied with the response you gave to my email, concerning my request for a reduction in automatic maturity,, dated March 9 and therefore I point out that I plan to change insurance and I do not will certainly pay the next deadlines at home!")</f>
        <v>I am not satisfied with the response you gave to my email, concerning my request for a reduction in automatic maturity,, dated March 9 and therefore I point out that I plan to change insurance and I do not will certainly pay the next deadlines at home!</v>
      </c>
    </row>
    <row r="749" ht="15.75" customHeight="1">
      <c r="A749" s="2">
        <v>2.0</v>
      </c>
      <c r="B749" s="2" t="s">
        <v>2126</v>
      </c>
      <c r="C749" s="2" t="s">
        <v>2127</v>
      </c>
      <c r="D749" s="2" t="s">
        <v>13</v>
      </c>
      <c r="E749" s="2" t="s">
        <v>14</v>
      </c>
      <c r="F749" s="2" t="s">
        <v>15</v>
      </c>
      <c r="G749" s="2" t="s">
        <v>917</v>
      </c>
      <c r="H749" s="2" t="s">
        <v>68</v>
      </c>
      <c r="I749" s="2" t="str">
        <f>IFERROR(__xludf.DUMMYFUNCTION("GOOGLETRANSLATE(C749,""fr"",""en"")"),"Und satisfied, zero customer service. Commercial proposition not kept.
More than a month to have an answer which does not correspond to my request.
Best regards")</f>
        <v>Und satisfied, zero customer service. Commercial proposition not kept.
More than a month to have an answer which does not correspond to my request.
Best regards</v>
      </c>
    </row>
    <row r="750" ht="15.75" customHeight="1">
      <c r="A750" s="2">
        <v>2.0</v>
      </c>
      <c r="B750" s="2" t="s">
        <v>2128</v>
      </c>
      <c r="C750" s="2" t="s">
        <v>2129</v>
      </c>
      <c r="D750" s="2" t="s">
        <v>13</v>
      </c>
      <c r="E750" s="2" t="s">
        <v>14</v>
      </c>
      <c r="F750" s="2" t="s">
        <v>15</v>
      </c>
      <c r="G750" s="2" t="s">
        <v>130</v>
      </c>
      <c r="H750" s="2" t="s">
        <v>131</v>
      </c>
      <c r="I750" s="2" t="str">
        <f>IFERROR(__xludf.DUMMYFUNCTION("GOOGLETRANSLATE(C750,""fr"",""en"")"),"Too expensive, I had 0 victims and I only pay 100 € less than the previous year. It is nonsense.")</f>
        <v>Too expensive, I had 0 victims and I only pay 100 € less than the previous year. It is nonsense.</v>
      </c>
    </row>
    <row r="751" ht="15.75" customHeight="1">
      <c r="A751" s="2">
        <v>3.0</v>
      </c>
      <c r="B751" s="2" t="s">
        <v>2130</v>
      </c>
      <c r="C751" s="2" t="s">
        <v>2131</v>
      </c>
      <c r="D751" s="2" t="s">
        <v>13</v>
      </c>
      <c r="E751" s="2" t="s">
        <v>14</v>
      </c>
      <c r="F751" s="2" t="s">
        <v>15</v>
      </c>
      <c r="G751" s="2" t="s">
        <v>2132</v>
      </c>
      <c r="H751" s="2" t="s">
        <v>131</v>
      </c>
      <c r="I751" s="2" t="str">
        <f>IFERROR(__xludf.DUMMYFUNCTION("GOOGLETRANSLATE(C751,""fr"",""en"")"),"Satisfied with the prices offered by Direct Assurances
The driver and vehicle warranty seems to be appropriate in my case.")</f>
        <v>Satisfied with the prices offered by Direct Assurances
The driver and vehicle warranty seems to be appropriate in my case.</v>
      </c>
    </row>
    <row r="752" ht="15.75" customHeight="1">
      <c r="A752" s="2">
        <v>1.0</v>
      </c>
      <c r="B752" s="2" t="s">
        <v>2133</v>
      </c>
      <c r="C752" s="2" t="s">
        <v>2134</v>
      </c>
      <c r="D752" s="2" t="s">
        <v>116</v>
      </c>
      <c r="E752" s="2" t="s">
        <v>35</v>
      </c>
      <c r="F752" s="2" t="s">
        <v>15</v>
      </c>
      <c r="G752" s="2" t="s">
        <v>2135</v>
      </c>
      <c r="H752" s="2" t="s">
        <v>721</v>
      </c>
      <c r="I752" s="2" t="str">
        <f>IFERROR(__xludf.DUMMYFUNCTION("GOOGLETRANSLATE(C752,""fr"",""en"")"),"I have been waiting for an optical refund since April 13, 2018 today May 25, 2018 Nothing, even after several calls, the latest news he does not find my file")</f>
        <v>I have been waiting for an optical refund since April 13, 2018 today May 25, 2018 Nothing, even after several calls, the latest news he does not find my file</v>
      </c>
    </row>
    <row r="753" ht="15.75" customHeight="1">
      <c r="A753" s="2">
        <v>5.0</v>
      </c>
      <c r="B753" s="2" t="s">
        <v>2136</v>
      </c>
      <c r="C753" s="2" t="s">
        <v>2137</v>
      </c>
      <c r="D753" s="2" t="s">
        <v>43</v>
      </c>
      <c r="E753" s="2" t="s">
        <v>14</v>
      </c>
      <c r="F753" s="2" t="s">
        <v>15</v>
      </c>
      <c r="G753" s="2" t="s">
        <v>856</v>
      </c>
      <c r="H753" s="2" t="s">
        <v>72</v>
      </c>
      <c r="I753" s="2" t="str">
        <f>IFERROR(__xludf.DUMMYFUNCTION("GOOGLETRANSLATE(C753,""fr"",""en"")"),"I am fully satisfied with the price practiced and the reception of advisers as well as the information which has been given to me the website is very easy to use and very fast")</f>
        <v>I am fully satisfied with the price practiced and the reception of advisers as well as the information which has been given to me the website is very easy to use and very fast</v>
      </c>
    </row>
    <row r="754" ht="15.75" customHeight="1">
      <c r="A754" s="2">
        <v>2.0</v>
      </c>
      <c r="B754" s="2" t="s">
        <v>2138</v>
      </c>
      <c r="C754" s="2" t="s">
        <v>2139</v>
      </c>
      <c r="D754" s="2" t="s">
        <v>13</v>
      </c>
      <c r="E754" s="2" t="s">
        <v>14</v>
      </c>
      <c r="F754" s="2" t="s">
        <v>15</v>
      </c>
      <c r="G754" s="2" t="s">
        <v>2140</v>
      </c>
      <c r="H754" s="2" t="s">
        <v>131</v>
      </c>
      <c r="I754" s="2" t="str">
        <f>IFERROR(__xludf.DUMMYFUNCTION("GOOGLETRANSLATE(C754,""fr"",""en"")"),"I am satisfied with the service and the price suits me and concerning insurance to be able to start insurance and be insured and the service suits me properly")</f>
        <v>I am satisfied with the service and the price suits me and concerning insurance to be able to start insurance and be insured and the service suits me properly</v>
      </c>
    </row>
    <row r="755" ht="15.75" customHeight="1">
      <c r="A755" s="2">
        <v>3.0</v>
      </c>
      <c r="B755" s="2" t="s">
        <v>2141</v>
      </c>
      <c r="C755" s="2" t="s">
        <v>2142</v>
      </c>
      <c r="D755" s="2" t="s">
        <v>129</v>
      </c>
      <c r="E755" s="2" t="s">
        <v>35</v>
      </c>
      <c r="F755" s="2" t="s">
        <v>15</v>
      </c>
      <c r="G755" s="2" t="s">
        <v>1722</v>
      </c>
      <c r="H755" s="2" t="s">
        <v>272</v>
      </c>
      <c r="I755" s="2" t="str">
        <f>IFERROR(__xludf.DUMMYFUNCTION("GOOGLETRANSLATE(C755,""fr"",""en"")"),"When I am asked how much I pay a mutual and say 286 € per month, I am not believed, but it is reality.
€ 3,432 per year, I think it's high.
Thank you
In addition, since 06/29/2021 you have received the requested documents concerning the end of my mortg"&amp;"age therefore of my insurance.
To date, the file is not processed and the levy has been taken (look for the error)
Thank you for taking care of it favorably.
Thank you")</f>
        <v>When I am asked how much I pay a mutual and say 286 € per month, I am not believed, but it is reality.
€ 3,432 per year, I think it's high.
Thank you
In addition, since 06/29/2021 you have received the requested documents concerning the end of my mortgage therefore of my insurance.
To date, the file is not processed and the levy has been taken (look for the error)
Thank you for taking care of it favorably.
Thank you</v>
      </c>
    </row>
    <row r="756" ht="15.75" customHeight="1">
      <c r="A756" s="2">
        <v>1.0</v>
      </c>
      <c r="B756" s="2" t="s">
        <v>2143</v>
      </c>
      <c r="C756" s="2" t="s">
        <v>2144</v>
      </c>
      <c r="D756" s="2" t="s">
        <v>207</v>
      </c>
      <c r="E756" s="2" t="s">
        <v>35</v>
      </c>
      <c r="F756" s="2" t="s">
        <v>15</v>
      </c>
      <c r="G756" s="2" t="s">
        <v>2145</v>
      </c>
      <c r="H756" s="2" t="s">
        <v>580</v>
      </c>
      <c r="I756" s="2" t="str">
        <f>IFERROR(__xludf.DUMMYFUNCTION("GOOGLETRANSLATE(C756,""fr"",""en"")"),"I do not recommend this mutual. Dear and unreachable Suasi customer service. It automatically eaches every4 minutes of the big one when the waiting time is estimated at more than 5 minutes")</f>
        <v>I do not recommend this mutual. Dear and unreachable Suasi customer service. It automatically eaches every4 minutes of the big one when the waiting time is estimated at more than 5 minutes</v>
      </c>
    </row>
    <row r="757" ht="15.75" customHeight="1">
      <c r="A757" s="2">
        <v>5.0</v>
      </c>
      <c r="B757" s="2" t="s">
        <v>2146</v>
      </c>
      <c r="C757" s="2" t="s">
        <v>2147</v>
      </c>
      <c r="D757" s="2" t="s">
        <v>43</v>
      </c>
      <c r="E757" s="2" t="s">
        <v>14</v>
      </c>
      <c r="F757" s="2" t="s">
        <v>15</v>
      </c>
      <c r="G757" s="2" t="s">
        <v>1108</v>
      </c>
      <c r="H757" s="2" t="s">
        <v>192</v>
      </c>
      <c r="I757" s="2" t="str">
        <f>IFERROR(__xludf.DUMMYFUNCTION("GOOGLETRANSLATE(C757,""fr"",""en"")"),"I am satisfied with the service and the advice. Complete support and good care.
Fast and efficient, customer service is very attentive to your needs.")</f>
        <v>I am satisfied with the service and the advice. Complete support and good care.
Fast and efficient, customer service is very attentive to your needs.</v>
      </c>
    </row>
    <row r="758" ht="15.75" customHeight="1">
      <c r="A758" s="2">
        <v>2.0</v>
      </c>
      <c r="B758" s="2" t="s">
        <v>2148</v>
      </c>
      <c r="C758" s="2" t="s">
        <v>2149</v>
      </c>
      <c r="D758" s="2" t="s">
        <v>278</v>
      </c>
      <c r="E758" s="2" t="s">
        <v>14</v>
      </c>
      <c r="F758" s="2" t="s">
        <v>15</v>
      </c>
      <c r="G758" s="2" t="s">
        <v>30</v>
      </c>
      <c r="H758" s="2" t="s">
        <v>31</v>
      </c>
      <c r="I758" s="2" t="str">
        <f>IFERROR(__xludf.DUMMYFUNCTION("GOOGLETRANSLATE(C758,""fr"",""en"")"),"No precaution to terminate contracts even if the member is in no way responsible for claims. After more than 30 years with the same insurer, this is how we are thanked ...")</f>
        <v>No precaution to terminate contracts even if the member is in no way responsible for claims. After more than 30 years with the same insurer, this is how we are thanked ...</v>
      </c>
    </row>
    <row r="759" ht="15.75" customHeight="1">
      <c r="A759" s="2">
        <v>5.0</v>
      </c>
      <c r="B759" s="2" t="s">
        <v>2150</v>
      </c>
      <c r="C759" s="2" t="s">
        <v>2151</v>
      </c>
      <c r="D759" s="2" t="s">
        <v>43</v>
      </c>
      <c r="E759" s="2" t="s">
        <v>14</v>
      </c>
      <c r="F759" s="2" t="s">
        <v>15</v>
      </c>
      <c r="G759" s="2" t="s">
        <v>1568</v>
      </c>
      <c r="H759" s="2" t="s">
        <v>192</v>
      </c>
      <c r="I759" s="2" t="str">
        <f>IFERROR(__xludf.DUMMYFUNCTION("GOOGLETRANSLATE(C759,""fr"",""en"")"),"Perfect apart from the weekend the train site otherwise everything is ok ?????????? everything rolls apart from your site the galley I will give the rest of my opinion if nothing happens to me ??")</f>
        <v>Perfect apart from the weekend the train site otherwise everything is ok ?????????? everything rolls apart from your site the galley I will give the rest of my opinion if nothing happens to me ??</v>
      </c>
    </row>
    <row r="760" ht="15.75" customHeight="1">
      <c r="A760" s="2">
        <v>4.0</v>
      </c>
      <c r="B760" s="2" t="s">
        <v>2152</v>
      </c>
      <c r="C760" s="2" t="s">
        <v>2153</v>
      </c>
      <c r="D760" s="2" t="s">
        <v>13</v>
      </c>
      <c r="E760" s="2" t="s">
        <v>14</v>
      </c>
      <c r="F760" s="2" t="s">
        <v>15</v>
      </c>
      <c r="G760" s="2" t="s">
        <v>1129</v>
      </c>
      <c r="H760" s="2" t="s">
        <v>72</v>
      </c>
      <c r="I760" s="2" t="str">
        <f>IFERROR(__xludf.DUMMYFUNCTION("GOOGLETRANSLATE(C760,""fr"",""en"")"),"The price suits me, I'm waiting to see the responsiveness of customer service, the ease of reaching them and their efficiency in the event of a breakdown or a claim with my vehicle")</f>
        <v>The price suits me, I'm waiting to see the responsiveness of customer service, the ease of reaching them and their efficiency in the event of a breakdown or a claim with my vehicle</v>
      </c>
    </row>
    <row r="761" ht="15.75" customHeight="1">
      <c r="A761" s="2">
        <v>1.0</v>
      </c>
      <c r="B761" s="2" t="s">
        <v>2154</v>
      </c>
      <c r="C761" s="2" t="s">
        <v>2155</v>
      </c>
      <c r="D761" s="2" t="s">
        <v>43</v>
      </c>
      <c r="E761" s="2" t="s">
        <v>14</v>
      </c>
      <c r="F761" s="2" t="s">
        <v>15</v>
      </c>
      <c r="G761" s="2" t="s">
        <v>2156</v>
      </c>
      <c r="H761" s="2" t="s">
        <v>580</v>
      </c>
      <c r="I761" s="2" t="str">
        <f>IFERROR(__xludf.DUMMYFUNCTION("GOOGLETRANSLATE(C761,""fr"",""en"")"),"Unable to manage a sinister liars who wishes bourds on bourdes I really say !!!!!!!!!")</f>
        <v>Unable to manage a sinister liars who wishes bourds on bourdes I really say !!!!!!!!!</v>
      </c>
    </row>
    <row r="762" ht="15.75" customHeight="1">
      <c r="A762" s="2">
        <v>4.0</v>
      </c>
      <c r="B762" s="2" t="s">
        <v>2157</v>
      </c>
      <c r="C762" s="2" t="s">
        <v>2158</v>
      </c>
      <c r="D762" s="2" t="s">
        <v>224</v>
      </c>
      <c r="E762" s="2" t="s">
        <v>35</v>
      </c>
      <c r="F762" s="2" t="s">
        <v>15</v>
      </c>
      <c r="G762" s="2" t="s">
        <v>686</v>
      </c>
      <c r="H762" s="2" t="s">
        <v>72</v>
      </c>
      <c r="I762" s="2" t="str">
        <f>IFERROR(__xludf.DUMMYFUNCTION("GOOGLETRANSLATE(C762,""fr"",""en"")"),"Hello, I am satisfied with my telephone conversation this morning with Daouda your Neoliane interlocutor who was kind and attentive! ... He informed me about the reimbursement of a turban box (chemo cups). .. next time: I would like to deal with him for h"&amp;"is competence !!!")</f>
        <v>Hello, I am satisfied with my telephone conversation this morning with Daouda your Neoliane interlocutor who was kind and attentive! ... He informed me about the reimbursement of a turban box (chemo cups). .. next time: I would like to deal with him for his competence !!!</v>
      </c>
    </row>
    <row r="763" ht="15.75" customHeight="1">
      <c r="A763" s="2">
        <v>4.0</v>
      </c>
      <c r="B763" s="2" t="s">
        <v>2159</v>
      </c>
      <c r="C763" s="2" t="s">
        <v>2160</v>
      </c>
      <c r="D763" s="2" t="s">
        <v>43</v>
      </c>
      <c r="E763" s="2" t="s">
        <v>14</v>
      </c>
      <c r="F763" s="2" t="s">
        <v>15</v>
      </c>
      <c r="G763" s="2" t="s">
        <v>1215</v>
      </c>
      <c r="H763" s="2" t="s">
        <v>68</v>
      </c>
      <c r="I763" s="2" t="str">
        <f>IFERROR(__xludf.DUMMYFUNCTION("GOOGLETRANSLATE(C763,""fr"",""en"")"),"Simple and practical, pleasant service with an impatable price. I highly recommend for people who have just bought their first vehicles!")</f>
        <v>Simple and practical, pleasant service with an impatable price. I highly recommend for people who have just bought their first vehicles!</v>
      </c>
    </row>
    <row r="764" ht="15.75" customHeight="1">
      <c r="A764" s="2">
        <v>3.0</v>
      </c>
      <c r="B764" s="2" t="s">
        <v>2161</v>
      </c>
      <c r="C764" s="2" t="s">
        <v>2162</v>
      </c>
      <c r="D764" s="2" t="s">
        <v>13</v>
      </c>
      <c r="E764" s="2" t="s">
        <v>14</v>
      </c>
      <c r="F764" s="2" t="s">
        <v>15</v>
      </c>
      <c r="G764" s="2" t="s">
        <v>289</v>
      </c>
      <c r="H764" s="2" t="s">
        <v>52</v>
      </c>
      <c r="I764" s="2" t="str">
        <f>IFERROR(__xludf.DUMMYFUNCTION("GOOGLETRANSLATE(C764,""fr"",""en"")"),"Even without sinister the subscription increases ...
This is the 2nd time in 2 years.
I'm going to start looking elsewhere.
For the rest, nothing to complain about.")</f>
        <v>Even without sinister the subscription increases ...
This is the 2nd time in 2 years.
I'm going to start looking elsewhere.
For the rest, nothing to complain about.</v>
      </c>
    </row>
    <row r="765" ht="15.75" customHeight="1">
      <c r="A765" s="2">
        <v>2.0</v>
      </c>
      <c r="B765" s="2" t="s">
        <v>2163</v>
      </c>
      <c r="C765" s="2" t="s">
        <v>2164</v>
      </c>
      <c r="D765" s="2" t="s">
        <v>13</v>
      </c>
      <c r="E765" s="2" t="s">
        <v>14</v>
      </c>
      <c r="F765" s="2" t="s">
        <v>15</v>
      </c>
      <c r="G765" s="2" t="s">
        <v>901</v>
      </c>
      <c r="H765" s="2" t="s">
        <v>99</v>
      </c>
      <c r="I765" s="2" t="str">
        <f>IFERROR(__xludf.DUMMYFUNCTION("GOOGLETRANSLATE(C765,""fr"",""en"")"),"I am satisfied with the Direct Insurance Service
Welcome telephone
Fast and effective
I was sponsored by a friend hoping to benefit from the discount")</f>
        <v>I am satisfied with the Direct Insurance Service
Welcome telephone
Fast and effective
I was sponsored by a friend hoping to benefit from the discount</v>
      </c>
    </row>
    <row r="766" ht="15.75" customHeight="1">
      <c r="A766" s="2">
        <v>1.0</v>
      </c>
      <c r="B766" s="2" t="s">
        <v>2165</v>
      </c>
      <c r="C766" s="2" t="s">
        <v>2166</v>
      </c>
      <c r="D766" s="2" t="s">
        <v>308</v>
      </c>
      <c r="E766" s="2" t="s">
        <v>14</v>
      </c>
      <c r="F766" s="2" t="s">
        <v>15</v>
      </c>
      <c r="G766" s="2" t="s">
        <v>550</v>
      </c>
      <c r="H766" s="2" t="s">
        <v>52</v>
      </c>
      <c r="I766" s="2" t="str">
        <f>IFERROR(__xludf.DUMMYFUNCTION("GOOGLETRANSLATE(C766,""fr"",""en"")"),"I am assured at E Allianz for my main vehicle. Having to provide a vintage car with a specialized insurer, I try to obtain an information statement. I have no answer after 4 requests. In addition, there is no way to reach them by phone. I shudder that I h"&amp;"ave been assured for 4 years with an insurer that there is no way to join and who does not respond.
The price may be low but having regard to the service rendered it is exorbitant!")</f>
        <v>I am assured at E Allianz for my main vehicle. Having to provide a vintage car with a specialized insurer, I try to obtain an information statement. I have no answer after 4 requests. In addition, there is no way to reach them by phone. I shudder that I have been assured for 4 years with an insurer that there is no way to join and who does not respond.
The price may be low but having regard to the service rendered it is exorbitant!</v>
      </c>
    </row>
    <row r="767" ht="15.75" customHeight="1">
      <c r="A767" s="2">
        <v>1.0</v>
      </c>
      <c r="B767" s="2" t="s">
        <v>2167</v>
      </c>
      <c r="C767" s="2" t="s">
        <v>2168</v>
      </c>
      <c r="D767" s="2" t="s">
        <v>392</v>
      </c>
      <c r="E767" s="2" t="s">
        <v>317</v>
      </c>
      <c r="F767" s="2" t="s">
        <v>15</v>
      </c>
      <c r="G767" s="2" t="s">
        <v>2169</v>
      </c>
      <c r="H767" s="2" t="s">
        <v>16</v>
      </c>
      <c r="I767" s="2" t="str">
        <f>IFERROR(__xludf.DUMMYFUNCTION("GOOGLETRANSLATE(C767,""fr"",""en"")"),"Unable to work for 4 months therefore right to 1 month of rent per real estate CNP for 3 months still nothing !!!!!! to flee, I stop my provident insurance.")</f>
        <v>Unable to work for 4 months therefore right to 1 month of rent per real estate CNP for 3 months still nothing !!!!!! to flee, I stop my provident insurance.</v>
      </c>
    </row>
    <row r="768" ht="15.75" customHeight="1">
      <c r="A768" s="2">
        <v>3.0</v>
      </c>
      <c r="B768" s="2" t="s">
        <v>2170</v>
      </c>
      <c r="C768" s="2" t="s">
        <v>2171</v>
      </c>
      <c r="D768" s="2" t="s">
        <v>43</v>
      </c>
      <c r="E768" s="2" t="s">
        <v>14</v>
      </c>
      <c r="F768" s="2" t="s">
        <v>15</v>
      </c>
      <c r="G768" s="2" t="s">
        <v>1336</v>
      </c>
      <c r="H768" s="2" t="s">
        <v>68</v>
      </c>
      <c r="I768" s="2" t="str">
        <f>IFERROR(__xludf.DUMMYFUNCTION("GOOGLETRANSLATE(C768,""fr"",""en"")"),"Attractive price for a young driver's contract but not completely identical to the quote made online. We are still waiting for a good care in the event of a disaster.")</f>
        <v>Attractive price for a young driver's contract but not completely identical to the quote made online. We are still waiting for a good care in the event of a disaster.</v>
      </c>
    </row>
    <row r="769" ht="15.75" customHeight="1">
      <c r="A769" s="2">
        <v>1.0</v>
      </c>
      <c r="B769" s="2" t="s">
        <v>2172</v>
      </c>
      <c r="C769" s="2" t="s">
        <v>2173</v>
      </c>
      <c r="D769" s="2" t="s">
        <v>24</v>
      </c>
      <c r="E769" s="2" t="s">
        <v>112</v>
      </c>
      <c r="F769" s="2" t="s">
        <v>15</v>
      </c>
      <c r="G769" s="2" t="s">
        <v>2174</v>
      </c>
      <c r="H769" s="2" t="s">
        <v>197</v>
      </c>
      <c r="I769" s="2" t="str">
        <f>IFERROR(__xludf.DUMMYFUNCTION("GOOGLETRANSLATE(C769,""fr"",""en"")"),"Disappointing !! The advisers are not entered into the services they offer. They give you bad information to drag the file to in the end refuse! Unemployment insurance in this case does not exist it is only a dismissal insurance. Even if we say the opposi"&amp;"te believe me, I assure you, I am wandered for 4 months.
")</f>
        <v>Disappointing !! The advisers are not entered into the services they offer. They give you bad information to drag the file to in the end refuse! Unemployment insurance in this case does not exist it is only a dismissal insurance. Even if we say the opposite believe me, I assure you, I am wandered for 4 months.
</v>
      </c>
    </row>
    <row r="770" ht="15.75" customHeight="1">
      <c r="A770" s="2">
        <v>4.0</v>
      </c>
      <c r="B770" s="2" t="s">
        <v>2175</v>
      </c>
      <c r="C770" s="2" t="s">
        <v>2176</v>
      </c>
      <c r="D770" s="2" t="s">
        <v>13</v>
      </c>
      <c r="E770" s="2" t="s">
        <v>14</v>
      </c>
      <c r="F770" s="2" t="s">
        <v>15</v>
      </c>
      <c r="G770" s="2" t="s">
        <v>1867</v>
      </c>
      <c r="H770" s="2" t="s">
        <v>272</v>
      </c>
      <c r="I770" s="2" t="str">
        <f>IFERROR(__xludf.DUMMYFUNCTION("GOOGLETRANSLATE(C770,""fr"",""en"")"),"It is rather fast, well explained. I recommend direct insurance. There are guarantees at affordable prices. No untimely recovery if we do not validate the quote")</f>
        <v>It is rather fast, well explained. I recommend direct insurance. There are guarantees at affordable prices. No untimely recovery if we do not validate the quote</v>
      </c>
    </row>
    <row r="771" ht="15.75" customHeight="1">
      <c r="A771" s="2">
        <v>3.0</v>
      </c>
      <c r="B771" s="2" t="s">
        <v>2177</v>
      </c>
      <c r="C771" s="2" t="s">
        <v>2178</v>
      </c>
      <c r="D771" s="2" t="s">
        <v>34</v>
      </c>
      <c r="E771" s="2" t="s">
        <v>35</v>
      </c>
      <c r="F771" s="2" t="s">
        <v>15</v>
      </c>
      <c r="G771" s="2" t="s">
        <v>2179</v>
      </c>
      <c r="H771" s="2" t="s">
        <v>580</v>
      </c>
      <c r="I771" s="2" t="str">
        <f>IFERROR(__xludf.DUMMYFUNCTION("GOOGLETRANSLATE(C771,""fr"",""en"")"),"Pleasant welcome hostess
Answered any question
I have been on it since 2015, the guarantees are good")</f>
        <v>Pleasant welcome hostess
Answered any question
I have been on it since 2015, the guarantees are good</v>
      </c>
    </row>
    <row r="772" ht="15.75" customHeight="1">
      <c r="A772" s="2">
        <v>5.0</v>
      </c>
      <c r="B772" s="2" t="s">
        <v>2180</v>
      </c>
      <c r="C772" s="2" t="s">
        <v>2181</v>
      </c>
      <c r="D772" s="2" t="s">
        <v>43</v>
      </c>
      <c r="E772" s="2" t="s">
        <v>14</v>
      </c>
      <c r="F772" s="2" t="s">
        <v>15</v>
      </c>
      <c r="G772" s="2" t="s">
        <v>672</v>
      </c>
      <c r="H772" s="2" t="s">
        <v>68</v>
      </c>
      <c r="I772" s="2" t="str">
        <f>IFERROR(__xludf.DUMMYFUNCTION("GOOGLETRANSLATE(C772,""fr"",""en"")"),"Very good service I recommend it simple quick registration no need to lose template cheaper than many other insurers I advise them greatly")</f>
        <v>Very good service I recommend it simple quick registration no need to lose template cheaper than many other insurers I advise them greatly</v>
      </c>
    </row>
    <row r="773" ht="15.75" customHeight="1">
      <c r="A773" s="2">
        <v>3.0</v>
      </c>
      <c r="B773" s="2" t="s">
        <v>2182</v>
      </c>
      <c r="C773" s="2" t="s">
        <v>2183</v>
      </c>
      <c r="D773" s="2" t="s">
        <v>352</v>
      </c>
      <c r="E773" s="2" t="s">
        <v>14</v>
      </c>
      <c r="F773" s="2" t="s">
        <v>15</v>
      </c>
      <c r="G773" s="2" t="s">
        <v>239</v>
      </c>
      <c r="H773" s="2" t="s">
        <v>99</v>
      </c>
      <c r="I773" s="2" t="str">
        <f>IFERROR(__xludf.DUMMYFUNCTION("GOOGLETRANSLATE(C773,""fr"",""en"")"),"Your collaborator this morning hung up, believing that I do not listen to what they were telling me. My request was a civil life civil certificate and an individual bodily accident certificate for my daughter Edwige. Impossible to speak, an excessively vo"&amp;"luble collaborator who kept repeating in a loop that I prevented him from doing his job; Believing that in doubt where I do not continue my contracts in 2022, he could not make these certificates ...")</f>
        <v>Your collaborator this morning hung up, believing that I do not listen to what they were telling me. My request was a civil life civil certificate and an individual bodily accident certificate for my daughter Edwige. Impossible to speak, an excessively voluble collaborator who kept repeating in a loop that I prevented him from doing his job; Believing that in doubt where I do not continue my contracts in 2022, he could not make these certificates ...</v>
      </c>
    </row>
    <row r="774" ht="15.75" customHeight="1">
      <c r="A774" s="2">
        <v>5.0</v>
      </c>
      <c r="B774" s="2" t="s">
        <v>2184</v>
      </c>
      <c r="C774" s="2" t="s">
        <v>2185</v>
      </c>
      <c r="D774" s="2" t="s">
        <v>13</v>
      </c>
      <c r="E774" s="2" t="s">
        <v>14</v>
      </c>
      <c r="F774" s="2" t="s">
        <v>15</v>
      </c>
      <c r="G774" s="2" t="s">
        <v>1145</v>
      </c>
      <c r="H774" s="2" t="s">
        <v>166</v>
      </c>
      <c r="I774" s="2" t="str">
        <f>IFERROR(__xludf.DUMMYFUNCTION("GOOGLETRANSLATE(C774,""fr"",""en"")"),"Very satisfied with the service and the prices, we think we are coming back when our home project has led for a new contract with you, or even group auto insurance")</f>
        <v>Very satisfied with the service and the prices, we think we are coming back when our home project has led for a new contract with you, or even group auto insurance</v>
      </c>
    </row>
    <row r="775" ht="15.75" customHeight="1">
      <c r="A775" s="2">
        <v>1.0</v>
      </c>
      <c r="B775" s="2" t="s">
        <v>2186</v>
      </c>
      <c r="C775" s="2" t="s">
        <v>2187</v>
      </c>
      <c r="D775" s="2" t="s">
        <v>156</v>
      </c>
      <c r="E775" s="2" t="s">
        <v>14</v>
      </c>
      <c r="F775" s="2" t="s">
        <v>15</v>
      </c>
      <c r="G775" s="2" t="s">
        <v>1872</v>
      </c>
      <c r="H775" s="2" t="s">
        <v>123</v>
      </c>
      <c r="I775" s="2" t="str">
        <f>IFERROR(__xludf.DUMMYFUNCTION("GOOGLETRANSLATE(C775,""fr"",""en"")"),"Hello me too I am insured at maaf from then 2016 I two vehicles more school insurance 50% +6
I brought back friends they are insured at Maaf their vehicle and home thanks to me
The problem
It's been 20 days my wife, she wants to park in one parking"&amp;" the other priority and open her doorman and my wife back from in
And the breakage the door and something else, and on mine the whole front right bumper fog lights more on the right side and the full rear bumper made the observation I filled well with th"&amp;"e drawing and I even write the damage On the two vehicles my non -responsible wife
I brought back my insurance report they are contacting the expert to go to the dealer garage
A day after I contacted the MR Auto Expert to see my vehicle will be repa"&amp;"ired when
Replied Mr. MR for your vehicle not to take care of it I told him pk
He replied that your vehicle you touched with a few things not in the accident
I told him if I touched myself I repair it vehicle assured any risk
I left to see him i"&amp;"n his office I showed the contract he answered me it's too late I already sent the report to your Maaf insurance
For me I will take care of the rim the rear bumper the mirror the rest no
I contact my maaf insurance replied you have to do against exp"&amp;"ertise at your expense thank you maaf a lot
I inquired for a counter expertise 700 € I will pay it from my pocket on the other hand took all the photos of the other vehicle
I advise you on the day of the expertise you must be present
Because self"&amp;" -expertise of Cholet has a lot of customers who told me about this expert you have to make hhhhhhhhhhhh Poup firm
Maaf with this hhhhhhhhha expertise cabin
The problem is noticing everything even writing the drawing that it was an accident in add"&amp;"ition there even the two signatures as what agrees
I congratulate the expert for are passing hhhhhhhh
No worries Mr Expert
 ")</f>
        <v>Hello me too I am insured at maaf from then 2016 I two vehicles more school insurance 50% +6
I brought back friends they are insured at Maaf their vehicle and home thanks to me
The problem
It's been 20 days my wife, she wants to park in one parking the other priority and open her doorman and my wife back from in
And the breakage the door and something else, and on mine the whole front right bumper fog lights more on the right side and the full rear bumper made the observation I filled well with the drawing and I even write the damage On the two vehicles my non -responsible wife
I brought back my insurance report they are contacting the expert to go to the dealer garage
A day after I contacted the MR Auto Expert to see my vehicle will be repaired when
Replied Mr. MR for your vehicle not to take care of it I told him pk
He replied that your vehicle you touched with a few things not in the accident
I told him if I touched myself I repair it vehicle assured any risk
I left to see him in his office I showed the contract he answered me it's too late I already sent the report to your Maaf insurance
For me I will take care of the rim the rear bumper the mirror the rest no
I contact my maaf insurance replied you have to do against expertise at your expense thank you maaf a lot
I inquired for a counter expertise 700 € I will pay it from my pocket on the other hand took all the photos of the other vehicle
I advise you on the day of the expertise you must be present
Because self -expertise of Cholet has a lot of customers who told me about this expert you have to make hhhhhhhhhhhh Poup firm
Maaf with this hhhhhhhhha expertise cabin
The problem is noticing everything even writing the drawing that it was an accident in addition there even the two signatures as what agrees
I congratulate the expert for are passing hhhhhhhh
No worries Mr Expert
 </v>
      </c>
    </row>
    <row r="776" ht="15.75" customHeight="1">
      <c r="A776" s="2">
        <v>1.0</v>
      </c>
      <c r="B776" s="2" t="s">
        <v>2188</v>
      </c>
      <c r="C776" s="2" t="s">
        <v>2189</v>
      </c>
      <c r="D776" s="2" t="s">
        <v>183</v>
      </c>
      <c r="E776" s="2" t="s">
        <v>14</v>
      </c>
      <c r="F776" s="2" t="s">
        <v>15</v>
      </c>
      <c r="G776" s="2" t="s">
        <v>2190</v>
      </c>
      <c r="H776" s="2" t="s">
        <v>371</v>
      </c>
      <c r="I776" s="2" t="str">
        <f>IFERROR(__xludf.DUMMYFUNCTION("GOOGLETRANSLATE(C776,""fr"",""en"")"),"I strongly advise against. They tell you about their envoys several documents to terminate the contract then when you already sent them everything, still not enough supporting documents. After there is no refunds to justify themselves they send you pre-wr"&amp;"itten email.")</f>
        <v>I strongly advise against. They tell you about their envoys several documents to terminate the contract then when you already sent them everything, still not enough supporting documents. After there is no refunds to justify themselves they send you pre-written email.</v>
      </c>
    </row>
    <row r="777" ht="15.75" customHeight="1">
      <c r="A777" s="2">
        <v>3.0</v>
      </c>
      <c r="B777" s="2" t="s">
        <v>2191</v>
      </c>
      <c r="C777" s="2" t="s">
        <v>2192</v>
      </c>
      <c r="D777" s="2" t="s">
        <v>34</v>
      </c>
      <c r="E777" s="2" t="s">
        <v>35</v>
      </c>
      <c r="F777" s="2" t="s">
        <v>15</v>
      </c>
      <c r="G777" s="2" t="s">
        <v>2193</v>
      </c>
      <c r="H777" s="2" t="s">
        <v>268</v>
      </c>
      <c r="I777" s="2" t="str">
        <f>IFERROR(__xludf.DUMMYFUNCTION("GOOGLETRANSLATE(C777,""fr"",""en"")"),"Alicia was very kind with me was very clear available responsive and available super friendly and kind I highly recommend")</f>
        <v>Alicia was very kind with me was very clear available responsive and available super friendly and kind I highly recommend</v>
      </c>
    </row>
    <row r="778" ht="15.75" customHeight="1">
      <c r="A778" s="2">
        <v>5.0</v>
      </c>
      <c r="B778" s="2" t="s">
        <v>2194</v>
      </c>
      <c r="C778" s="2" t="s">
        <v>2195</v>
      </c>
      <c r="D778" s="2" t="s">
        <v>13</v>
      </c>
      <c r="E778" s="2" t="s">
        <v>14</v>
      </c>
      <c r="F778" s="2" t="s">
        <v>15</v>
      </c>
      <c r="G778" s="2" t="s">
        <v>99</v>
      </c>
      <c r="H778" s="2" t="s">
        <v>99</v>
      </c>
      <c r="I778" s="2" t="str">
        <f>IFERROR(__xludf.DUMMYFUNCTION("GOOGLETRANSLATE(C778,""fr"",""en"")"),"I just registered I don't have enough perspective to give my opinion, I would come back to give my opinion later in this case so because I don't know what to say. Prices look correct")</f>
        <v>I just registered I don't have enough perspective to give my opinion, I would come back to give my opinion later in this case so because I don't know what to say. Prices look correct</v>
      </c>
    </row>
    <row r="779" ht="15.75" customHeight="1">
      <c r="A779" s="2">
        <v>1.0</v>
      </c>
      <c r="B779" s="2" t="s">
        <v>2196</v>
      </c>
      <c r="C779" s="2" t="s">
        <v>2197</v>
      </c>
      <c r="D779" s="2" t="s">
        <v>308</v>
      </c>
      <c r="E779" s="2" t="s">
        <v>14</v>
      </c>
      <c r="F779" s="2" t="s">
        <v>15</v>
      </c>
      <c r="G779" s="2" t="s">
        <v>1310</v>
      </c>
      <c r="H779" s="2" t="s">
        <v>192</v>
      </c>
      <c r="I779" s="2" t="str">
        <f>IFERROR(__xludf.DUMMYFUNCTION("GOOGLETRANSLATE(C779,""fr"",""en"")"),"I received an email informing me that my contract was terminated following the non -receipt of the documents that I sent you. I sent the documents 4 times (2 times by emails and 2 times on my customer area).
I also made 2 requests for telephone appointme"&amp;"nts on my customer area which remained unanswered.")</f>
        <v>I received an email informing me that my contract was terminated following the non -receipt of the documents that I sent you. I sent the documents 4 times (2 times by emails and 2 times on my customer area).
I also made 2 requests for telephone appointments on my customer area which remained unanswered.</v>
      </c>
    </row>
    <row r="780" ht="15.75" customHeight="1">
      <c r="A780" s="2">
        <v>2.0</v>
      </c>
      <c r="B780" s="2" t="s">
        <v>2198</v>
      </c>
      <c r="C780" s="2" t="s">
        <v>2199</v>
      </c>
      <c r="D780" s="2" t="s">
        <v>220</v>
      </c>
      <c r="E780" s="2" t="s">
        <v>35</v>
      </c>
      <c r="F780" s="2" t="s">
        <v>15</v>
      </c>
      <c r="G780" s="2" t="s">
        <v>870</v>
      </c>
      <c r="H780" s="2" t="s">
        <v>192</v>
      </c>
      <c r="I780" s="2" t="str">
        <f>IFERROR(__xludf.DUMMYFUNCTION("GOOGLETRANSLATE(C780,""fr"",""en"")"),"Since November 2020 Optics not yet reimbursed
Quote for uncomitted dental care since February 2021
This mutual insurance does not care about the world in addition to the calls not taken not commitments on their part but on the other hand contributed con"&amp;"tributions
This morning I put a handrail with the police station tomorrow chamber of commerce to file a complaint
Mutual to proscribe")</f>
        <v>Since November 2020 Optics not yet reimbursed
Quote for uncomitted dental care since February 2021
This mutual insurance does not care about the world in addition to the calls not taken not commitments on their part but on the other hand contributed contributions
This morning I put a handrail with the police station tomorrow chamber of commerce to file a complaint
Mutual to proscribe</v>
      </c>
    </row>
    <row r="781" ht="15.75" customHeight="1">
      <c r="A781" s="2">
        <v>5.0</v>
      </c>
      <c r="B781" s="2" t="s">
        <v>2200</v>
      </c>
      <c r="C781" s="2" t="s">
        <v>2201</v>
      </c>
      <c r="D781" s="2" t="s">
        <v>43</v>
      </c>
      <c r="E781" s="2" t="s">
        <v>14</v>
      </c>
      <c r="F781" s="2" t="s">
        <v>15</v>
      </c>
      <c r="G781" s="2" t="s">
        <v>870</v>
      </c>
      <c r="H781" s="2" t="s">
        <v>192</v>
      </c>
      <c r="I781" s="2" t="str">
        <f>IFERROR(__xludf.DUMMYFUNCTION("GOOGLETRANSLATE(C781,""fr"",""en"")"),"Simple efficient and quick customer service is very effective. I am very satisfied with the responses given clear and concise in agreement with my questions ...")</f>
        <v>Simple efficient and quick customer service is very effective. I am very satisfied with the responses given clear and concise in agreement with my questions ...</v>
      </c>
    </row>
    <row r="782" ht="15.75" customHeight="1">
      <c r="A782" s="2">
        <v>3.0</v>
      </c>
      <c r="B782" s="2" t="s">
        <v>2202</v>
      </c>
      <c r="C782" s="2" t="s">
        <v>2203</v>
      </c>
      <c r="D782" s="2" t="s">
        <v>111</v>
      </c>
      <c r="E782" s="2" t="s">
        <v>35</v>
      </c>
      <c r="F782" s="2" t="s">
        <v>15</v>
      </c>
      <c r="G782" s="2" t="s">
        <v>2204</v>
      </c>
      <c r="H782" s="2" t="s">
        <v>293</v>
      </c>
      <c r="I782" s="2" t="str">
        <f>IFERROR(__xludf.DUMMYFUNCTION("GOOGLETRANSLATE(C782,""fr"",""en"")"),"Not satisfied I asked for a direct debit every 10 and I noticed that I will be deducted on November 9 and December 6 I contact the service but to day no response, I think to assert my withdrawal period")</f>
        <v>Not satisfied I asked for a direct debit every 10 and I noticed that I will be deducted on November 9 and December 6 I contact the service but to day no response, I think to assert my withdrawal period</v>
      </c>
    </row>
    <row r="783" ht="15.75" customHeight="1">
      <c r="A783" s="2">
        <v>4.0</v>
      </c>
      <c r="B783" s="2" t="s">
        <v>2205</v>
      </c>
      <c r="C783" s="2" t="s">
        <v>2206</v>
      </c>
      <c r="D783" s="2" t="s">
        <v>13</v>
      </c>
      <c r="E783" s="2" t="s">
        <v>14</v>
      </c>
      <c r="F783" s="2" t="s">
        <v>15</v>
      </c>
      <c r="G783" s="2" t="s">
        <v>1102</v>
      </c>
      <c r="H783" s="2" t="s">
        <v>52</v>
      </c>
      <c r="I783" s="2" t="str">
        <f>IFERROR(__xludf.DUMMYFUNCTION("GOOGLETRANSLATE(C783,""fr"",""en"")"),"Easy access site, the price of insurance is correct,
In the event of a claim, insurance can be reachable, via the platform or telephonic, fast management")</f>
        <v>Easy access site, the price of insurance is correct,
In the event of a claim, insurance can be reachable, via the platform or telephonic, fast management</v>
      </c>
    </row>
    <row r="784" ht="15.75" customHeight="1">
      <c r="A784" s="2">
        <v>2.0</v>
      </c>
      <c r="B784" s="2" t="s">
        <v>2207</v>
      </c>
      <c r="C784" s="2" t="s">
        <v>2208</v>
      </c>
      <c r="D784" s="2" t="s">
        <v>13</v>
      </c>
      <c r="E784" s="2" t="s">
        <v>14</v>
      </c>
      <c r="F784" s="2" t="s">
        <v>15</v>
      </c>
      <c r="G784" s="2" t="s">
        <v>2209</v>
      </c>
      <c r="H784" s="2" t="s">
        <v>335</v>
      </c>
      <c r="I784" s="2" t="str">
        <f>IFERROR(__xludf.DUMMYFUNCTION("GOOGLETRANSLATE(C784,""fr"",""en"")"),"I asked for insurance to third party instead of all-risk insurance, contributions drop (therefore normally), except the annual subscription not subject to the bonus-malus (assistance, personal guarantee) which it doubled.
After my call I am told that it'"&amp;"s normal ...
So I change insurance.
Normal too.")</f>
        <v>I asked for insurance to third party instead of all-risk insurance, contributions drop (therefore normally), except the annual subscription not subject to the bonus-malus (assistance, personal guarantee) which it doubled.
After my call I am told that it's normal ...
So I change insurance.
Normal too.</v>
      </c>
    </row>
    <row r="785" ht="15.75" customHeight="1">
      <c r="A785" s="2">
        <v>5.0</v>
      </c>
      <c r="B785" s="2" t="s">
        <v>2210</v>
      </c>
      <c r="C785" s="2" t="s">
        <v>2211</v>
      </c>
      <c r="D785" s="2" t="s">
        <v>43</v>
      </c>
      <c r="E785" s="2" t="s">
        <v>14</v>
      </c>
      <c r="F785" s="2" t="s">
        <v>15</v>
      </c>
      <c r="G785" s="2" t="s">
        <v>2023</v>
      </c>
      <c r="H785" s="2" t="s">
        <v>68</v>
      </c>
      <c r="I785" s="2" t="str">
        <f>IFERROR(__xludf.DUMMYFUNCTION("GOOGLETRANSLATE(C785,""fr"",""en"")"),"Excellent service. Clear interlocutor, efficient and very friendly. Very satisfied with the extremely professional price and telephone reception.
")</f>
        <v>Excellent service. Clear interlocutor, efficient and very friendly. Very satisfied with the extremely professional price and telephone reception.
</v>
      </c>
    </row>
    <row r="786" ht="15.75" customHeight="1">
      <c r="A786" s="2">
        <v>4.0</v>
      </c>
      <c r="B786" s="2" t="s">
        <v>2212</v>
      </c>
      <c r="C786" s="2" t="s">
        <v>2213</v>
      </c>
      <c r="D786" s="2" t="s">
        <v>13</v>
      </c>
      <c r="E786" s="2" t="s">
        <v>14</v>
      </c>
      <c r="F786" s="2" t="s">
        <v>15</v>
      </c>
      <c r="G786" s="2" t="s">
        <v>272</v>
      </c>
      <c r="H786" s="2" t="s">
        <v>272</v>
      </c>
      <c r="I786" s="2" t="str">
        <f>IFERROR(__xludf.DUMMYFUNCTION("GOOGLETRANSLATE(C786,""fr"",""en"")"),"I find the price of the car expensive enough for an old car you have to add partoust options I find it a shame and I think I change insurance soon")</f>
        <v>I find the price of the car expensive enough for an old car you have to add partoust options I find it a shame and I think I change insurance soon</v>
      </c>
    </row>
    <row r="787" ht="15.75" customHeight="1">
      <c r="A787" s="2">
        <v>1.0</v>
      </c>
      <c r="B787" s="2" t="s">
        <v>2214</v>
      </c>
      <c r="C787" s="2" t="s">
        <v>2215</v>
      </c>
      <c r="D787" s="2" t="s">
        <v>183</v>
      </c>
      <c r="E787" s="2" t="s">
        <v>14</v>
      </c>
      <c r="F787" s="2" t="s">
        <v>15</v>
      </c>
      <c r="G787" s="2" t="s">
        <v>71</v>
      </c>
      <c r="H787" s="2" t="s">
        <v>72</v>
      </c>
      <c r="I787" s="2" t="str">
        <f>IFERROR(__xludf.DUMMYFUNCTION("GOOGLETRANSLATE(C787,""fr"",""en"")"),"Insurance to flee, I had a non-responsible accident in July an expert goes at mid August for a conservatory repair expertise higher than the price of my car which always rolls a rear light and the rear bumper to change € 3100. week after a breaker phone m"&amp;"e to tell me I come to get your car the expert gave it to me
Active insurance answers me we can do nothing opposing insurance does not want to take us back so you will not be reimbursed, my we can have your car removed, for you the best would be to ensur"&amp;"e any risk of € 360 you just go to 640 €")</f>
        <v>Insurance to flee, I had a non-responsible accident in July an expert goes at mid August for a conservatory repair expertise higher than the price of my car which always rolls a rear light and the rear bumper to change € 3100. week after a breaker phone me to tell me I come to get your car the expert gave it to me
Active insurance answers me we can do nothing opposing insurance does not want to take us back so you will not be reimbursed, my we can have your car removed, for you the best would be to ensure any risk of € 360 you just go to 640 €</v>
      </c>
    </row>
    <row r="788" ht="15.75" customHeight="1">
      <c r="A788" s="2">
        <v>5.0</v>
      </c>
      <c r="B788" s="2" t="s">
        <v>2216</v>
      </c>
      <c r="C788" s="2" t="s">
        <v>2217</v>
      </c>
      <c r="D788" s="2" t="s">
        <v>13</v>
      </c>
      <c r="E788" s="2" t="s">
        <v>14</v>
      </c>
      <c r="F788" s="2" t="s">
        <v>15</v>
      </c>
      <c r="G788" s="2" t="s">
        <v>1928</v>
      </c>
      <c r="H788" s="2" t="s">
        <v>72</v>
      </c>
      <c r="I788" s="2" t="str">
        <f>IFERROR(__xludf.DUMMYFUNCTION("GOOGLETRANSLATE(C788,""fr"",""en"")"),"I follow satisfied with the price is very easy to use internet services
Satisfied with the options that has a lot of choice for vehicle insurance")</f>
        <v>I follow satisfied with the price is very easy to use internet services
Satisfied with the options that has a lot of choice for vehicle insurance</v>
      </c>
    </row>
    <row r="789" ht="15.75" customHeight="1">
      <c r="A789" s="2">
        <v>3.0</v>
      </c>
      <c r="B789" s="2" t="s">
        <v>2218</v>
      </c>
      <c r="C789" s="2" t="s">
        <v>2219</v>
      </c>
      <c r="D789" s="2" t="s">
        <v>43</v>
      </c>
      <c r="E789" s="2" t="s">
        <v>14</v>
      </c>
      <c r="F789" s="2" t="s">
        <v>15</v>
      </c>
      <c r="G789" s="2" t="s">
        <v>945</v>
      </c>
      <c r="H789" s="2" t="s">
        <v>166</v>
      </c>
      <c r="I789" s="2" t="str">
        <f>IFERROR(__xludf.DUMMYFUNCTION("GOOGLETRANSLATE(C789,""fr"",""en"")"),"The price is a little high monthly but I still remain satisfied with your services.
The service is simple and effective.
The online signature is really appreciable.")</f>
        <v>The price is a little high monthly but I still remain satisfied with your services.
The service is simple and effective.
The online signature is really appreciable.</v>
      </c>
    </row>
    <row r="790" ht="15.75" customHeight="1">
      <c r="A790" s="2">
        <v>1.0</v>
      </c>
      <c r="B790" s="2" t="s">
        <v>2220</v>
      </c>
      <c r="C790" s="2" t="s">
        <v>2221</v>
      </c>
      <c r="D790" s="2" t="s">
        <v>308</v>
      </c>
      <c r="E790" s="2" t="s">
        <v>14</v>
      </c>
      <c r="F790" s="2" t="s">
        <v>15</v>
      </c>
      <c r="G790" s="2" t="s">
        <v>2222</v>
      </c>
      <c r="H790" s="2" t="s">
        <v>16</v>
      </c>
      <c r="I790" s="2" t="str">
        <f>IFERROR(__xludf.DUMMYFUNCTION("GOOGLETRANSLATE(C790,""fr"",""en"")"),"incompetent insurance does not respond to such are not screwed up to send an info statement
Without an error does not respond to the email flee this insurance I did 2 months with them never again in my life the sound ring hanging for 2 hours and it hangs"&amp;" up every 15 minutes they don't care about us and for disputes a legal service staff are essential otherwise you are alone")</f>
        <v>incompetent insurance does not respond to such are not screwed up to send an info statement
Without an error does not respond to the email flee this insurance I did 2 months with them never again in my life the sound ring hanging for 2 hours and it hangs up every 15 minutes they don't care about us and for disputes a legal service staff are essential otherwise you are alone</v>
      </c>
    </row>
    <row r="791" ht="15.75" customHeight="1">
      <c r="A791" s="2">
        <v>3.0</v>
      </c>
      <c r="B791" s="2" t="s">
        <v>2223</v>
      </c>
      <c r="C791" s="2" t="s">
        <v>2224</v>
      </c>
      <c r="D791" s="2" t="s">
        <v>156</v>
      </c>
      <c r="E791" s="2" t="s">
        <v>14</v>
      </c>
      <c r="F791" s="2" t="s">
        <v>15</v>
      </c>
      <c r="G791" s="2" t="s">
        <v>2225</v>
      </c>
      <c r="H791" s="2" t="s">
        <v>31</v>
      </c>
      <c r="I791" s="2" t="str">
        <f>IFERROR(__xludf.DUMMYFUNCTION("GOOGLETRANSLATE(C791,""fr"",""en"")"),"This insurance company at rates far too expensive concerning the vehicle: car.
I also have my motorcycle contracts which is linked to the automobile, as well as the accident insurance contract for which I am not aware of how to declare a claim?")</f>
        <v>This insurance company at rates far too expensive concerning the vehicle: car.
I also have my motorcycle contracts which is linked to the automobile, as well as the accident insurance contract for which I am not aware of how to declare a claim?</v>
      </c>
    </row>
    <row r="792" ht="15.75" customHeight="1">
      <c r="A792" s="2">
        <v>2.0</v>
      </c>
      <c r="B792" s="2" t="s">
        <v>2226</v>
      </c>
      <c r="C792" s="2" t="s">
        <v>2227</v>
      </c>
      <c r="D792" s="2" t="s">
        <v>34</v>
      </c>
      <c r="E792" s="2" t="s">
        <v>35</v>
      </c>
      <c r="F792" s="2" t="s">
        <v>15</v>
      </c>
      <c r="G792" s="2" t="s">
        <v>2228</v>
      </c>
      <c r="H792" s="2" t="s">
        <v>185</v>
      </c>
      <c r="I792" s="2" t="str">
        <f>IFERROR(__xludf.DUMMYFUNCTION("GOOGLETRANSLATE(C792,""fr"",""en"")"),"non -existent customer service
They ask for a ton of papers when they have them in remoteransmission!
Two months and still not reimbursed for the dental while for a consultation it is done automatically! Why is this difference when the processing proces"&amp;"s is identical?")</f>
        <v>non -existent customer service
They ask for a ton of papers when they have them in remoteransmission!
Two months and still not reimbursed for the dental while for a consultation it is done automatically! Why is this difference when the processing process is identical?</v>
      </c>
    </row>
    <row r="793" ht="15.75" customHeight="1">
      <c r="A793" s="2">
        <v>2.0</v>
      </c>
      <c r="B793" s="2" t="s">
        <v>2229</v>
      </c>
      <c r="C793" s="2" t="s">
        <v>2230</v>
      </c>
      <c r="D793" s="2" t="s">
        <v>106</v>
      </c>
      <c r="E793" s="2" t="s">
        <v>85</v>
      </c>
      <c r="F793" s="2" t="s">
        <v>15</v>
      </c>
      <c r="G793" s="2" t="s">
        <v>2231</v>
      </c>
      <c r="H793" s="2" t="s">
        <v>135</v>
      </c>
      <c r="I793" s="2" t="str">
        <f>IFERROR(__xludf.DUMMYFUNCTION("GOOGLETRANSLATE(C793,""fr"",""en"")"),"They are only there to collect insurance premiums and refuse by all means to open a disaster which will force them to reimburse you. Communicate only by Mail AR with them because by phone their only objective is to discourage you and refuse care. Flee thi"&amp;"s insurance that makes low prices but at the slightest claim you will regret your choice. In any case mine is done, I am waiting for the due date to return to traditional insurance.")</f>
        <v>They are only there to collect insurance premiums and refuse by all means to open a disaster which will force them to reimburse you. Communicate only by Mail AR with them because by phone their only objective is to discourage you and refuse care. Flee this insurance that makes low prices but at the slightest claim you will regret your choice. In any case mine is done, I am waiting for the due date to return to traditional insurance.</v>
      </c>
    </row>
    <row r="794" ht="15.75" customHeight="1">
      <c r="A794" s="2">
        <v>2.0</v>
      </c>
      <c r="B794" s="2" t="s">
        <v>2232</v>
      </c>
      <c r="C794" s="2" t="s">
        <v>2233</v>
      </c>
      <c r="D794" s="2" t="s">
        <v>106</v>
      </c>
      <c r="E794" s="2" t="s">
        <v>14</v>
      </c>
      <c r="F794" s="2" t="s">
        <v>15</v>
      </c>
      <c r="G794" s="2" t="s">
        <v>2234</v>
      </c>
      <c r="H794" s="2" t="s">
        <v>201</v>
      </c>
      <c r="I794" s="2" t="str">
        <f>IFERROR(__xludf.DUMMYFUNCTION("GOOGLETRANSLATE(C794,""fr"",""en"")"),"Very difficult to make it repaired by an ice cream they sent companies to my house then they are then refused their quotes too flesh and even sought to have 5% incredible VAT!")</f>
        <v>Very difficult to make it repaired by an ice cream they sent companies to my house then they are then refused their quotes too flesh and even sought to have 5% incredible VAT!</v>
      </c>
    </row>
    <row r="795" ht="15.75" customHeight="1">
      <c r="A795" s="2">
        <v>1.0</v>
      </c>
      <c r="B795" s="2" t="s">
        <v>2235</v>
      </c>
      <c r="C795" s="2" t="s">
        <v>2236</v>
      </c>
      <c r="D795" s="2" t="s">
        <v>369</v>
      </c>
      <c r="E795" s="2" t="s">
        <v>35</v>
      </c>
      <c r="F795" s="2" t="s">
        <v>15</v>
      </c>
      <c r="G795" s="2" t="s">
        <v>2140</v>
      </c>
      <c r="H795" s="2" t="s">
        <v>131</v>
      </c>
      <c r="I795" s="2" t="str">
        <f>IFERROR(__xludf.DUMMYFUNCTION("GOOGLETRANSLATE(C795,""fr"",""en"")"),"Lamentable,
Weeks to be reimbursed, shabby guarantees, an exorbitant subscription (€ 70 per month).
I will request our managers to change this abominable group contract as quickly as possible. Really avoid this company which does not deign to answer eit"&amp;"her by email or by phone.")</f>
        <v>Lamentable,
Weeks to be reimbursed, shabby guarantees, an exorbitant subscription (€ 70 per month).
I will request our managers to change this abominable group contract as quickly as possible. Really avoid this company which does not deign to answer either by email or by phone.</v>
      </c>
    </row>
    <row r="796" ht="15.75" customHeight="1">
      <c r="A796" s="2">
        <v>1.0</v>
      </c>
      <c r="B796" s="2" t="s">
        <v>2237</v>
      </c>
      <c r="C796" s="2" t="s">
        <v>2238</v>
      </c>
      <c r="D796" s="2" t="s">
        <v>1656</v>
      </c>
      <c r="E796" s="2" t="s">
        <v>56</v>
      </c>
      <c r="F796" s="2" t="s">
        <v>15</v>
      </c>
      <c r="G796" s="2" t="s">
        <v>2239</v>
      </c>
      <c r="H796" s="2" t="s">
        <v>831</v>
      </c>
      <c r="I796" s="2" t="str">
        <f>IFERROR(__xludf.DUMMYFUNCTION("GOOGLETRANSLATE(C796,""fr"",""en"")"),"Never ensure anything at home. Once your contract is signed, they never give you news again. I tried to send them a dozen email, without ever an answer. I managed to finally have them on the phone, they tell me that they will remind me of a non -payment p"&amp;"roblem and a month later I receive a letter from a collection company. You will never receive your insurance label but you will pay anyway. If you are arrested by the police you will be out of law. Pay attention")</f>
        <v>Never ensure anything at home. Once your contract is signed, they never give you news again. I tried to send them a dozen email, without ever an answer. I managed to finally have them on the phone, they tell me that they will remind me of a non -payment problem and a month later I receive a letter from a collection company. You will never receive your insurance label but you will pay anyway. If you are arrested by the police you will be out of law. Pay attention</v>
      </c>
    </row>
    <row r="797" ht="15.75" customHeight="1">
      <c r="A797" s="2">
        <v>4.0</v>
      </c>
      <c r="B797" s="2" t="s">
        <v>2240</v>
      </c>
      <c r="C797" s="2" t="s">
        <v>2241</v>
      </c>
      <c r="D797" s="2" t="s">
        <v>43</v>
      </c>
      <c r="E797" s="2" t="s">
        <v>14</v>
      </c>
      <c r="F797" s="2" t="s">
        <v>15</v>
      </c>
      <c r="G797" s="2" t="s">
        <v>2242</v>
      </c>
      <c r="H797" s="2" t="s">
        <v>272</v>
      </c>
      <c r="I797" s="2" t="str">
        <f>IFERROR(__xludf.DUMMYFUNCTION("GOOGLETRANSLATE(C797,""fr"",""en"")"),"Hello
I am satisfied with the price and the quality of intelligence. And I also accumulate it with home insurance. I will recommend to any other person thank you to you")</f>
        <v>Hello
I am satisfied with the price and the quality of intelligence. And I also accumulate it with home insurance. I will recommend to any other person thank you to you</v>
      </c>
    </row>
    <row r="798" ht="15.75" customHeight="1">
      <c r="A798" s="2">
        <v>1.0</v>
      </c>
      <c r="B798" s="2" t="s">
        <v>2243</v>
      </c>
      <c r="C798" s="2" t="s">
        <v>2244</v>
      </c>
      <c r="D798" s="2" t="s">
        <v>63</v>
      </c>
      <c r="E798" s="2" t="s">
        <v>25</v>
      </c>
      <c r="F798" s="2" t="s">
        <v>15</v>
      </c>
      <c r="G798" s="2" t="s">
        <v>1275</v>
      </c>
      <c r="H798" s="2" t="s">
        <v>319</v>
      </c>
      <c r="I798" s="2" t="str">
        <f>IFERROR(__xludf.DUMMYFUNCTION("GOOGLETRANSLATE(C798,""fr"",""en"")"),"Ring at the door, and lie to the people to go home (we have to check your electric meter) my mother was fooled. Shame on you and your unscrupulous sellers")</f>
        <v>Ring at the door, and lie to the people to go home (we have to check your electric meter) my mother was fooled. Shame on you and your unscrupulous sellers</v>
      </c>
    </row>
    <row r="799" ht="15.75" customHeight="1">
      <c r="A799" s="2">
        <v>5.0</v>
      </c>
      <c r="B799" s="2" t="s">
        <v>2245</v>
      </c>
      <c r="C799" s="2" t="s">
        <v>2246</v>
      </c>
      <c r="D799" s="2" t="s">
        <v>19</v>
      </c>
      <c r="E799" s="2" t="s">
        <v>317</v>
      </c>
      <c r="F799" s="2" t="s">
        <v>15</v>
      </c>
      <c r="G799" s="2" t="s">
        <v>956</v>
      </c>
      <c r="H799" s="2" t="s">
        <v>173</v>
      </c>
      <c r="I799" s="2" t="str">
        <f>IFERROR(__xludf.DUMMYFUNCTION("GOOGLETRANSLATE(C799,""fr"",""en"")"),"The Macif with the help of their lawyer defended me against my attacker and at the accidental death of my husband the Macif M has very quickly compensated")</f>
        <v>The Macif with the help of their lawyer defended me against my attacker and at the accidental death of my husband the Macif M has very quickly compensated</v>
      </c>
    </row>
    <row r="800" ht="15.75" customHeight="1">
      <c r="A800" s="2">
        <v>2.0</v>
      </c>
      <c r="B800" s="2" t="s">
        <v>2247</v>
      </c>
      <c r="C800" s="2" t="s">
        <v>2248</v>
      </c>
      <c r="D800" s="2" t="s">
        <v>352</v>
      </c>
      <c r="E800" s="2" t="s">
        <v>14</v>
      </c>
      <c r="F800" s="2" t="s">
        <v>15</v>
      </c>
      <c r="G800" s="2" t="s">
        <v>428</v>
      </c>
      <c r="H800" s="2" t="s">
        <v>99</v>
      </c>
      <c r="I800" s="2" t="str">
        <f>IFERROR(__xludf.DUMMYFUNCTION("GOOGLETRANSLATE(C800,""fr"",""en"")"),"I am satisfied with the service but I prefer in agency to be received by the former reception being more respectful
The price given the number of contracts a discount would not be too much
 ")</f>
        <v>I am satisfied with the service but I prefer in agency to be received by the former reception being more respectful
The price given the number of contracts a discount would not be too much
 </v>
      </c>
    </row>
    <row r="801" ht="15.75" customHeight="1">
      <c r="A801" s="2">
        <v>4.0</v>
      </c>
      <c r="B801" s="2" t="s">
        <v>2249</v>
      </c>
      <c r="C801" s="2" t="s">
        <v>2250</v>
      </c>
      <c r="D801" s="2" t="s">
        <v>13</v>
      </c>
      <c r="E801" s="2" t="s">
        <v>14</v>
      </c>
      <c r="F801" s="2" t="s">
        <v>15</v>
      </c>
      <c r="G801" s="2" t="s">
        <v>848</v>
      </c>
      <c r="H801" s="2" t="s">
        <v>99</v>
      </c>
      <c r="I801" s="2" t="str">
        <f>IFERROR(__xludf.DUMMYFUNCTION("GOOGLETRANSLATE(C801,""fr"",""en"")"),"Well, very fast customer service is very pleasant people.
Sinister service and troubleshooting very well!
But the prices increase considerably every year despite the bonus that increases")</f>
        <v>Well, very fast customer service is very pleasant people.
Sinister service and troubleshooting very well!
But the prices increase considerably every year despite the bonus that increases</v>
      </c>
    </row>
    <row r="802" ht="15.75" customHeight="1">
      <c r="A802" s="2">
        <v>1.0</v>
      </c>
      <c r="B802" s="2" t="s">
        <v>2251</v>
      </c>
      <c r="C802" s="2" t="s">
        <v>2252</v>
      </c>
      <c r="D802" s="2" t="s">
        <v>308</v>
      </c>
      <c r="E802" s="2" t="s">
        <v>85</v>
      </c>
      <c r="F802" s="2" t="s">
        <v>15</v>
      </c>
      <c r="G802" s="2" t="s">
        <v>2253</v>
      </c>
      <c r="H802" s="2" t="s">
        <v>37</v>
      </c>
      <c r="I802" s="2" t="str">
        <f>IFERROR(__xludf.DUMMYFUNCTION("GOOGLETRANSLATE(C802,""fr"",""en"")"),"We strongly recommend Allianz. Orientation orientation and non -existent customer retention !! Refusal to reimburse me 10 monthly payments for accommodation that I have not occupied for 10 months.")</f>
        <v>We strongly recommend Allianz. Orientation orientation and non -existent customer retention !! Refusal to reimburse me 10 monthly payments for accommodation that I have not occupied for 10 months.</v>
      </c>
    </row>
    <row r="803" ht="15.75" customHeight="1">
      <c r="A803" s="2">
        <v>4.0</v>
      </c>
      <c r="B803" s="2" t="s">
        <v>2254</v>
      </c>
      <c r="C803" s="2" t="s">
        <v>2255</v>
      </c>
      <c r="D803" s="2" t="s">
        <v>352</v>
      </c>
      <c r="E803" s="2" t="s">
        <v>14</v>
      </c>
      <c r="F803" s="2" t="s">
        <v>15</v>
      </c>
      <c r="G803" s="2" t="s">
        <v>1983</v>
      </c>
      <c r="H803" s="2" t="s">
        <v>72</v>
      </c>
      <c r="I803" s="2" t="str">
        <f>IFERROR(__xludf.DUMMYFUNCTION("GOOGLETRANSLATE(C803,""fr"",""en"")"),"Very good but a little heavy graphical interface. It is not possible to download the children's and home certificates directly, it's a shame. Have a good day !")</f>
        <v>Very good but a little heavy graphical interface. It is not possible to download the children's and home certificates directly, it's a shame. Have a good day !</v>
      </c>
    </row>
    <row r="804" ht="15.75" customHeight="1">
      <c r="A804" s="2">
        <v>3.0</v>
      </c>
      <c r="B804" s="2" t="s">
        <v>2256</v>
      </c>
      <c r="C804" s="2" t="s">
        <v>2257</v>
      </c>
      <c r="D804" s="2" t="s">
        <v>55</v>
      </c>
      <c r="E804" s="2" t="s">
        <v>56</v>
      </c>
      <c r="F804" s="2" t="s">
        <v>15</v>
      </c>
      <c r="G804" s="2" t="s">
        <v>445</v>
      </c>
      <c r="H804" s="2" t="s">
        <v>99</v>
      </c>
      <c r="I804" s="2" t="str">
        <f>IFERROR(__xludf.DUMMYFUNCTION("GOOGLETRANSLATE(C804,""fr"",""en"")"),"I am satisfied with the service but the price remains a little expensive anyway otherwise we will see for the rest later with time you have to see this is my first insurance")</f>
        <v>I am satisfied with the service but the price remains a little expensive anyway otherwise we will see for the rest later with time you have to see this is my first insurance</v>
      </c>
    </row>
    <row r="805" ht="15.75" customHeight="1">
      <c r="A805" s="2">
        <v>5.0</v>
      </c>
      <c r="B805" s="2" t="s">
        <v>2258</v>
      </c>
      <c r="C805" s="2" t="s">
        <v>2259</v>
      </c>
      <c r="D805" s="2" t="s">
        <v>43</v>
      </c>
      <c r="E805" s="2" t="s">
        <v>14</v>
      </c>
      <c r="F805" s="2" t="s">
        <v>15</v>
      </c>
      <c r="G805" s="2" t="s">
        <v>2260</v>
      </c>
      <c r="H805" s="2" t="s">
        <v>217</v>
      </c>
      <c r="I805" s="2" t="str">
        <f>IFERROR(__xludf.DUMMYFUNCTION("GOOGLETRANSLATE(C805,""fr"",""en"")"),"Everything is done online, the steps are simple and the communication is clear and accompanying, so well to sign that to transmit the documents, no hidden costs, I am delighted!")</f>
        <v>Everything is done online, the steps are simple and the communication is clear and accompanying, so well to sign that to transmit the documents, no hidden costs, I am delighted!</v>
      </c>
    </row>
    <row r="806" ht="15.75" customHeight="1">
      <c r="A806" s="2">
        <v>1.0</v>
      </c>
      <c r="B806" s="2" t="s">
        <v>2261</v>
      </c>
      <c r="C806" s="2" t="s">
        <v>2262</v>
      </c>
      <c r="D806" s="2" t="s">
        <v>97</v>
      </c>
      <c r="E806" s="2" t="s">
        <v>56</v>
      </c>
      <c r="F806" s="2" t="s">
        <v>15</v>
      </c>
      <c r="G806" s="2" t="s">
        <v>480</v>
      </c>
      <c r="H806" s="2" t="s">
        <v>52</v>
      </c>
      <c r="I806" s="2" t="str">
        <f>IFERROR(__xludf.DUMMYFUNCTION("GOOGLETRANSLATE(C806,""fr"",""en"")"),"AMV
No claim so all are fine
Except that one day it may be a disaster there and there things get complicated 8 months of immobilization of my vehicle following a fall at the stop derailing of the chain and rupture of it and breaks of the housing Engine "&amp;"according to the expert AMV not possible according to mine this is possible relating to support the expert of AMV just written that this is not possible there is a fall detector and an MSC (as a reminder the detector falling cut the engine after 5 seconds"&amp;" and the MSC is almost comparable to an ESP on a car) in other words nothing to do with the words of the expert of AMV following that a third expertise a was asked for the expert in question to decline the expertise invoking that the two parties could hav"&amp;"e reasons AMV to therefore decide that it was they who were right and therefore I had to sit on any care I specify that I am insured any risk!
Cordially
AMV
R0A14651/Duran")</f>
        <v>AMV
No claim so all are fine
Except that one day it may be a disaster there and there things get complicated 8 months of immobilization of my vehicle following a fall at the stop derailing of the chain and rupture of it and breaks of the housing Engine according to the expert AMV not possible according to mine this is possible relating to support the expert of AMV just written that this is not possible there is a fall detector and an MSC (as a reminder the detector falling cut the engine after 5 seconds and the MSC is almost comparable to an ESP on a car) in other words nothing to do with the words of the expert of AMV following that a third expertise a was asked for the expert in question to decline the expertise invoking that the two parties could have reasons AMV to therefore decide that it was they who were right and therefore I had to sit on any care I specify that I am insured any risk!
Cordially
AMV
R0A14651/Duran</v>
      </c>
    </row>
    <row r="807" ht="15.75" customHeight="1">
      <c r="A807" s="2">
        <v>2.0</v>
      </c>
      <c r="B807" s="2" t="s">
        <v>2263</v>
      </c>
      <c r="C807" s="2" t="s">
        <v>2264</v>
      </c>
      <c r="D807" s="2" t="s">
        <v>19</v>
      </c>
      <c r="E807" s="2" t="s">
        <v>14</v>
      </c>
      <c r="F807" s="2" t="s">
        <v>15</v>
      </c>
      <c r="G807" s="2" t="s">
        <v>2265</v>
      </c>
      <c r="H807" s="2" t="s">
        <v>135</v>
      </c>
      <c r="I807" s="2" t="str">
        <f>IFERROR(__xludf.DUMMYFUNCTION("GOOGLETRANSLATE(C807,""fr"",""en"")"),"I have been at home for years for multi -risk, housing, civil liability. I subscribe to car insurance, I am told a bonus at 0.50. A few days later, I provided an information statement from the MAAF for the vehicle, I am told that the information does not "&amp;"in accordance with what I have declared and that the bonus goes to 0.54. I call to fire the situation to clear, I am putting me in hold of a 15 groin of minutes before declaring myself that the information statement that I sent does not come from the maaf"&amp;" and is a false (???) While it was of course provided directly by the MAAF. In this case I ask where the calculation of 0.54 comes from, we refuse to answer me by telling me that we are not going, I quote, ""get lost in procrastination"" ', before my insi"&amp;"stence on their mystery calculation and their Refusal to accept the official information statement of the MAAF, I am simply hanging up on the nose.")</f>
        <v>I have been at home for years for multi -risk, housing, civil liability. I subscribe to car insurance, I am told a bonus at 0.50. A few days later, I provided an information statement from the MAAF for the vehicle, I am told that the information does not in accordance with what I have declared and that the bonus goes to 0.54. I call to fire the situation to clear, I am putting me in hold of a 15 groin of minutes before declaring myself that the information statement that I sent does not come from the maaf and is a false (???) While it was of course provided directly by the MAAF. In this case I ask where the calculation of 0.54 comes from, we refuse to answer me by telling me that we are not going, I quote, "get lost in procrastination" ', before my insistence on their mystery calculation and their Refusal to accept the official information statement of the MAAF, I am simply hanging up on the nose.</v>
      </c>
    </row>
    <row r="808" ht="15.75" customHeight="1">
      <c r="A808" s="2">
        <v>2.0</v>
      </c>
      <c r="B808" s="2" t="s">
        <v>2266</v>
      </c>
      <c r="C808" s="2" t="s">
        <v>2267</v>
      </c>
      <c r="D808" s="2" t="s">
        <v>308</v>
      </c>
      <c r="E808" s="2" t="s">
        <v>25</v>
      </c>
      <c r="F808" s="2" t="s">
        <v>15</v>
      </c>
      <c r="G808" s="2" t="s">
        <v>2268</v>
      </c>
      <c r="H808" s="2" t="s">
        <v>118</v>
      </c>
      <c r="I808" s="2" t="str">
        <f>IFERROR(__xludf.DUMMYFUNCTION("GOOGLETRANSLATE(C808,""fr"",""en"")"),"You have to be wary of promises made by sector officials. Commercial advisers offer attractive contracts (forgetting to report certain costs). Then, the managers call into question the agreements made with the commercial coses.
To avoid as much as possib"&amp;"le !!!!!")</f>
        <v>You have to be wary of promises made by sector officials. Commercial advisers offer attractive contracts (forgetting to report certain costs). Then, the managers call into question the agreements made with the commercial coses.
To avoid as much as possible !!!!!</v>
      </c>
    </row>
    <row r="809" ht="15.75" customHeight="1">
      <c r="A809" s="2">
        <v>3.0</v>
      </c>
      <c r="B809" s="2" t="s">
        <v>2269</v>
      </c>
      <c r="C809" s="2" t="s">
        <v>2270</v>
      </c>
      <c r="D809" s="2" t="s">
        <v>365</v>
      </c>
      <c r="E809" s="2" t="s">
        <v>85</v>
      </c>
      <c r="F809" s="2" t="s">
        <v>15</v>
      </c>
      <c r="G809" s="2" t="s">
        <v>232</v>
      </c>
      <c r="H809" s="2" t="s">
        <v>52</v>
      </c>
      <c r="I809" s="2" t="str">
        <f>IFERROR(__xludf.DUMMYFUNCTION("GOOGLETRANSLATE(C809,""fr"",""en"")"),"Do not process fire files and stop paying the rental of a family of claims such is the motto of Maif. Sending 3 minors to the street is not their problem according to an agency manager
 From the provocation to the rue des insureds, nothing stops them so "&amp;"as not to pay ...")</f>
        <v>Do not process fire files and stop paying the rental of a family of claims such is the motto of Maif. Sending 3 minors to the street is not their problem according to an agency manager
 From the provocation to the rue des insureds, nothing stops them so as not to pay ...</v>
      </c>
    </row>
    <row r="810" ht="15.75" customHeight="1">
      <c r="A810" s="2">
        <v>4.0</v>
      </c>
      <c r="B810" s="2" t="s">
        <v>2271</v>
      </c>
      <c r="C810" s="2" t="s">
        <v>2272</v>
      </c>
      <c r="D810" s="2" t="s">
        <v>13</v>
      </c>
      <c r="E810" s="2" t="s">
        <v>14</v>
      </c>
      <c r="F810" s="2" t="s">
        <v>15</v>
      </c>
      <c r="G810" s="2" t="s">
        <v>501</v>
      </c>
      <c r="H810" s="2" t="s">
        <v>192</v>
      </c>
      <c r="I810" s="2" t="str">
        <f>IFERROR(__xludf.DUMMYFUNCTION("GOOGLETRANSLATE(C810,""fr"",""en"")"),"I just made a statement of a claim, it's a first home, I'm waiting for feedback to give a striking opinion.")</f>
        <v>I just made a statement of a claim, it's a first home, I'm waiting for feedback to give a striking opinion.</v>
      </c>
    </row>
    <row r="811" ht="15.75" customHeight="1">
      <c r="A811" s="2">
        <v>5.0</v>
      </c>
      <c r="B811" s="2" t="s">
        <v>2273</v>
      </c>
      <c r="C811" s="2" t="s">
        <v>2274</v>
      </c>
      <c r="D811" s="2" t="s">
        <v>13</v>
      </c>
      <c r="E811" s="2" t="s">
        <v>14</v>
      </c>
      <c r="F811" s="2" t="s">
        <v>15</v>
      </c>
      <c r="G811" s="2" t="s">
        <v>878</v>
      </c>
      <c r="H811" s="2" t="s">
        <v>52</v>
      </c>
      <c r="I811" s="2" t="str">
        <f>IFERROR(__xludf.DUMMYFUNCTION("GOOGLETRANSLATE(C811,""fr"",""en"")"),"Suitable prices, impeccable service: nothing to complain about!
Years that we are customers and never any concern, even in the event of a claim ....
We recommend without hesitation.
")</f>
        <v>Suitable prices, impeccable service: nothing to complain about!
Years that we are customers and never any concern, even in the event of a claim ....
We recommend without hesitation.
</v>
      </c>
    </row>
    <row r="812" ht="15.75" customHeight="1">
      <c r="A812" s="2">
        <v>3.0</v>
      </c>
      <c r="B812" s="2" t="s">
        <v>2275</v>
      </c>
      <c r="C812" s="2" t="s">
        <v>2276</v>
      </c>
      <c r="D812" s="2" t="s">
        <v>129</v>
      </c>
      <c r="E812" s="2" t="s">
        <v>35</v>
      </c>
      <c r="F812" s="2" t="s">
        <v>15</v>
      </c>
      <c r="G812" s="2" t="s">
        <v>322</v>
      </c>
      <c r="H812" s="2" t="s">
        <v>52</v>
      </c>
      <c r="I812" s="2" t="str">
        <f>IFERROR(__xludf.DUMMYFUNCTION("GOOGLETRANSLATE(C812,""fr"",""en"")"),"I called the MGP mutual to have a schedule and I was answered quickly and I obtained satisfaction following my request.
I recommend the MGP.")</f>
        <v>I called the MGP mutual to have a schedule and I was answered quickly and I obtained satisfaction following my request.
I recommend the MGP.</v>
      </c>
    </row>
    <row r="813" ht="15.75" customHeight="1">
      <c r="A813" s="2">
        <v>4.0</v>
      </c>
      <c r="B813" s="2" t="s">
        <v>2277</v>
      </c>
      <c r="C813" s="2" t="s">
        <v>2278</v>
      </c>
      <c r="D813" s="2" t="s">
        <v>43</v>
      </c>
      <c r="E813" s="2" t="s">
        <v>14</v>
      </c>
      <c r="F813" s="2" t="s">
        <v>15</v>
      </c>
      <c r="G813" s="2" t="s">
        <v>796</v>
      </c>
      <c r="H813" s="2" t="s">
        <v>272</v>
      </c>
      <c r="I813" s="2" t="str">
        <f>IFERROR(__xludf.DUMMYFUNCTION("GOOGLETRANSLATE(C813,""fr"",""en"")"),"Incredible when we are being knocked out in other companies, especially for young people who are starting and who may have had claims ... fast and efficient")</f>
        <v>Incredible when we are being knocked out in other companies, especially for young people who are starting and who may have had claims ... fast and efficient</v>
      </c>
    </row>
    <row r="814" ht="15.75" customHeight="1">
      <c r="A814" s="2">
        <v>4.0</v>
      </c>
      <c r="B814" s="2" t="s">
        <v>2279</v>
      </c>
      <c r="C814" s="2" t="s">
        <v>2280</v>
      </c>
      <c r="D814" s="2" t="s">
        <v>43</v>
      </c>
      <c r="E814" s="2" t="s">
        <v>14</v>
      </c>
      <c r="F814" s="2" t="s">
        <v>15</v>
      </c>
      <c r="G814" s="2" t="s">
        <v>451</v>
      </c>
      <c r="H814" s="2" t="s">
        <v>293</v>
      </c>
      <c r="I814" s="2" t="str">
        <f>IFERROR(__xludf.DUMMYFUNCTION("GOOGLETRANSLATE(C814,""fr"",""en"")"),"Simple and practical, happy with the price and telephone exchanges with customer service.
clear information. Speed ​​in the telephone recall")</f>
        <v>Simple and practical, happy with the price and telephone exchanges with customer service.
clear information. Speed ​​in the telephone recall</v>
      </c>
    </row>
    <row r="815" ht="15.75" customHeight="1">
      <c r="A815" s="2">
        <v>3.0</v>
      </c>
      <c r="B815" s="2" t="s">
        <v>2281</v>
      </c>
      <c r="C815" s="2" t="s">
        <v>2282</v>
      </c>
      <c r="D815" s="2" t="s">
        <v>352</v>
      </c>
      <c r="E815" s="2" t="s">
        <v>14</v>
      </c>
      <c r="F815" s="2" t="s">
        <v>15</v>
      </c>
      <c r="G815" s="2" t="s">
        <v>2283</v>
      </c>
      <c r="H815" s="2" t="s">
        <v>1050</v>
      </c>
      <c r="I815" s="2" t="str">
        <f>IFERROR(__xludf.DUMMYFUNCTION("GOOGLETRANSLATE(C815,""fr"",""en"")"),"For a declaration of a claim, in 30 hours: 50 calls for which all the advisers were already taken and therefore end of the call. I was finally able to be put on hold for 2 hours = I cracked, I was hungry, I hung up. I tried to declare the disaster online "&amp;"but I was asked for the driver of my vehicle when there was none (parking vehicle). It was a compulsory field so I couldn't go further without grasping one. Finally I managed to declare my claim through customer service, but as soon as I had a Declaration"&amp;" Service Advisor An unbearable sizzle appeared (I did not have it before the call or during the waiting music therefore not due to my phone or operator). I spent 20 minutes to declare the disaster with this sizzle and I was too afraid of hanging up to no "&amp;"longer manage to reach this service ...
In short waste of time and very unpleasant.")</f>
        <v>For a declaration of a claim, in 30 hours: 50 calls for which all the advisers were already taken and therefore end of the call. I was finally able to be put on hold for 2 hours = I cracked, I was hungry, I hung up. I tried to declare the disaster online but I was asked for the driver of my vehicle when there was none (parking vehicle). It was a compulsory field so I couldn't go further without grasping one. Finally I managed to declare my claim through customer service, but as soon as I had a Declaration Service Advisor An unbearable sizzle appeared (I did not have it before the call or during the waiting music therefore not due to my phone or operator). I spent 20 minutes to declare the disaster with this sizzle and I was too afraid of hanging up to no longer manage to reach this service ...
In short waste of time and very unpleasant.</v>
      </c>
    </row>
    <row r="816" ht="15.75" customHeight="1">
      <c r="A816" s="2">
        <v>5.0</v>
      </c>
      <c r="B816" s="2" t="s">
        <v>2284</v>
      </c>
      <c r="C816" s="2" t="s">
        <v>2285</v>
      </c>
      <c r="D816" s="2" t="s">
        <v>352</v>
      </c>
      <c r="E816" s="2" t="s">
        <v>14</v>
      </c>
      <c r="F816" s="2" t="s">
        <v>15</v>
      </c>
      <c r="G816" s="2" t="s">
        <v>1202</v>
      </c>
      <c r="H816" s="2" t="s">
        <v>99</v>
      </c>
      <c r="I816" s="2" t="str">
        <f>IFERROR(__xludf.DUMMYFUNCTION("GOOGLETRANSLATE(C816,""fr"",""en"")"),"Always very friendly as much on the phone as in an agency. The prices are adapted to each family. and the site is simple suitable contract and very clearly explained
")</f>
        <v>Always very friendly as much on the phone as in an agency. The prices are adapted to each family. and the site is simple suitable contract and very clearly explained
</v>
      </c>
    </row>
    <row r="817" ht="15.75" customHeight="1">
      <c r="A817" s="2">
        <v>5.0</v>
      </c>
      <c r="B817" s="2" t="s">
        <v>2286</v>
      </c>
      <c r="C817" s="2" t="s">
        <v>2287</v>
      </c>
      <c r="D817" s="2" t="s">
        <v>43</v>
      </c>
      <c r="E817" s="2" t="s">
        <v>14</v>
      </c>
      <c r="F817" s="2" t="s">
        <v>15</v>
      </c>
      <c r="G817" s="2" t="s">
        <v>538</v>
      </c>
      <c r="H817" s="2" t="s">
        <v>272</v>
      </c>
      <c r="I817" s="2" t="str">
        <f>IFERROR(__xludf.DUMMYFUNCTION("GOOGLETRANSLATE(C817,""fr"",""en"")"),"Super I RAP RECOME QUICK THANK YOU very much to receive your final green card, go to the ""My documents"" section of your personal space: you can consult the list of documents to provide us and send them to us in a few clicks.
Upon receipt of these docum"&amp;"ents, your final green card will be sent to you by email within 5 working days and by post under 10 day")</f>
        <v>Super I RAP RECOME QUICK THANK YOU very much to receive your final green card, go to the "My documents" section of your personal space: you can consult the list of documents to provide us and send them to us in a few clicks.
Upon receipt of these documents, your final green card will be sent to you by email within 5 working days and by post under 10 day</v>
      </c>
    </row>
    <row r="818" ht="15.75" customHeight="1">
      <c r="A818" s="2">
        <v>5.0</v>
      </c>
      <c r="B818" s="2" t="s">
        <v>2288</v>
      </c>
      <c r="C818" s="2" t="s">
        <v>2289</v>
      </c>
      <c r="D818" s="2" t="s">
        <v>220</v>
      </c>
      <c r="E818" s="2" t="s">
        <v>35</v>
      </c>
      <c r="F818" s="2" t="s">
        <v>15</v>
      </c>
      <c r="G818" s="2" t="s">
        <v>2290</v>
      </c>
      <c r="H818" s="2" t="s">
        <v>118</v>
      </c>
      <c r="I818" s="2" t="str">
        <f>IFERROR(__xludf.DUMMYFUNCTION("GOOGLETRANSLATE(C818,""fr"",""en"")"),"I took a mutual insurance company at Providency in Lyon I had Mr Victor Cohen an excellent advisor he esplit the quote from A to Z and each time I contact him by email or by phone he is there for me or for my sister And her children I would never change")</f>
        <v>I took a mutual insurance company at Providency in Lyon I had Mr Victor Cohen an excellent advisor he esplit the quote from A to Z and each time I contact him by email or by phone he is there for me or for my sister And her children I would never change</v>
      </c>
    </row>
    <row r="819" ht="15.75" customHeight="1">
      <c r="A819" s="2">
        <v>2.0</v>
      </c>
      <c r="B819" s="2" t="s">
        <v>2291</v>
      </c>
      <c r="C819" s="2" t="s">
        <v>2292</v>
      </c>
      <c r="D819" s="2" t="s">
        <v>195</v>
      </c>
      <c r="E819" s="2" t="s">
        <v>25</v>
      </c>
      <c r="F819" s="2" t="s">
        <v>15</v>
      </c>
      <c r="G819" s="2" t="s">
        <v>2293</v>
      </c>
      <c r="H819" s="2" t="s">
        <v>268</v>
      </c>
      <c r="I819" s="2" t="str">
        <f>IFERROR(__xludf.DUMMYFUNCTION("GOOGLETRANSLATE(C819,""fr"",""en"")"),"I confirm the previous opinions.
I made a partial acquisition on October 14 to pay the property tax.
To date, the transfer has not been made and has been replied to my AFER correspondent that no date could be given!
Soon bankruptcy?")</f>
        <v>I confirm the previous opinions.
I made a partial acquisition on October 14 to pay the property tax.
To date, the transfer has not been made and has been replied to my AFER correspondent that no date could be given!
Soon bankruptcy?</v>
      </c>
    </row>
    <row r="820" ht="15.75" customHeight="1">
      <c r="A820" s="2">
        <v>1.0</v>
      </c>
      <c r="B820" s="2" t="s">
        <v>2294</v>
      </c>
      <c r="C820" s="2" t="s">
        <v>2295</v>
      </c>
      <c r="D820" s="2" t="s">
        <v>19</v>
      </c>
      <c r="E820" s="2" t="s">
        <v>85</v>
      </c>
      <c r="F820" s="2" t="s">
        <v>15</v>
      </c>
      <c r="G820" s="2" t="s">
        <v>2296</v>
      </c>
      <c r="H820" s="2" t="s">
        <v>1050</v>
      </c>
      <c r="I820" s="2" t="str">
        <f>IFERROR(__xludf.DUMMYFUNCTION("GOOGLETRANSLATE(C820,""fr"",""en"")"),"Client relationship no advisor on agency null no return of requests we leave the customer in the m despite 30 years of member we do not respond to customers and to date it has been 40 days that I have no answers
So I just withdrew some contracts no probl"&amp;"ems to find another insurer")</f>
        <v>Client relationship no advisor on agency null no return of requests we leave the customer in the m despite 30 years of member we do not respond to customers and to date it has been 40 days that I have no answers
So I just withdrew some contracts no problems to find another insurer</v>
      </c>
    </row>
    <row r="821" ht="15.75" customHeight="1">
      <c r="A821" s="2">
        <v>1.0</v>
      </c>
      <c r="B821" s="2" t="s">
        <v>2297</v>
      </c>
      <c r="C821" s="2" t="s">
        <v>2298</v>
      </c>
      <c r="D821" s="2" t="s">
        <v>559</v>
      </c>
      <c r="E821" s="2" t="s">
        <v>317</v>
      </c>
      <c r="F821" s="2" t="s">
        <v>15</v>
      </c>
      <c r="G821" s="2" t="s">
        <v>2299</v>
      </c>
      <c r="H821" s="2" t="s">
        <v>162</v>
      </c>
      <c r="I821" s="2" t="str">
        <f>IFERROR(__xludf.DUMMYFUNCTION("GOOGLETRANSLATE(C821,""fr"",""en"")"),"Once you have signed, unreachable by phone ""recall later"", they do not read the letters you send them (so do not hope for any answer if you have any problem). On the other hand, sends you highlights by registered mail as soon as their sample system brea"&amp;"ks down ...")</f>
        <v>Once you have signed, unreachable by phone "recall later", they do not read the letters you send them (so do not hope for any answer if you have any problem). On the other hand, sends you highlights by registered mail as soon as their sample system breaks down ...</v>
      </c>
    </row>
    <row r="822" ht="15.75" customHeight="1">
      <c r="A822" s="2">
        <v>1.0</v>
      </c>
      <c r="B822" s="2" t="s">
        <v>2300</v>
      </c>
      <c r="C822" s="2" t="s">
        <v>2301</v>
      </c>
      <c r="D822" s="2" t="s">
        <v>224</v>
      </c>
      <c r="E822" s="2" t="s">
        <v>35</v>
      </c>
      <c r="F822" s="2" t="s">
        <v>15</v>
      </c>
      <c r="G822" s="2" t="s">
        <v>2302</v>
      </c>
      <c r="H822" s="2" t="s">
        <v>123</v>
      </c>
      <c r="I822" s="2" t="str">
        <f>IFERROR(__xludf.DUMMYFUNCTION("GOOGLETRANSLATE(C822,""fr"",""en"")"),"A disaster...
I was harassed for days and days for me to subscribe ... which I did .....
Unpleasant advisor who takes you high.
Living, says she did not receive my documents, she admitted to having received them when I sent her two screenshots, proving"&amp;" that I sent the documents not received twice ...
Then I made me shive extraordinary guarantees ...
My glasses with one evening saying zero remains at the expense of Optique 2000 ...
OK by taking mounts at 40 € in plastic and glasses without anti -refl"&amp;"ective, the lady was nice and thinned the glasses ...
Orthodontist .... Madame you will have nothing to pay ..... with the initial + ... the € 340 of orthodontic care ... you will be limited more than what you have paid hihihi (that It's his laugh).
And"&amp;" this morning good news ... remained dependent on € 140 ....
I went through Oxylians ...
Flee Flee Flee the brokers ...
I don't blame Neoliane but no longer to the brokers who sold me dreams and well put in the ground")</f>
        <v>A disaster...
I was harassed for days and days for me to subscribe ... which I did .....
Unpleasant advisor who takes you high.
Living, says she did not receive my documents, she admitted to having received them when I sent her two screenshots, proving that I sent the documents not received twice ...
Then I made me shive extraordinary guarantees ...
My glasses with one evening saying zero remains at the expense of Optique 2000 ...
OK by taking mounts at 40 € in plastic and glasses without anti -reflective, the lady was nice and thinned the glasses ...
Orthodontist .... Madame you will have nothing to pay ..... with the initial + ... the € 340 of orthodontic care ... you will be limited more than what you have paid hihihi (that It's his laugh).
And this morning good news ... remained dependent on € 140 ....
I went through Oxylians ...
Flee Flee Flee the brokers ...
I don't blame Neoliane but no longer to the brokers who sold me dreams and well put in the ground</v>
      </c>
    </row>
    <row r="823" ht="15.75" customHeight="1">
      <c r="A823" s="2">
        <v>3.0</v>
      </c>
      <c r="B823" s="2" t="s">
        <v>2303</v>
      </c>
      <c r="C823" s="2" t="s">
        <v>2304</v>
      </c>
      <c r="D823" s="2" t="s">
        <v>13</v>
      </c>
      <c r="E823" s="2" t="s">
        <v>14</v>
      </c>
      <c r="F823" s="2" t="s">
        <v>15</v>
      </c>
      <c r="G823" s="2" t="s">
        <v>1295</v>
      </c>
      <c r="H823" s="2" t="s">
        <v>68</v>
      </c>
      <c r="I823" s="2" t="str">
        <f>IFERROR(__xludf.DUMMYFUNCTION("GOOGLETRANSLATE(C823,""fr"",""en"")"),"Moderately satisfied, because I have the quote for my 2 vehicles and I found the price higher than what I am currently paying.
For the house I am rather satisfied")</f>
        <v>Moderately satisfied, because I have the quote for my 2 vehicles and I found the price higher than what I am currently paying.
For the house I am rather satisfied</v>
      </c>
    </row>
    <row r="824" ht="15.75" customHeight="1">
      <c r="A824" s="2">
        <v>1.0</v>
      </c>
      <c r="B824" s="2" t="s">
        <v>2305</v>
      </c>
      <c r="C824" s="2" t="s">
        <v>2306</v>
      </c>
      <c r="D824" s="2" t="s">
        <v>352</v>
      </c>
      <c r="E824" s="2" t="s">
        <v>14</v>
      </c>
      <c r="F824" s="2" t="s">
        <v>15</v>
      </c>
      <c r="G824" s="2" t="s">
        <v>2307</v>
      </c>
      <c r="H824" s="2" t="s">
        <v>158</v>
      </c>
      <c r="I824" s="2" t="str">
        <f>IFERROR(__xludf.DUMMYFUNCTION("GOOGLETRANSLATE(C824,""fr"",""en"")"),"It is a very good insurer when you don't need it.
As long as we pay, and no claim, perfect! But above all, do not need their services!")</f>
        <v>It is a very good insurer when you don't need it.
As long as we pay, and no claim, perfect! But above all, do not need their services!</v>
      </c>
    </row>
    <row r="825" ht="15.75" customHeight="1">
      <c r="A825" s="2">
        <v>4.0</v>
      </c>
      <c r="B825" s="2" t="s">
        <v>2308</v>
      </c>
      <c r="C825" s="2" t="s">
        <v>2309</v>
      </c>
      <c r="D825" s="2" t="s">
        <v>13</v>
      </c>
      <c r="E825" s="2" t="s">
        <v>14</v>
      </c>
      <c r="F825" s="2" t="s">
        <v>15</v>
      </c>
      <c r="G825" s="2" t="s">
        <v>1310</v>
      </c>
      <c r="H825" s="2" t="s">
        <v>192</v>
      </c>
      <c r="I825" s="2" t="str">
        <f>IFERROR(__xludf.DUMMYFUNCTION("GOOGLETRANSLATE(C825,""fr"",""en"")"),"Satisfied with the service to date. Correct rates. Hopefully the service remains good. If so, I would not hesitate to recommend Direct Insurance.")</f>
        <v>Satisfied with the service to date. Correct rates. Hopefully the service remains good. If so, I would not hesitate to recommend Direct Insurance.</v>
      </c>
    </row>
    <row r="826" ht="15.75" customHeight="1">
      <c r="A826" s="2">
        <v>4.0</v>
      </c>
      <c r="B826" s="2" t="s">
        <v>2310</v>
      </c>
      <c r="C826" s="2" t="s">
        <v>2311</v>
      </c>
      <c r="D826" s="2" t="s">
        <v>13</v>
      </c>
      <c r="E826" s="2" t="s">
        <v>14</v>
      </c>
      <c r="F826" s="2" t="s">
        <v>15</v>
      </c>
      <c r="G826" s="2" t="s">
        <v>2312</v>
      </c>
      <c r="H826" s="2" t="s">
        <v>146</v>
      </c>
      <c r="I826" s="2" t="str">
        <f>IFERROR(__xludf.DUMMYFUNCTION("GOOGLETRANSLATE(C826,""fr"",""en"")"),"The price suits me. My mother is with you and very satisfied. I want the quote because I want to be able to compare the amount of deductibles with my current insurer.")</f>
        <v>The price suits me. My mother is with you and very satisfied. I want the quote because I want to be able to compare the amount of deductibles with my current insurer.</v>
      </c>
    </row>
    <row r="827" ht="15.75" customHeight="1">
      <c r="A827" s="2">
        <v>4.0</v>
      </c>
      <c r="B827" s="2" t="s">
        <v>2313</v>
      </c>
      <c r="C827" s="2" t="s">
        <v>2314</v>
      </c>
      <c r="D827" s="2" t="s">
        <v>448</v>
      </c>
      <c r="E827" s="2" t="s">
        <v>112</v>
      </c>
      <c r="F827" s="2" t="s">
        <v>15</v>
      </c>
      <c r="G827" s="2" t="s">
        <v>1996</v>
      </c>
      <c r="H827" s="2" t="s">
        <v>99</v>
      </c>
      <c r="I827" s="2" t="str">
        <f>IFERROR(__xludf.DUMMYFUNCTION("GOOGLETRANSLATE(C827,""fr"",""en"")"),"Super good price. 1st contact with my nickel interlocutor very pleasant and very responsive to my requests I hope that after the signature that he will continue to be reactive")</f>
        <v>Super good price. 1st contact with my nickel interlocutor very pleasant and very responsive to my requests I hope that after the signature that he will continue to be reactive</v>
      </c>
    </row>
    <row r="828" ht="15.75" customHeight="1">
      <c r="A828" s="2">
        <v>5.0</v>
      </c>
      <c r="B828" s="2" t="s">
        <v>2315</v>
      </c>
      <c r="C828" s="2" t="s">
        <v>2316</v>
      </c>
      <c r="D828" s="2" t="s">
        <v>43</v>
      </c>
      <c r="E828" s="2" t="s">
        <v>14</v>
      </c>
      <c r="F828" s="2" t="s">
        <v>15</v>
      </c>
      <c r="G828" s="2" t="s">
        <v>2317</v>
      </c>
      <c r="H828" s="2" t="s">
        <v>99</v>
      </c>
      <c r="I828" s="2" t="str">
        <f>IFERROR(__xludf.DUMMYFUNCTION("GOOGLETRANSLATE(C828,""fr"",""en"")"),"Very satisfied; Super welcome, very clear, very teacher, really thank you, the audit of the need is very well done, the insurance proposals in line with the need.")</f>
        <v>Very satisfied; Super welcome, very clear, very teacher, really thank you, the audit of the need is very well done, the insurance proposals in line with the need.</v>
      </c>
    </row>
    <row r="829" ht="15.75" customHeight="1">
      <c r="A829" s="2">
        <v>3.0</v>
      </c>
      <c r="B829" s="2" t="s">
        <v>2318</v>
      </c>
      <c r="C829" s="2" t="s">
        <v>2319</v>
      </c>
      <c r="D829" s="2" t="s">
        <v>34</v>
      </c>
      <c r="E829" s="2" t="s">
        <v>35</v>
      </c>
      <c r="F829" s="2" t="s">
        <v>15</v>
      </c>
      <c r="G829" s="2" t="s">
        <v>279</v>
      </c>
      <c r="H829" s="2" t="s">
        <v>52</v>
      </c>
      <c r="I829" s="2" t="str">
        <f>IFERROR(__xludf.DUMMYFUNCTION("GOOGLETRANSLATE(C829,""fr"",""en"")"),"I am satisfied with the answer brought by Emeline who quickly studied my file when I called. Waiting time for 5 minutes. It stands. Thank you.")</f>
        <v>I am satisfied with the answer brought by Emeline who quickly studied my file when I called. Waiting time for 5 minutes. It stands. Thank you.</v>
      </c>
    </row>
    <row r="830" ht="15.75" customHeight="1">
      <c r="A830" s="2">
        <v>1.0</v>
      </c>
      <c r="B830" s="2" t="s">
        <v>2320</v>
      </c>
      <c r="C830" s="2" t="s">
        <v>2321</v>
      </c>
      <c r="D830" s="2" t="s">
        <v>13</v>
      </c>
      <c r="E830" s="2" t="s">
        <v>14</v>
      </c>
      <c r="F830" s="2" t="s">
        <v>15</v>
      </c>
      <c r="G830" s="2" t="s">
        <v>2322</v>
      </c>
      <c r="H830" s="2" t="s">
        <v>99</v>
      </c>
      <c r="I830" s="2" t="str">
        <f>IFERROR(__xludf.DUMMYFUNCTION("GOOGLETRANSLATE(C830,""fr"",""en"")"),"Following a disaster this summer, I had to spend my time on the phone with the mechanic (who did his job) to bring the expert, my insurance having left the pending file without denying me to keep me informed of the advance Work etc ... it is intolerable n"&amp;"ot to keep your customers informed and not to reimburse any costs incurred to recover a car 500km from your home, while insurance is solely responsible for the vehicle after its care by its partners . A computer error would be at the origin of all my ailm"&amp;"ents, this bug is not my responsibility, as a contrario the insurance has an obligation of result and my monthly contributions show a membership in partnership with it ... This case why such a lack of professionalism! It is obvious that this insurance is "&amp;"to be avoided")</f>
        <v>Following a disaster this summer, I had to spend my time on the phone with the mechanic (who did his job) to bring the expert, my insurance having left the pending file without denying me to keep me informed of the advance Work etc ... it is intolerable not to keep your customers informed and not to reimburse any costs incurred to recover a car 500km from your home, while insurance is solely responsible for the vehicle after its care by its partners . A computer error would be at the origin of all my ailments, this bug is not my responsibility, as a contrario the insurance has an obligation of result and my monthly contributions show a membership in partnership with it ... This case why such a lack of professionalism! It is obvious that this insurance is to be avoided</v>
      </c>
    </row>
    <row r="831" ht="15.75" customHeight="1">
      <c r="A831" s="2">
        <v>4.0</v>
      </c>
      <c r="B831" s="2" t="s">
        <v>2323</v>
      </c>
      <c r="C831" s="2" t="s">
        <v>2324</v>
      </c>
      <c r="D831" s="2" t="s">
        <v>43</v>
      </c>
      <c r="E831" s="2" t="s">
        <v>14</v>
      </c>
      <c r="F831" s="2" t="s">
        <v>15</v>
      </c>
      <c r="G831" s="2" t="s">
        <v>1108</v>
      </c>
      <c r="H831" s="2" t="s">
        <v>192</v>
      </c>
      <c r="I831" s="2" t="str">
        <f>IFERROR(__xludf.DUMMYFUNCTION("GOOGLETRANSLATE(C831,""fr"",""en"")"),"For the moment, good quality customer service and intuitive process for subscription. I hope it will be the same in terms of claims management.")</f>
        <v>For the moment, good quality customer service and intuitive process for subscription. I hope it will be the same in terms of claims management.</v>
      </c>
    </row>
    <row r="832" ht="15.75" customHeight="1">
      <c r="A832" s="2">
        <v>4.0</v>
      </c>
      <c r="B832" s="2" t="s">
        <v>2325</v>
      </c>
      <c r="C832" s="2" t="s">
        <v>2326</v>
      </c>
      <c r="D832" s="2" t="s">
        <v>43</v>
      </c>
      <c r="E832" s="2" t="s">
        <v>14</v>
      </c>
      <c r="F832" s="2" t="s">
        <v>15</v>
      </c>
      <c r="G832" s="2" t="s">
        <v>2327</v>
      </c>
      <c r="H832" s="2" t="s">
        <v>72</v>
      </c>
      <c r="I832" s="2" t="str">
        <f>IFERROR(__xludf.DUMMYFUNCTION("GOOGLETRANSLATE(C832,""fr"",""en"")"),"Simple and effective, the reception of the website is very simple, the same for making the quote.
I was quickly called the super nice person and explains very well I recommend.")</f>
        <v>Simple and effective, the reception of the website is very simple, the same for making the quote.
I was quickly called the super nice person and explains very well I recommend.</v>
      </c>
    </row>
    <row r="833" ht="15.75" customHeight="1">
      <c r="A833" s="2">
        <v>3.0</v>
      </c>
      <c r="B833" s="2" t="s">
        <v>2328</v>
      </c>
      <c r="C833" s="2" t="s">
        <v>2329</v>
      </c>
      <c r="D833" s="2" t="s">
        <v>224</v>
      </c>
      <c r="E833" s="2" t="s">
        <v>35</v>
      </c>
      <c r="F833" s="2" t="s">
        <v>15</v>
      </c>
      <c r="G833" s="2" t="s">
        <v>2302</v>
      </c>
      <c r="H833" s="2" t="s">
        <v>123</v>
      </c>
      <c r="I833" s="2" t="str">
        <f>IFERROR(__xludf.DUMMYFUNCTION("GOOGLETRANSLATE(C833,""fr"",""en"")"),"Satisfactory service, to date not difficulties noted in information and data processing, developments in the satisfactory and advantageous contract. Proposals for new contracts and interesting sponsorships.")</f>
        <v>Satisfactory service, to date not difficulties noted in information and data processing, developments in the satisfactory and advantageous contract. Proposals for new contracts and interesting sponsorships.</v>
      </c>
    </row>
    <row r="834" ht="15.75" customHeight="1">
      <c r="A834" s="2">
        <v>4.0</v>
      </c>
      <c r="B834" s="2" t="s">
        <v>2330</v>
      </c>
      <c r="C834" s="2" t="s">
        <v>2331</v>
      </c>
      <c r="D834" s="2" t="s">
        <v>224</v>
      </c>
      <c r="E834" s="2" t="s">
        <v>35</v>
      </c>
      <c r="F834" s="2" t="s">
        <v>15</v>
      </c>
      <c r="G834" s="2" t="s">
        <v>773</v>
      </c>
      <c r="H834" s="2" t="s">
        <v>68</v>
      </c>
      <c r="I834" s="2" t="str">
        <f>IFERROR(__xludf.DUMMYFUNCTION("GOOGLETRANSLATE(C834,""fr"",""en"")"),"Nisrine person who understands the customers each question his precise sometimes awaits him and a little long but otherwise the information was precise I had information that I wanted")</f>
        <v>Nisrine person who understands the customers each question his precise sometimes awaits him and a little long but otherwise the information was precise I had information that I wanted</v>
      </c>
    </row>
    <row r="835" ht="15.75" customHeight="1">
      <c r="A835" s="2">
        <v>1.0</v>
      </c>
      <c r="B835" s="2" t="s">
        <v>2332</v>
      </c>
      <c r="C835" s="2" t="s">
        <v>2333</v>
      </c>
      <c r="D835" s="2" t="s">
        <v>116</v>
      </c>
      <c r="E835" s="2" t="s">
        <v>35</v>
      </c>
      <c r="F835" s="2" t="s">
        <v>15</v>
      </c>
      <c r="G835" s="2" t="s">
        <v>2334</v>
      </c>
      <c r="H835" s="2" t="s">
        <v>533</v>
      </c>
      <c r="I835" s="2" t="str">
        <f>IFERROR(__xludf.DUMMYFUNCTION("GOOGLETRANSLATE(C835,""fr"",""en"")"),"Simply zero. Very expensive mutual and reimburse nothing. Unable to reach them by phone. More than 5 months to terminate a contract. At the termination, I still receive letters. No professionalism")</f>
        <v>Simply zero. Very expensive mutual and reimburse nothing. Unable to reach them by phone. More than 5 months to terminate a contract. At the termination, I still receive letters. No professionalism</v>
      </c>
    </row>
    <row r="836" ht="15.75" customHeight="1">
      <c r="A836" s="2">
        <v>5.0</v>
      </c>
      <c r="B836" s="2" t="s">
        <v>2335</v>
      </c>
      <c r="C836" s="2" t="s">
        <v>2336</v>
      </c>
      <c r="D836" s="2" t="s">
        <v>97</v>
      </c>
      <c r="E836" s="2" t="s">
        <v>56</v>
      </c>
      <c r="F836" s="2" t="s">
        <v>15</v>
      </c>
      <c r="G836" s="2" t="s">
        <v>547</v>
      </c>
      <c r="H836" s="2" t="s">
        <v>272</v>
      </c>
      <c r="I836" s="2" t="str">
        <f>IFERROR(__xludf.DUMMYFUNCTION("GOOGLETRANSLATE(C836,""fr"",""en"")"),"A good reputation among bikers ... to encourage.
Amv my first insurer, more than forty years ago, so I remain faithful to the brand. Stay on top")</f>
        <v>A good reputation among bikers ... to encourage.
Amv my first insurer, more than forty years ago, so I remain faithful to the brand. Stay on top</v>
      </c>
    </row>
    <row r="837" ht="15.75" customHeight="1">
      <c r="A837" s="2">
        <v>1.0</v>
      </c>
      <c r="B837" s="2" t="s">
        <v>2337</v>
      </c>
      <c r="C837" s="2" t="s">
        <v>2338</v>
      </c>
      <c r="D837" s="2" t="s">
        <v>43</v>
      </c>
      <c r="E837" s="2" t="s">
        <v>14</v>
      </c>
      <c r="F837" s="2" t="s">
        <v>15</v>
      </c>
      <c r="G837" s="2" t="s">
        <v>213</v>
      </c>
      <c r="H837" s="2" t="s">
        <v>213</v>
      </c>
      <c r="I837" s="2" t="str">
        <f>IFERROR(__xludf.DUMMYFUNCTION("GOOGLETRANSLATE(C837,""fr"",""en"")"),"DEPLORABLE")</f>
        <v>DEPLORABLE</v>
      </c>
    </row>
    <row r="838" ht="15.75" customHeight="1">
      <c r="A838" s="2">
        <v>1.0</v>
      </c>
      <c r="B838" s="2" t="s">
        <v>2339</v>
      </c>
      <c r="C838" s="2" t="s">
        <v>2340</v>
      </c>
      <c r="D838" s="2" t="s">
        <v>34</v>
      </c>
      <c r="E838" s="2" t="s">
        <v>35</v>
      </c>
      <c r="F838" s="2" t="s">
        <v>15</v>
      </c>
      <c r="G838" s="2" t="s">
        <v>188</v>
      </c>
      <c r="H838" s="2" t="s">
        <v>16</v>
      </c>
      <c r="I838" s="2" t="str">
        <f>IFERROR(__xludf.DUMMYFUNCTION("GOOGLETRANSLATE(C838,""fr"",""en"")"),"Incompetent or biased?
End August 2020 I contacted Santiane to choose a mutual with only a hospital coverage. They oriented me to Neoliane which actually offers the Santeco / Hospi 1 and Santeco / Hospi 2 formulas (this is always the case).
Unfortunat"&amp;"ely too confident on the pre-selection carried out on the phone I misunderstood the document sent by mail preselected for another formula which also covers the drugs which does not interest me.
Since then it is the dialogue of deaf with Satiane which d"&amp;"enies the existence of the Hospi 1 and Hospi 2 formulas while I have the PDF document sent by Neoliane before the eyes! Just go to the Neoliane site to see this offer again!
I got to ask my Santian interlocutor if the information I had been sent to me."&amp;" Santiane answer: ""maybe""! Unbelievable. Call at 10:55 a.m. on 18/11/2020 I hope it is recorded! I carefully keep the call number in case it ends in court.
Either Santiane systematically directs customers to the most expensive formulas or they ""forg"&amp;"et"" the other formulas or they have never known them.
In all cases: flee this incompetent or biased ""comparator""")</f>
        <v>Incompetent or biased?
End August 2020 I contacted Santiane to choose a mutual with only a hospital coverage. They oriented me to Neoliane which actually offers the Santeco / Hospi 1 and Santeco / Hospi 2 formulas (this is always the case).
Unfortunately too confident on the pre-selection carried out on the phone I misunderstood the document sent by mail preselected for another formula which also covers the drugs which does not interest me.
Since then it is the dialogue of deaf with Satiane which denies the existence of the Hospi 1 and Hospi 2 formulas while I have the PDF document sent by Neoliane before the eyes! Just go to the Neoliane site to see this offer again!
I got to ask my Santian interlocutor if the information I had been sent to me. Santiane answer: "maybe"! Unbelievable. Call at 10:55 a.m. on 18/11/2020 I hope it is recorded! I carefully keep the call number in case it ends in court.
Either Santiane systematically directs customers to the most expensive formulas or they "forget" the other formulas or they have never known them.
In all cases: flee this incompetent or biased "comparator"</v>
      </c>
    </row>
    <row r="839" ht="15.75" customHeight="1">
      <c r="A839" s="2">
        <v>5.0</v>
      </c>
      <c r="B839" s="2" t="s">
        <v>2341</v>
      </c>
      <c r="C839" s="2" t="s">
        <v>2342</v>
      </c>
      <c r="D839" s="2" t="s">
        <v>55</v>
      </c>
      <c r="E839" s="2" t="s">
        <v>56</v>
      </c>
      <c r="F839" s="2" t="s">
        <v>15</v>
      </c>
      <c r="G839" s="2" t="s">
        <v>1331</v>
      </c>
      <c r="H839" s="2" t="s">
        <v>72</v>
      </c>
      <c r="I839" s="2" t="str">
        <f>IFERROR(__xludf.DUMMYFUNCTION("GOOGLETRANSLATE(C839,""fr"",""en"")"),"I am satisfied with the service and thank you for the great prices you make for the motorcycles continue like that to assure us and to make us happy thank you")</f>
        <v>I am satisfied with the service and thank you for the great prices you make for the motorcycles continue like that to assure us and to make us happy thank you</v>
      </c>
    </row>
    <row r="840" ht="15.75" customHeight="1">
      <c r="A840" s="2">
        <v>4.0</v>
      </c>
      <c r="B840" s="2" t="s">
        <v>2343</v>
      </c>
      <c r="C840" s="2" t="s">
        <v>2344</v>
      </c>
      <c r="D840" s="2" t="s">
        <v>352</v>
      </c>
      <c r="E840" s="2" t="s">
        <v>14</v>
      </c>
      <c r="F840" s="2" t="s">
        <v>15</v>
      </c>
      <c r="G840" s="2" t="s">
        <v>126</v>
      </c>
      <c r="H840" s="2" t="s">
        <v>72</v>
      </c>
      <c r="I840" s="2" t="str">
        <f>IFERROR(__xludf.DUMMYFUNCTION("GOOGLETRANSLATE(C840,""fr"",""en"")"),"I appreciate the customer relationship that we had with our very professional and very kind advisor.
The price is better than what we had at our previous insurer without having to lower in terms of warranty")</f>
        <v>I appreciate the customer relationship that we had with our very professional and very kind advisor.
The price is better than what we had at our previous insurer without having to lower in terms of warranty</v>
      </c>
    </row>
    <row r="841" ht="15.75" customHeight="1">
      <c r="A841" s="2">
        <v>3.0</v>
      </c>
      <c r="B841" s="2" t="s">
        <v>2345</v>
      </c>
      <c r="C841" s="2" t="s">
        <v>2346</v>
      </c>
      <c r="D841" s="2" t="s">
        <v>43</v>
      </c>
      <c r="E841" s="2" t="s">
        <v>14</v>
      </c>
      <c r="F841" s="2" t="s">
        <v>15</v>
      </c>
      <c r="G841" s="2" t="s">
        <v>964</v>
      </c>
      <c r="H841" s="2" t="s">
        <v>166</v>
      </c>
      <c r="I841" s="2" t="str">
        <f>IFERROR(__xludf.DUMMYFUNCTION("GOOGLETRANSLATE(C841,""fr"",""en"")"),"Very well I am satisfied with the service but the price is high. Hoping that it is falling over time. Cordially. Fofana Safiatou .................")</f>
        <v>Very well I am satisfied with the service but the price is high. Hoping that it is falling over time. Cordially. Fofana Safiatou .................</v>
      </c>
    </row>
    <row r="842" ht="15.75" customHeight="1">
      <c r="A842" s="2">
        <v>5.0</v>
      </c>
      <c r="B842" s="2" t="s">
        <v>2347</v>
      </c>
      <c r="C842" s="2" t="s">
        <v>2348</v>
      </c>
      <c r="D842" s="2" t="s">
        <v>129</v>
      </c>
      <c r="E842" s="2" t="s">
        <v>35</v>
      </c>
      <c r="F842" s="2" t="s">
        <v>15</v>
      </c>
      <c r="G842" s="2" t="s">
        <v>2349</v>
      </c>
      <c r="H842" s="2" t="s">
        <v>293</v>
      </c>
      <c r="I842" s="2" t="str">
        <f>IFERROR(__xludf.DUMMYFUNCTION("GOOGLETRANSLATE(C842,""fr"",""en"")"),"I have always been very satisfied with the MGP services and contacts with customer service.
I made a call today at 10:26 am for a problem of the amount of subscription and the operator I had was really very professional and above all extremely pleasant"&amp;" on the phone.
You can congratulate her for whom she is.")</f>
        <v>I have always been very satisfied with the MGP services and contacts with customer service.
I made a call today at 10:26 am for a problem of the amount of subscription and the operator I had was really very professional and above all extremely pleasant on the phone.
You can congratulate her for whom she is.</v>
      </c>
    </row>
    <row r="843" ht="15.75" customHeight="1">
      <c r="A843" s="2">
        <v>5.0</v>
      </c>
      <c r="B843" s="2" t="s">
        <v>2350</v>
      </c>
      <c r="C843" s="2" t="s">
        <v>2351</v>
      </c>
      <c r="D843" s="2" t="s">
        <v>13</v>
      </c>
      <c r="E843" s="2" t="s">
        <v>14</v>
      </c>
      <c r="F843" s="2" t="s">
        <v>15</v>
      </c>
      <c r="G843" s="2" t="s">
        <v>459</v>
      </c>
      <c r="H843" s="2" t="s">
        <v>72</v>
      </c>
      <c r="I843" s="2" t="str">
        <f>IFERROR(__xludf.DUMMYFUNCTION("GOOGLETRANSLATE(C843,""fr"",""en"")"),"Prices suit me
To see later if the customer follow -up, in the event of an unhappy incident, is up to the height
I have nothing else to add it was missing characters")</f>
        <v>Prices suit me
To see later if the customer follow -up, in the event of an unhappy incident, is up to the height
I have nothing else to add it was missing characters</v>
      </c>
    </row>
    <row r="844" ht="15.75" customHeight="1">
      <c r="A844" s="2">
        <v>2.0</v>
      </c>
      <c r="B844" s="2" t="s">
        <v>2352</v>
      </c>
      <c r="C844" s="2" t="s">
        <v>2353</v>
      </c>
      <c r="D844" s="2" t="s">
        <v>156</v>
      </c>
      <c r="E844" s="2" t="s">
        <v>85</v>
      </c>
      <c r="F844" s="2" t="s">
        <v>15</v>
      </c>
      <c r="G844" s="2" t="s">
        <v>2354</v>
      </c>
      <c r="H844" s="2" t="s">
        <v>158</v>
      </c>
      <c r="I844" s="2" t="str">
        <f>IFERROR(__xludf.DUMMYFUNCTION("GOOGLETRANSLATE(C844,""fr"",""en"")"),"Client for 7 years my home contract is terminated for 2 claims
A water damage in 2013 The responsibility was the condominium but as a refurbishment ceiling has not been reached, it was the MAAF which paid it was the arrangements between insurers
The sec"&amp;"ond claims in 2016 an electric damage La MAAF reimbursed 850 euros
I leave the maaf without regret
")</f>
        <v>Client for 7 years my home contract is terminated for 2 claims
A water damage in 2013 The responsibility was the condominium but as a refurbishment ceiling has not been reached, it was the MAAF which paid it was the arrangements between insurers
The second claims in 2016 an electric damage La MAAF reimbursed 850 euros
I leave the maaf without regret
</v>
      </c>
    </row>
    <row r="845" ht="15.75" customHeight="1">
      <c r="A845" s="2">
        <v>2.0</v>
      </c>
      <c r="B845" s="2" t="s">
        <v>2355</v>
      </c>
      <c r="C845" s="2" t="s">
        <v>2356</v>
      </c>
      <c r="D845" s="2" t="s">
        <v>19</v>
      </c>
      <c r="E845" s="2" t="s">
        <v>317</v>
      </c>
      <c r="F845" s="2" t="s">
        <v>15</v>
      </c>
      <c r="G845" s="2" t="s">
        <v>1358</v>
      </c>
      <c r="H845" s="2" t="s">
        <v>213</v>
      </c>
      <c r="I845" s="2" t="str">
        <f>IFERROR(__xludf.DUMMYFUNCTION("GOOGLETRANSLATE(C845,""fr"",""en"")"),"Deadlines for response to unacceptable emails. Attachments that are lost or that do not arrive. Interlocutors who hang up on you. Relances that are reproached to you. !!!")</f>
        <v>Deadlines for response to unacceptable emails. Attachments that are lost or that do not arrive. Interlocutors who hang up on you. Relances that are reproached to you. !!!</v>
      </c>
    </row>
    <row r="846" ht="15.75" customHeight="1">
      <c r="A846" s="2">
        <v>3.0</v>
      </c>
      <c r="B846" s="2" t="s">
        <v>2357</v>
      </c>
      <c r="C846" s="2" t="s">
        <v>2358</v>
      </c>
      <c r="D846" s="2" t="s">
        <v>97</v>
      </c>
      <c r="E846" s="2" t="s">
        <v>56</v>
      </c>
      <c r="F846" s="2" t="s">
        <v>15</v>
      </c>
      <c r="G846" s="2" t="s">
        <v>498</v>
      </c>
      <c r="H846" s="2" t="s">
        <v>99</v>
      </c>
      <c r="I846" s="2" t="str">
        <f>IFERROR(__xludf.DUMMYFUNCTION("GOOGLETRANSLATE(C846,""fr"",""en"")"),"I am satisfied with this insurance! I will recommend my it will be a lot to have sponsorship to have small discounts !!! I hope to have my green card fairly quickly")</f>
        <v>I am satisfied with this insurance! I will recommend my it will be a lot to have sponsorship to have small discounts !!! I hope to have my green card fairly quickly</v>
      </c>
    </row>
    <row r="847" ht="15.75" customHeight="1">
      <c r="A847" s="2">
        <v>1.0</v>
      </c>
      <c r="B847" s="2" t="s">
        <v>2359</v>
      </c>
      <c r="C847" s="2" t="s">
        <v>2360</v>
      </c>
      <c r="D847" s="2" t="s">
        <v>766</v>
      </c>
      <c r="E847" s="2" t="s">
        <v>144</v>
      </c>
      <c r="F847" s="2" t="s">
        <v>15</v>
      </c>
      <c r="G847" s="2" t="s">
        <v>1370</v>
      </c>
      <c r="H847" s="2" t="s">
        <v>31</v>
      </c>
      <c r="I847" s="2" t="str">
        <f>IFERROR(__xludf.DUMMYFUNCTION("GOOGLETRANSLATE(C847,""fr"",""en"")"),"Insurance for animals are too expensive, not enough guarantees, telephone harassment, laborious termination and no communication between services")</f>
        <v>Insurance for animals are too expensive, not enough guarantees, telephone harassment, laborious termination and no communication between services</v>
      </c>
    </row>
    <row r="848" ht="15.75" customHeight="1">
      <c r="A848" s="2">
        <v>4.0</v>
      </c>
      <c r="B848" s="2" t="s">
        <v>2361</v>
      </c>
      <c r="C848" s="2" t="s">
        <v>2362</v>
      </c>
      <c r="D848" s="2" t="s">
        <v>345</v>
      </c>
      <c r="E848" s="2" t="s">
        <v>35</v>
      </c>
      <c r="F848" s="2" t="s">
        <v>15</v>
      </c>
      <c r="G848" s="2" t="s">
        <v>2363</v>
      </c>
      <c r="H848" s="2" t="s">
        <v>1029</v>
      </c>
      <c r="I848" s="2" t="str">
        <f>IFERROR(__xludf.DUMMYFUNCTION("GOOGLETRANSLATE(C848,""fr"",""en"")"),"Excellent mutual
Very serious.
A little more expensive than others but the quality of service is impeccable.
I strongly recommend this complementary health if you wish to be serene in all circumstances.
")</f>
        <v>Excellent mutual
Very serious.
A little more expensive than others but the quality of service is impeccable.
I strongly recommend this complementary health if you wish to be serene in all circumstances.
</v>
      </c>
    </row>
    <row r="849" ht="15.75" customHeight="1">
      <c r="A849" s="2">
        <v>4.0</v>
      </c>
      <c r="B849" s="2" t="s">
        <v>2364</v>
      </c>
      <c r="C849" s="2" t="s">
        <v>2365</v>
      </c>
      <c r="D849" s="2" t="s">
        <v>13</v>
      </c>
      <c r="E849" s="2" t="s">
        <v>14</v>
      </c>
      <c r="F849" s="2" t="s">
        <v>15</v>
      </c>
      <c r="G849" s="2" t="s">
        <v>2366</v>
      </c>
      <c r="H849" s="2" t="s">
        <v>131</v>
      </c>
      <c r="I849" s="2" t="str">
        <f>IFERROR(__xludf.DUMMYFUNCTION("GOOGLETRANSLATE(C849,""fr"",""en"")"),"satisfied with the online service. But when you are already insured at Direct Insurance, prices tend to increase on the quote simulator in the customer area.")</f>
        <v>satisfied with the online service. But when you are already insured at Direct Insurance, prices tend to increase on the quote simulator in the customer area.</v>
      </c>
    </row>
    <row r="850" ht="15.75" customHeight="1">
      <c r="A850" s="2">
        <v>2.0</v>
      </c>
      <c r="B850" s="2" t="s">
        <v>2367</v>
      </c>
      <c r="C850" s="2" t="s">
        <v>2368</v>
      </c>
      <c r="D850" s="2" t="s">
        <v>766</v>
      </c>
      <c r="E850" s="2" t="s">
        <v>144</v>
      </c>
      <c r="F850" s="2" t="s">
        <v>15</v>
      </c>
      <c r="G850" s="2" t="s">
        <v>2369</v>
      </c>
      <c r="H850" s="2" t="s">
        <v>150</v>
      </c>
      <c r="I850" s="2" t="str">
        <f>IFERROR(__xludf.DUMMYFUNCTION("GOOGLETRANSLATE(C850,""fr"",""en"")"),"I have been assured at home for 5 years for my dog, and I still have concerns in terms of reimbursements! I was forced to relaunch them by recommended with AR, and they ask me for the certificate with pathology, when I gave them!")</f>
        <v>I have been assured at home for 5 years for my dog, and I still have concerns in terms of reimbursements! I was forced to relaunch them by recommended with AR, and they ask me for the certificate with pathology, when I gave them!</v>
      </c>
    </row>
    <row r="851" ht="15.75" customHeight="1">
      <c r="A851" s="2">
        <v>1.0</v>
      </c>
      <c r="B851" s="2" t="s">
        <v>2370</v>
      </c>
      <c r="C851" s="2" t="s">
        <v>2371</v>
      </c>
      <c r="D851" s="2" t="s">
        <v>308</v>
      </c>
      <c r="E851" s="2" t="s">
        <v>317</v>
      </c>
      <c r="F851" s="2" t="s">
        <v>15</v>
      </c>
      <c r="G851" s="2" t="s">
        <v>2372</v>
      </c>
      <c r="H851" s="2" t="s">
        <v>197</v>
      </c>
      <c r="I851" s="2" t="str">
        <f>IFERROR(__xludf.DUMMYFUNCTION("GOOGLETRANSLATE(C851,""fr"",""en"")"),"Incompetent, I was sold a pension contract to lower my car insurance subscription. They sell you a product without knowing what it is talking about. We give you approximate rates and when you call them for additional information they tell you ""I will fin"&amp;"d out"" and we never remind you. Conclusion The monthly subscription for my provident insurance is double what I have been announced. Too late to terminate the 15 days have passed ... I call the seat to report to them, I am answered ""See with your agency"&amp;""" PUF. In short, flee !!!")</f>
        <v>Incompetent, I was sold a pension contract to lower my car insurance subscription. They sell you a product without knowing what it is talking about. We give you approximate rates and when you call them for additional information they tell you "I will find out" and we never remind you. Conclusion The monthly subscription for my provident insurance is double what I have been announced. Too late to terminate the 15 days have passed ... I call the seat to report to them, I am answered "See with your agency" PUF. In short, flee !!!</v>
      </c>
    </row>
    <row r="852" ht="15.75" customHeight="1">
      <c r="A852" s="2">
        <v>2.0</v>
      </c>
      <c r="B852" s="2" t="s">
        <v>2373</v>
      </c>
      <c r="C852" s="2" t="s">
        <v>2374</v>
      </c>
      <c r="D852" s="2" t="s">
        <v>224</v>
      </c>
      <c r="E852" s="2" t="s">
        <v>35</v>
      </c>
      <c r="F852" s="2" t="s">
        <v>15</v>
      </c>
      <c r="G852" s="2" t="s">
        <v>2375</v>
      </c>
      <c r="H852" s="2" t="s">
        <v>2060</v>
      </c>
      <c r="I852" s="2" t="str">
        <f>IFERROR(__xludf.DUMMYFUNCTION("GOOGLETRANSLATE(C852,""fr"",""en"")"),"Deplorable customer service! Never an answer by email, no more on their site than on my personal page!")</f>
        <v>Deplorable customer service! Never an answer by email, no more on their site than on my personal page!</v>
      </c>
    </row>
    <row r="853" ht="15.75" customHeight="1">
      <c r="A853" s="2">
        <v>3.0</v>
      </c>
      <c r="B853" s="2" t="s">
        <v>2376</v>
      </c>
      <c r="C853" s="2" t="s">
        <v>2377</v>
      </c>
      <c r="D853" s="2" t="s">
        <v>207</v>
      </c>
      <c r="E853" s="2" t="s">
        <v>35</v>
      </c>
      <c r="F853" s="2" t="s">
        <v>15</v>
      </c>
      <c r="G853" s="2" t="s">
        <v>1762</v>
      </c>
      <c r="H853" s="2" t="s">
        <v>236</v>
      </c>
      <c r="I853" s="2" t="str">
        <f>IFERROR(__xludf.DUMMYFUNCTION("GOOGLETRANSLATE(C853,""fr"",""en"")"),"Mutual of good to nothing 2 months after the care still not reimbursed these good to nothing it takes us well for com just good to take the money too expensive but when it is necessary to give it these too hard
We are going to go and file a complaint f"&amp;"ed up if you have to do it so that it does not stop its bother me")</f>
        <v>Mutual of good to nothing 2 months after the care still not reimbursed these good to nothing it takes us well for com just good to take the money too expensive but when it is necessary to give it these too hard
We are going to go and file a complaint fed up if you have to do it so that it does not stop its bother me</v>
      </c>
    </row>
    <row r="854" ht="15.75" customHeight="1">
      <c r="A854" s="2">
        <v>1.0</v>
      </c>
      <c r="B854" s="2" t="s">
        <v>2378</v>
      </c>
      <c r="C854" s="2" t="s">
        <v>2379</v>
      </c>
      <c r="D854" s="2" t="s">
        <v>24</v>
      </c>
      <c r="E854" s="2" t="s">
        <v>25</v>
      </c>
      <c r="F854" s="2" t="s">
        <v>15</v>
      </c>
      <c r="G854" s="2" t="s">
        <v>2209</v>
      </c>
      <c r="H854" s="2" t="s">
        <v>335</v>
      </c>
      <c r="I854" s="2" t="str">
        <f>IFERROR(__xludf.DUMMYFUNCTION("GOOGLETRANSLATE(C854,""fr"",""en"")"),"I did not believe by reading the comments that Cardif was as bad, but it is clear that this insurance is a disaster. It's been almost 1 month since I am still waiting for my file despite many telephone reminders.
I opened a complaint file, but I find it "&amp;"scandalous to have to get there.
You are not ashamed to take advantage of the situation.")</f>
        <v>I did not believe by reading the comments that Cardif was as bad, but it is clear that this insurance is a disaster. It's been almost 1 month since I am still waiting for my file despite many telephone reminders.
I opened a complaint file, but I find it scandalous to have to get there.
You are not ashamed to take advantage of the situation.</v>
      </c>
    </row>
    <row r="855" ht="15.75" customHeight="1">
      <c r="A855" s="2">
        <v>1.0</v>
      </c>
      <c r="B855" s="2" t="s">
        <v>2380</v>
      </c>
      <c r="C855" s="2" t="s">
        <v>2381</v>
      </c>
      <c r="D855" s="2" t="s">
        <v>195</v>
      </c>
      <c r="E855" s="2" t="s">
        <v>25</v>
      </c>
      <c r="F855" s="2" t="s">
        <v>15</v>
      </c>
      <c r="G855" s="2" t="s">
        <v>2382</v>
      </c>
      <c r="H855" s="2" t="s">
        <v>94</v>
      </c>
      <c r="I855" s="2" t="str">
        <f>IFERROR(__xludf.DUMMYFUNCTION("GOOGLETRANSLATE(C855,""fr"",""en"")"),"Impossibility as many members to carry out a management operation on the site since October 2019 ... and during this time a rave communication from Mr Bekerman in the salons of the Meurice hotel in Paris!
Who are we laughing at ?
It is time for the GIE "&amp;"AFER and Mr Bekerman and his team to defend the interests of savers rather than to praise the management of Aviva.
During the next general meeting will vote and demonstrate your dissatisfaction (especially do not give power in white)
In the meantime, ge"&amp;"t closer to the ACPR and contact the influential bloggers Gilles Pouzin (Deontofi.com) JF Filliatre (marchesgagnants; com) etc ...
Do not hesitate to alert your advisers so that they go up to the niche
React quickly")</f>
        <v>Impossibility as many members to carry out a management operation on the site since October 2019 ... and during this time a rave communication from Mr Bekerman in the salons of the Meurice hotel in Paris!
Who are we laughing at ?
It is time for the GIE AFER and Mr Bekerman and his team to defend the interests of savers rather than to praise the management of Aviva.
During the next general meeting will vote and demonstrate your dissatisfaction (especially do not give power in white)
In the meantime, get closer to the ACPR and contact the influential bloggers Gilles Pouzin (Deontofi.com) JF Filliatre (marchesgagnants; com) etc ...
Do not hesitate to alert your advisers so that they go up to the niche
React quickly</v>
      </c>
    </row>
    <row r="856" ht="15.75" customHeight="1">
      <c r="A856" s="2">
        <v>5.0</v>
      </c>
      <c r="B856" s="2" t="s">
        <v>2383</v>
      </c>
      <c r="C856" s="2" t="s">
        <v>2384</v>
      </c>
      <c r="D856" s="2" t="s">
        <v>13</v>
      </c>
      <c r="E856" s="2" t="s">
        <v>14</v>
      </c>
      <c r="F856" s="2" t="s">
        <v>15</v>
      </c>
      <c r="G856" s="2" t="s">
        <v>242</v>
      </c>
      <c r="H856" s="2" t="s">
        <v>99</v>
      </c>
      <c r="I856" s="2" t="str">
        <f>IFERROR(__xludf.DUMMYFUNCTION("GOOGLETRANSLATE(C856,""fr"",""en"")"),"Fast and efficient, listening person if ever a questioning is essential.
Interesting price
Fluid and understandable site
I am very satisfied")</f>
        <v>Fast and efficient, listening person if ever a questioning is essential.
Interesting price
Fluid and understandable site
I am very satisfied</v>
      </c>
    </row>
    <row r="857" ht="15.75" customHeight="1">
      <c r="A857" s="2">
        <v>2.0</v>
      </c>
      <c r="B857" s="2" t="s">
        <v>2385</v>
      </c>
      <c r="C857" s="2" t="s">
        <v>2386</v>
      </c>
      <c r="D857" s="2" t="s">
        <v>80</v>
      </c>
      <c r="E857" s="2" t="s">
        <v>14</v>
      </c>
      <c r="F857" s="2" t="s">
        <v>15</v>
      </c>
      <c r="G857" s="2" t="s">
        <v>2387</v>
      </c>
      <c r="H857" s="2" t="s">
        <v>87</v>
      </c>
      <c r="I857" s="2" t="str">
        <f>IFERROR(__xludf.DUMMYFUNCTION("GOOGLETRANSLATE(C857,""fr"",""en"")"),"Following a non -responsible accident, I find myself with chaotic compensation. Recommended very well trained on empathy, which said he understood me and that he would accompany me as well as possible for the replacement of my vehicle. Assessment of an in"&amp;"surance and loan offer for market light years.")</f>
        <v>Following a non -responsible accident, I find myself with chaotic compensation. Recommended very well trained on empathy, which said he understood me and that he would accompany me as well as possible for the replacement of my vehicle. Assessment of an insurance and loan offer for market light years.</v>
      </c>
    </row>
    <row r="858" ht="15.75" customHeight="1">
      <c r="A858" s="2">
        <v>1.0</v>
      </c>
      <c r="B858" s="2" t="s">
        <v>2388</v>
      </c>
      <c r="C858" s="2" t="s">
        <v>2389</v>
      </c>
      <c r="D858" s="2" t="s">
        <v>345</v>
      </c>
      <c r="E858" s="2" t="s">
        <v>35</v>
      </c>
      <c r="F858" s="2" t="s">
        <v>15</v>
      </c>
      <c r="G858" s="2" t="s">
        <v>2390</v>
      </c>
      <c r="H858" s="2" t="s">
        <v>268</v>
      </c>
      <c r="I858" s="2" t="str">
        <f>IFERROR(__xludf.DUMMYFUNCTION("GOOGLETRANSLATE(C858,""fr"",""en"")"),"Very complicated mutual that is struggling to update the files (is the staff too overloaded ????). The different services do not speak to each other ... suddenly we spend days and days (enormous waste of time) by exchange of emails. The phone advisers are"&amp;" only based on what they/they see on the screen and there is no effort. I do not recommend this mutual: it is really poor.")</f>
        <v>Very complicated mutual that is struggling to update the files (is the staff too overloaded ????). The different services do not speak to each other ... suddenly we spend days and days (enormous waste of time) by exchange of emails. The phone advisers are only based on what they/they see on the screen and there is no effort. I do not recommend this mutual: it is really poor.</v>
      </c>
    </row>
    <row r="859" ht="15.75" customHeight="1">
      <c r="A859" s="2">
        <v>1.0</v>
      </c>
      <c r="B859" s="2" t="s">
        <v>2391</v>
      </c>
      <c r="C859" s="2" t="s">
        <v>2392</v>
      </c>
      <c r="D859" s="2" t="s">
        <v>930</v>
      </c>
      <c r="E859" s="2" t="s">
        <v>56</v>
      </c>
      <c r="F859" s="2" t="s">
        <v>15</v>
      </c>
      <c r="G859" s="2" t="s">
        <v>2393</v>
      </c>
      <c r="H859" s="2" t="s">
        <v>776</v>
      </c>
      <c r="I859" s="2" t="str">
        <f>IFERROR(__xludf.DUMMYFUNCTION("GOOGLETRANSLATE(C859,""fr"",""en"")"),"I signed a contract with them by phone and when I sent them the necessary documents, the price has increased widely. I then asked for 2 days later, a cancellation of the contract and the repayment of the deposit (170th). They terminated the contract well "&amp;"but only reimbursed me 40th, on the pretext that I became ""member"" and that they needed +10 days to terminate the contract. Basically, I paid 2 weeks of insurance, for a contract that I had canceled 2 days after having signed it.
I absolutely do not re"&amp;"commend.")</f>
        <v>I signed a contract with them by phone and when I sent them the necessary documents, the price has increased widely. I then asked for 2 days later, a cancellation of the contract and the repayment of the deposit (170th). They terminated the contract well but only reimbursed me 40th, on the pretext that I became "member" and that they needed +10 days to terminate the contract. Basically, I paid 2 weeks of insurance, for a contract that I had canceled 2 days after having signed it.
I absolutely do not recommend.</v>
      </c>
    </row>
    <row r="860" ht="15.75" customHeight="1">
      <c r="A860" s="2">
        <v>3.0</v>
      </c>
      <c r="B860" s="2" t="s">
        <v>2394</v>
      </c>
      <c r="C860" s="2" t="s">
        <v>2395</v>
      </c>
      <c r="D860" s="2" t="s">
        <v>352</v>
      </c>
      <c r="E860" s="2" t="s">
        <v>14</v>
      </c>
      <c r="F860" s="2" t="s">
        <v>15</v>
      </c>
      <c r="G860" s="2" t="s">
        <v>755</v>
      </c>
      <c r="H860" s="2" t="s">
        <v>72</v>
      </c>
      <c r="I860" s="2" t="str">
        <f>IFERROR(__xludf.DUMMYFUNCTION("GOOGLETRANSLATE(C860,""fr"",""en"")"),"hello, 
I do not understand what is the use of having a customer area without providing download the desired certificate.
Cordially
")</f>
        <v>hello, 
I do not understand what is the use of having a customer area without providing download the desired certificate.
Cordially
</v>
      </c>
    </row>
    <row r="861" ht="15.75" customHeight="1">
      <c r="A861" s="2">
        <v>3.0</v>
      </c>
      <c r="B861" s="2" t="s">
        <v>2396</v>
      </c>
      <c r="C861" s="2" t="s">
        <v>2397</v>
      </c>
      <c r="D861" s="2" t="s">
        <v>13</v>
      </c>
      <c r="E861" s="2" t="s">
        <v>14</v>
      </c>
      <c r="F861" s="2" t="s">
        <v>15</v>
      </c>
      <c r="G861" s="2" t="s">
        <v>1968</v>
      </c>
      <c r="H861" s="2" t="s">
        <v>68</v>
      </c>
      <c r="I861" s="2" t="str">
        <f>IFERROR(__xludf.DUMMYFUNCTION("GOOGLETRANSLATE(C861,""fr"",""en"")"),"
I was very satisfied with your insurance when I was assured for my Defender and that is why I come back to you to ensure my new vehicle")</f>
        <v>
I was very satisfied with your insurance when I was assured for my Defender and that is why I come back to you to ensure my new vehicle</v>
      </c>
    </row>
    <row r="862" ht="15.75" customHeight="1">
      <c r="A862" s="2">
        <v>1.0</v>
      </c>
      <c r="B862" s="2" t="s">
        <v>2398</v>
      </c>
      <c r="C862" s="2" t="s">
        <v>2399</v>
      </c>
      <c r="D862" s="2" t="s">
        <v>106</v>
      </c>
      <c r="E862" s="2" t="s">
        <v>85</v>
      </c>
      <c r="F862" s="2" t="s">
        <v>15</v>
      </c>
      <c r="G862" s="2" t="s">
        <v>2400</v>
      </c>
      <c r="H862" s="2" t="s">
        <v>533</v>
      </c>
      <c r="I862" s="2" t="str">
        <f>IFERROR(__xludf.DUMMYFUNCTION("GOOGLETRANSLATE(C862,""fr"",""en"")"),"One year that I want to terminate the home insurance, a letter AR sent on numerous occasions, always deducted monthly. Banking advisers are not screwed up with the efforts either. I am at the end I can't take it anymore")</f>
        <v>One year that I want to terminate the home insurance, a letter AR sent on numerous occasions, always deducted monthly. Banking advisers are not screwed up with the efforts either. I am at the end I can't take it anymore</v>
      </c>
    </row>
    <row r="863" ht="15.75" customHeight="1">
      <c r="A863" s="2">
        <v>1.0</v>
      </c>
      <c r="B863" s="2" t="s">
        <v>2401</v>
      </c>
      <c r="C863" s="2" t="s">
        <v>2402</v>
      </c>
      <c r="D863" s="2" t="s">
        <v>183</v>
      </c>
      <c r="E863" s="2" t="s">
        <v>14</v>
      </c>
      <c r="F863" s="2" t="s">
        <v>15</v>
      </c>
      <c r="G863" s="2" t="s">
        <v>2403</v>
      </c>
      <c r="H863" s="2" t="s">
        <v>442</v>
      </c>
      <c r="I863" s="2" t="str">
        <f>IFERROR(__xludf.DUMMYFUNCTION("GOOGLETRANSLATE(C863,""fr"",""en"")"),"Active Insurance terminated my insurance contract in 2 days without respecting
Following article L. 112-2 of the standardized information document on the insurance product mentioned in the fourth paragraph which includes the following information:
- Obl"&amp;"igations during the contract period (1 temporary month to send the necessary documents).")</f>
        <v>Active Insurance terminated my insurance contract in 2 days without respecting
Following article L. 112-2 of the standardized information document on the insurance product mentioned in the fourth paragraph which includes the following information:
- Obligations during the contract period (1 temporary month to send the necessary documents).</v>
      </c>
    </row>
    <row r="864" ht="15.75" customHeight="1">
      <c r="A864" s="2">
        <v>2.0</v>
      </c>
      <c r="B864" s="2" t="s">
        <v>2404</v>
      </c>
      <c r="C864" s="2" t="s">
        <v>2405</v>
      </c>
      <c r="D864" s="2" t="s">
        <v>43</v>
      </c>
      <c r="E864" s="2" t="s">
        <v>14</v>
      </c>
      <c r="F864" s="2" t="s">
        <v>15</v>
      </c>
      <c r="G864" s="2" t="s">
        <v>2406</v>
      </c>
      <c r="H864" s="2" t="s">
        <v>619</v>
      </c>
      <c r="I864" s="2" t="str">
        <f>IFERROR(__xludf.DUMMYFUNCTION("GOOGLETRANSLATE(C864,""fr"",""en"")"),"An increase in 40 euros because I had the misfortune to rectify the mistakes they made on the data of my contract. So terminated contract and since no way to have my information statement. The law says 15 days maxi I am more than three weeks old")</f>
        <v>An increase in 40 euros because I had the misfortune to rectify the mistakes they made on the data of my contract. So terminated contract and since no way to have my information statement. The law says 15 days maxi I am more than three weeks old</v>
      </c>
    </row>
    <row r="865" ht="15.75" customHeight="1">
      <c r="A865" s="2">
        <v>3.0</v>
      </c>
      <c r="B865" s="2" t="s">
        <v>2407</v>
      </c>
      <c r="C865" s="2" t="s">
        <v>2408</v>
      </c>
      <c r="D865" s="2" t="s">
        <v>13</v>
      </c>
      <c r="E865" s="2" t="s">
        <v>14</v>
      </c>
      <c r="F865" s="2" t="s">
        <v>15</v>
      </c>
      <c r="G865" s="2" t="s">
        <v>131</v>
      </c>
      <c r="H865" s="2" t="s">
        <v>131</v>
      </c>
      <c r="I865" s="2" t="str">
        <f>IFERROR(__xludf.DUMMYFUNCTION("GOOGLETRANSLATE(C865,""fr"",""en"")"),"Satisfied with the presentation of the insurance estimate, the application is well established, I think to see other proposals, thank you ...........")</f>
        <v>Satisfied with the presentation of the insurance estimate, the application is well established, I think to see other proposals, thank you ...........</v>
      </c>
    </row>
    <row r="866" ht="15.75" customHeight="1">
      <c r="A866" s="2">
        <v>1.0</v>
      </c>
      <c r="B866" s="2" t="s">
        <v>2409</v>
      </c>
      <c r="C866" s="2" t="s">
        <v>2410</v>
      </c>
      <c r="D866" s="2" t="s">
        <v>436</v>
      </c>
      <c r="E866" s="2" t="s">
        <v>317</v>
      </c>
      <c r="F866" s="2" t="s">
        <v>15</v>
      </c>
      <c r="G866" s="2" t="s">
        <v>2411</v>
      </c>
      <c r="H866" s="2" t="s">
        <v>185</v>
      </c>
      <c r="I866" s="2" t="str">
        <f>IFERROR(__xludf.DUMMYFUNCTION("GOOGLETRANSLATE(C866,""fr"",""en"")"),"Liberal nurse who has taken out a pension contract at Swisslife.
I totally regret being part of my old insurer !!
Leaving contract unfortunately unfortunately the Swisslife discharges everything! Stop since 18/03 (pregnant woman at the end of the second"&amp;" trimester, pregnancy patho and covid) foresight still not perceived while my contract stipulates 8 days of deficiency.
No cohesion in their speeches. Advisor trained on the heap giving poor information. (because according to him, a transfer was underway"&amp;" dated 26/03, to hear saying that he is no longer responsible because I am not in my third quarter)
I can between more concise but fortunately strong for them I only have the right to 200 characters.
")</f>
        <v>Liberal nurse who has taken out a pension contract at Swisslife.
I totally regret being part of my old insurer !!
Leaving contract unfortunately unfortunately the Swisslife discharges everything! Stop since 18/03 (pregnant woman at the end of the second trimester, pregnancy patho and covid) foresight still not perceived while my contract stipulates 8 days of deficiency.
No cohesion in their speeches. Advisor trained on the heap giving poor information. (because according to him, a transfer was underway dated 26/03, to hear saying that he is no longer responsible because I am not in my third quarter)
I can between more concise but fortunately strong for them I only have the right to 200 characters.
</v>
      </c>
    </row>
    <row r="867" ht="15.75" customHeight="1">
      <c r="A867" s="2">
        <v>1.0</v>
      </c>
      <c r="B867" s="2" t="s">
        <v>2412</v>
      </c>
      <c r="C867" s="2" t="s">
        <v>2413</v>
      </c>
      <c r="D867" s="2" t="s">
        <v>80</v>
      </c>
      <c r="E867" s="2" t="s">
        <v>14</v>
      </c>
      <c r="F867" s="2" t="s">
        <v>15</v>
      </c>
      <c r="G867" s="2" t="s">
        <v>2400</v>
      </c>
      <c r="H867" s="2" t="s">
        <v>533</v>
      </c>
      <c r="I867" s="2" t="str">
        <f>IFERROR(__xludf.DUMMYFUNCTION("GOOGLETRANSLATE(C867,""fr"",""en"")"),"If I had been able to put 0 stars, I would have done it.
8 months that we await the repair of our vehicle, AXA no longer responds:
On the phone, we come across a power station which repeats us that the advisor in charge of our file cannot be attached, b"&amp;"y mail with no response, by email ditto.
Axa makes fun of these customers, we just have to attack them in court.")</f>
        <v>If I had been able to put 0 stars, I would have done it.
8 months that we await the repair of our vehicle, AXA no longer responds:
On the phone, we come across a power station which repeats us that the advisor in charge of our file cannot be attached, by mail with no response, by email ditto.
Axa makes fun of these customers, we just have to attack them in court.</v>
      </c>
    </row>
    <row r="868" ht="15.75" customHeight="1">
      <c r="A868" s="2">
        <v>3.0</v>
      </c>
      <c r="B868" s="2" t="s">
        <v>2414</v>
      </c>
      <c r="C868" s="2" t="s">
        <v>2415</v>
      </c>
      <c r="D868" s="2" t="s">
        <v>43</v>
      </c>
      <c r="E868" s="2" t="s">
        <v>14</v>
      </c>
      <c r="F868" s="2" t="s">
        <v>15</v>
      </c>
      <c r="G868" s="2" t="s">
        <v>2416</v>
      </c>
      <c r="H868" s="2" t="s">
        <v>99</v>
      </c>
      <c r="I868" s="2" t="str">
        <f>IFERROR(__xludf.DUMMYFUNCTION("GOOGLETRANSLATE(C868,""fr"",""en"")"),"I am satisfied with the contract offer thank you with an application your services would be even better you should offer it to us because it is an even more practical service")</f>
        <v>I am satisfied with the contract offer thank you with an application your services would be even better you should offer it to us because it is an even more practical service</v>
      </c>
    </row>
    <row r="869" ht="15.75" customHeight="1">
      <c r="A869" s="2">
        <v>3.0</v>
      </c>
      <c r="B869" s="2" t="s">
        <v>2417</v>
      </c>
      <c r="C869" s="2" t="s">
        <v>2418</v>
      </c>
      <c r="D869" s="2" t="s">
        <v>43</v>
      </c>
      <c r="E869" s="2" t="s">
        <v>14</v>
      </c>
      <c r="F869" s="2" t="s">
        <v>15</v>
      </c>
      <c r="G869" s="2" t="s">
        <v>873</v>
      </c>
      <c r="H869" s="2" t="s">
        <v>192</v>
      </c>
      <c r="I869" s="2" t="str">
        <f>IFERROR(__xludf.DUMMYFUNCTION("GOOGLETRANSLATE(C869,""fr"",""en"")"),"can do better at the rates, because you find even cheaper on the net is that Plua Ai with better guarantee.
I hope you make efforts on it.")</f>
        <v>can do better at the rates, because you find even cheaper on the net is that Plua Ai with better guarantee.
I hope you make efforts on it.</v>
      </c>
    </row>
    <row r="870" ht="15.75" customHeight="1">
      <c r="A870" s="2">
        <v>5.0</v>
      </c>
      <c r="B870" s="2" t="s">
        <v>2419</v>
      </c>
      <c r="C870" s="2" t="s">
        <v>2420</v>
      </c>
      <c r="D870" s="2" t="s">
        <v>129</v>
      </c>
      <c r="E870" s="2" t="s">
        <v>35</v>
      </c>
      <c r="F870" s="2" t="s">
        <v>15</v>
      </c>
      <c r="G870" s="2" t="s">
        <v>1732</v>
      </c>
      <c r="H870" s="2" t="s">
        <v>1029</v>
      </c>
      <c r="I870" s="2" t="str">
        <f>IFERROR(__xludf.DUMMYFUNCTION("GOOGLETRANSLATE(C870,""fr"",""en"")"),"Member for over 30 years, I only had to satisfy myself with the services of my mutual.
The reception is of quality.
Always available and kind, contacts are, in addition, good advice.
Without a particular health concern, I think it will not be denied th"&amp;"e day it happens.
")</f>
        <v>Member for over 30 years, I only had to satisfy myself with the services of my mutual.
The reception is of quality.
Always available and kind, contacts are, in addition, good advice.
Without a particular health concern, I think it will not be denied the day it happens.
</v>
      </c>
    </row>
    <row r="871" ht="15.75" customHeight="1">
      <c r="A871" s="2">
        <v>5.0</v>
      </c>
      <c r="B871" s="2" t="s">
        <v>2421</v>
      </c>
      <c r="C871" s="2" t="s">
        <v>2422</v>
      </c>
      <c r="D871" s="2" t="s">
        <v>55</v>
      </c>
      <c r="E871" s="2" t="s">
        <v>56</v>
      </c>
      <c r="F871" s="2" t="s">
        <v>15</v>
      </c>
      <c r="G871" s="2" t="s">
        <v>1108</v>
      </c>
      <c r="H871" s="2" t="s">
        <v>192</v>
      </c>
      <c r="I871" s="2" t="str">
        <f>IFERROR(__xludf.DUMMYFUNCTION("GOOGLETRANSLATE(C871,""fr"",""en"")"),"Realization of the very simple quote and affordable price after I cannot decide more than that as long as we are not confronted with a disaster, which I do not obviously want.")</f>
        <v>Realization of the very simple quote and affordable price after I cannot decide more than that as long as we are not confronted with a disaster, which I do not obviously want.</v>
      </c>
    </row>
    <row r="872" ht="15.75" customHeight="1">
      <c r="A872" s="2">
        <v>5.0</v>
      </c>
      <c r="B872" s="2" t="s">
        <v>2423</v>
      </c>
      <c r="C872" s="2" t="s">
        <v>2424</v>
      </c>
      <c r="D872" s="2" t="s">
        <v>338</v>
      </c>
      <c r="E872" s="2" t="s">
        <v>144</v>
      </c>
      <c r="F872" s="2" t="s">
        <v>15</v>
      </c>
      <c r="G872" s="2" t="s">
        <v>1711</v>
      </c>
      <c r="H872" s="2" t="s">
        <v>272</v>
      </c>
      <c r="I872" s="2" t="str">
        <f>IFERROR(__xludf.DUMMYFUNCTION("GOOGLETRANSLATE(C872,""fr"",""en"")"),"I am very surprised to see certain negative opinion for HealthVet. I have a sick cat and sincerely I never had a reimbursement. In addition, the advisers are nice and very pro, Psy limit, and I really thank them ... for the reimbursements it can take a li"&amp;"ttle more time because sometimes they are delayed but I always have been reimbursed! I trust them ??")</f>
        <v>I am very surprised to see certain negative opinion for HealthVet. I have a sick cat and sincerely I never had a reimbursement. In addition, the advisers are nice and very pro, Psy limit, and I really thank them ... for the reimbursements it can take a little more time because sometimes they are delayed but I always have been reimbursed! I trust them ??</v>
      </c>
    </row>
    <row r="873" ht="15.75" customHeight="1">
      <c r="A873" s="2">
        <v>5.0</v>
      </c>
      <c r="B873" s="2" t="s">
        <v>2425</v>
      </c>
      <c r="C873" s="2" t="s">
        <v>2426</v>
      </c>
      <c r="D873" s="2" t="s">
        <v>97</v>
      </c>
      <c r="E873" s="2" t="s">
        <v>56</v>
      </c>
      <c r="F873" s="2" t="s">
        <v>15</v>
      </c>
      <c r="G873" s="2" t="s">
        <v>887</v>
      </c>
      <c r="H873" s="2" t="s">
        <v>99</v>
      </c>
      <c r="I873" s="2" t="str">
        <f>IFERROR(__xludf.DUMMYFUNCTION("GOOGLETRANSLATE(C873,""fr"",""en"")"),"Very satisfied with my discussions by phone, the staff are welcoming, courteous, attentive, and very kind. Do not change anything and thank you for everyone.
Regards JCB")</f>
        <v>Very satisfied with my discussions by phone, the staff are welcoming, courteous, attentive, and very kind. Do not change anything and thank you for everyone.
Regards JCB</v>
      </c>
    </row>
    <row r="874" ht="15.75" customHeight="1">
      <c r="A874" s="2">
        <v>5.0</v>
      </c>
      <c r="B874" s="2" t="s">
        <v>2427</v>
      </c>
      <c r="C874" s="2" t="s">
        <v>2428</v>
      </c>
      <c r="D874" s="2" t="s">
        <v>13</v>
      </c>
      <c r="E874" s="2" t="s">
        <v>14</v>
      </c>
      <c r="F874" s="2" t="s">
        <v>15</v>
      </c>
      <c r="G874" s="2" t="s">
        <v>232</v>
      </c>
      <c r="H874" s="2" t="s">
        <v>52</v>
      </c>
      <c r="I874" s="2" t="str">
        <f>IFERROR(__xludf.DUMMYFUNCTION("GOOGLETRANSLATE(C874,""fr"",""en"")"),"I am satisfied with the speed and simplicity of the treatment of my subscription.
Also very happy with the kindness of my online interlocutor.")</f>
        <v>I am satisfied with the speed and simplicity of the treatment of my subscription.
Also very happy with the kindness of my online interlocutor.</v>
      </c>
    </row>
    <row r="875" ht="15.75" customHeight="1">
      <c r="A875" s="2">
        <v>2.0</v>
      </c>
      <c r="B875" s="2" t="s">
        <v>2429</v>
      </c>
      <c r="C875" s="2" t="s">
        <v>2430</v>
      </c>
      <c r="D875" s="2" t="s">
        <v>63</v>
      </c>
      <c r="E875" s="2" t="s">
        <v>112</v>
      </c>
      <c r="F875" s="2" t="s">
        <v>15</v>
      </c>
      <c r="G875" s="2" t="s">
        <v>2431</v>
      </c>
      <c r="H875" s="2" t="s">
        <v>438</v>
      </c>
      <c r="I875" s="2" t="str">
        <f>IFERROR(__xludf.DUMMYFUNCTION("GOOGLETRANSLATE(C875,""fr"",""en"")"),"Following a multitude of disease, medical expertise achieved, a poorly completed contract and forgets precision on our part, Generali, after 8 months of waiting, terminates the contract on 2/07 letter recommended received on 07/11")</f>
        <v>Following a multitude of disease, medical expertise achieved, a poorly completed contract and forgets precision on our part, Generali, after 8 months of waiting, terminates the contract on 2/07 letter recommended received on 07/11</v>
      </c>
    </row>
    <row r="876" ht="15.75" customHeight="1">
      <c r="A876" s="2">
        <v>4.0</v>
      </c>
      <c r="B876" s="2" t="s">
        <v>2432</v>
      </c>
      <c r="C876" s="2" t="s">
        <v>2433</v>
      </c>
      <c r="D876" s="2" t="s">
        <v>34</v>
      </c>
      <c r="E876" s="2" t="s">
        <v>35</v>
      </c>
      <c r="F876" s="2" t="s">
        <v>15</v>
      </c>
      <c r="G876" s="2" t="s">
        <v>1262</v>
      </c>
      <c r="H876" s="2" t="s">
        <v>371</v>
      </c>
      <c r="I876" s="2" t="str">
        <f>IFERROR(__xludf.DUMMYFUNCTION("GOOGLETRANSLATE(C876,""fr"",""en"")"),"I am satisfied with my telephone exchange with my mutual insurance")</f>
        <v>I am satisfied with my telephone exchange with my mutual insurance</v>
      </c>
    </row>
    <row r="877" ht="15.75" customHeight="1">
      <c r="A877" s="2">
        <v>4.0</v>
      </c>
      <c r="B877" s="2" t="s">
        <v>2434</v>
      </c>
      <c r="C877" s="2" t="s">
        <v>2435</v>
      </c>
      <c r="D877" s="2" t="s">
        <v>43</v>
      </c>
      <c r="E877" s="2" t="s">
        <v>14</v>
      </c>
      <c r="F877" s="2" t="s">
        <v>15</v>
      </c>
      <c r="G877" s="2" t="s">
        <v>931</v>
      </c>
      <c r="H877" s="2" t="s">
        <v>68</v>
      </c>
      <c r="I877" s="2" t="str">
        <f>IFERROR(__xludf.DUMMYFUNCTION("GOOGLETRANSLATE(C877,""fr"",""en"")"),"Insurance much cheaper than many others saying that they are the cheapest and lower franchise advantages. Allowed me to ensure two vehicles despite my penalty.")</f>
        <v>Insurance much cheaper than many others saying that they are the cheapest and lower franchise advantages. Allowed me to ensure two vehicles despite my penalty.</v>
      </c>
    </row>
    <row r="878" ht="15.75" customHeight="1">
      <c r="A878" s="2">
        <v>1.0</v>
      </c>
      <c r="B878" s="2" t="s">
        <v>2436</v>
      </c>
      <c r="C878" s="2" t="s">
        <v>2437</v>
      </c>
      <c r="D878" s="2" t="s">
        <v>43</v>
      </c>
      <c r="E878" s="2" t="s">
        <v>14</v>
      </c>
      <c r="F878" s="2" t="s">
        <v>15</v>
      </c>
      <c r="G878" s="2" t="s">
        <v>2438</v>
      </c>
      <c r="H878" s="2" t="s">
        <v>72</v>
      </c>
      <c r="I878" s="2" t="str">
        <f>IFERROR(__xludf.DUMMYFUNCTION("GOOGLETRANSLATE(C878,""fr"",""en"")"),"Why set costs when it is an electronic signature - the price is a little expensive compared to a small displacement - I hope to settle less very soon")</f>
        <v>Why set costs when it is an electronic signature - the price is a little expensive compared to a small displacement - I hope to settle less very soon</v>
      </c>
    </row>
    <row r="879" ht="15.75" customHeight="1">
      <c r="A879" s="2">
        <v>1.0</v>
      </c>
      <c r="B879" s="2" t="s">
        <v>2439</v>
      </c>
      <c r="C879" s="2" t="s">
        <v>2440</v>
      </c>
      <c r="D879" s="2" t="s">
        <v>156</v>
      </c>
      <c r="E879" s="2" t="s">
        <v>14</v>
      </c>
      <c r="F879" s="2" t="s">
        <v>15</v>
      </c>
      <c r="G879" s="2" t="s">
        <v>2441</v>
      </c>
      <c r="H879" s="2" t="s">
        <v>162</v>
      </c>
      <c r="I879" s="2" t="str">
        <f>IFERROR(__xludf.DUMMYFUNCTION("GOOGLETRANSLATE(C879,""fr"",""en"")"),"Customer since 1999 ', I just saw myself means the unilateral termination of my PEUGEOT 3008 Diesel 115 hp AUTO contract. (50 % bonus for a few years, 4 victims without any responsibility over the last 5 years motivates this termination. Another automobil"&amp;"e contract 50 % but he no claim is not concerned, in short pay your contributions but do not have a claim
No recourse possible it is the seat, after it is the galley to find a new insurer, but once my contracts will be resilled 1 Auto+2 Home contracts bu"&amp;"t at my request this time")</f>
        <v>Customer since 1999 ', I just saw myself means the unilateral termination of my PEUGEOT 3008 Diesel 115 hp AUTO contract. (50 % bonus for a few years, 4 victims without any responsibility over the last 5 years motivates this termination. Another automobile contract 50 % but he no claim is not concerned, in short pay your contributions but do not have a claim
No recourse possible it is the seat, after it is the galley to find a new insurer, but once my contracts will be resilled 1 Auto+2 Home contracts but at my request this time</v>
      </c>
    </row>
    <row r="880" ht="15.75" customHeight="1">
      <c r="A880" s="2">
        <v>5.0</v>
      </c>
      <c r="B880" s="2" t="s">
        <v>2442</v>
      </c>
      <c r="C880" s="2" t="s">
        <v>2443</v>
      </c>
      <c r="D880" s="2" t="s">
        <v>183</v>
      </c>
      <c r="E880" s="2" t="s">
        <v>14</v>
      </c>
      <c r="F880" s="2" t="s">
        <v>15</v>
      </c>
      <c r="G880" s="2" t="s">
        <v>1071</v>
      </c>
      <c r="H880" s="2" t="s">
        <v>146</v>
      </c>
      <c r="I880" s="2" t="str">
        <f>IFERROR(__xludf.DUMMYFUNCTION("GOOGLETRANSLATE(C880,""fr"",""en"")"),"For some time since I have traveled insurance to find the right one, Active Insurance has been right what I was looking for, very responsive and very simple subscription to do.")</f>
        <v>For some time since I have traveled insurance to find the right one, Active Insurance has been right what I was looking for, very responsive and very simple subscription to do.</v>
      </c>
    </row>
    <row r="881" ht="15.75" customHeight="1">
      <c r="A881" s="2">
        <v>5.0</v>
      </c>
      <c r="B881" s="2" t="s">
        <v>2444</v>
      </c>
      <c r="C881" s="2" t="s">
        <v>2445</v>
      </c>
      <c r="D881" s="2" t="s">
        <v>55</v>
      </c>
      <c r="E881" s="2" t="s">
        <v>56</v>
      </c>
      <c r="F881" s="2" t="s">
        <v>15</v>
      </c>
      <c r="G881" s="2" t="s">
        <v>730</v>
      </c>
      <c r="H881" s="2" t="s">
        <v>72</v>
      </c>
      <c r="I881" s="2" t="str">
        <f>IFERROR(__xludf.DUMMYFUNCTION("GOOGLETRANSLATE(C881,""fr"",""en"")"),"I am satisfied with the services ...
I am satisfied with the prices ...
Insurance for young top permits, clearly too expensive in other insurance for the same services.")</f>
        <v>I am satisfied with the services ...
I am satisfied with the prices ...
Insurance for young top permits, clearly too expensive in other insurance for the same services.</v>
      </c>
    </row>
    <row r="882" ht="15.75" customHeight="1">
      <c r="A882" s="2">
        <v>3.0</v>
      </c>
      <c r="B882" s="2" t="s">
        <v>2446</v>
      </c>
      <c r="C882" s="2" t="s">
        <v>2447</v>
      </c>
      <c r="D882" s="2" t="s">
        <v>13</v>
      </c>
      <c r="E882" s="2" t="s">
        <v>14</v>
      </c>
      <c r="F882" s="2" t="s">
        <v>15</v>
      </c>
      <c r="G882" s="2" t="s">
        <v>901</v>
      </c>
      <c r="H882" s="2" t="s">
        <v>99</v>
      </c>
      <c r="I882" s="2" t="str">
        <f>IFERROR(__xludf.DUMMYFUNCTION("GOOGLETRANSLATE(C882,""fr"",""en"")"),"I am satisfied with the service and satisfied with the quality of the service on the prices in terms of insurance I expect to see if the next time at the level of the prices will be changing there")</f>
        <v>I am satisfied with the service and satisfied with the quality of the service on the prices in terms of insurance I expect to see if the next time at the level of the prices will be changing there</v>
      </c>
    </row>
    <row r="883" ht="15.75" customHeight="1">
      <c r="A883" s="2">
        <v>4.0</v>
      </c>
      <c r="B883" s="2" t="s">
        <v>2448</v>
      </c>
      <c r="C883" s="2" t="s">
        <v>2449</v>
      </c>
      <c r="D883" s="2" t="s">
        <v>13</v>
      </c>
      <c r="E883" s="2" t="s">
        <v>14</v>
      </c>
      <c r="F883" s="2" t="s">
        <v>15</v>
      </c>
      <c r="G883" s="2" t="s">
        <v>2450</v>
      </c>
      <c r="H883" s="2" t="s">
        <v>131</v>
      </c>
      <c r="I883" s="2" t="str">
        <f>IFERROR(__xludf.DUMMYFUNCTION("GOOGLETRANSLATE(C883,""fr"",""en"")"),"Hello,
I would like to know more about Direct Insurance.
I am satisfied with the estimate process.
Send me your quote and I will think.
Well to you.")</f>
        <v>Hello,
I would like to know more about Direct Insurance.
I am satisfied with the estimate process.
Send me your quote and I will think.
Well to you.</v>
      </c>
    </row>
    <row r="884" ht="15.75" customHeight="1">
      <c r="A884" s="2">
        <v>3.0</v>
      </c>
      <c r="B884" s="2" t="s">
        <v>2451</v>
      </c>
      <c r="C884" s="2" t="s">
        <v>2452</v>
      </c>
      <c r="D884" s="2" t="s">
        <v>129</v>
      </c>
      <c r="E884" s="2" t="s">
        <v>35</v>
      </c>
      <c r="F884" s="2" t="s">
        <v>15</v>
      </c>
      <c r="G884" s="2" t="s">
        <v>2453</v>
      </c>
      <c r="H884" s="2" t="s">
        <v>236</v>
      </c>
      <c r="I884" s="2" t="str">
        <f>IFERROR(__xludf.DUMMYFUNCTION("GOOGLETRANSLATE(C884,""fr"",""en"")"),"Insurance that meets my expectations. Which is always too expensive as health insurance.
Listening staff, competent and who finds answers to the questions asked.")</f>
        <v>Insurance that meets my expectations. Which is always too expensive as health insurance.
Listening staff, competent and who finds answers to the questions asked.</v>
      </c>
    </row>
    <row r="885" ht="15.75" customHeight="1">
      <c r="A885" s="2">
        <v>5.0</v>
      </c>
      <c r="B885" s="2" t="s">
        <v>2454</v>
      </c>
      <c r="C885" s="2" t="s">
        <v>2455</v>
      </c>
      <c r="D885" s="2" t="s">
        <v>43</v>
      </c>
      <c r="E885" s="2" t="s">
        <v>14</v>
      </c>
      <c r="F885" s="2" t="s">
        <v>15</v>
      </c>
      <c r="G885" s="2" t="s">
        <v>2456</v>
      </c>
      <c r="H885" s="2" t="s">
        <v>293</v>
      </c>
      <c r="I885" s="2" t="str">
        <f>IFERROR(__xludf.DUMMYFUNCTION("GOOGLETRANSLATE(C885,""fr"",""en"")"),"I am satisfied with the service, as well as its very competitive price, nothing to say on the telephone reception, I was recommended, and I will recommend with confidence")</f>
        <v>I am satisfied with the service, as well as its very competitive price, nothing to say on the telephone reception, I was recommended, and I will recommend with confidence</v>
      </c>
    </row>
    <row r="886" ht="15.75" customHeight="1">
      <c r="A886" s="2">
        <v>2.0</v>
      </c>
      <c r="B886" s="2" t="s">
        <v>2457</v>
      </c>
      <c r="C886" s="2" t="s">
        <v>2458</v>
      </c>
      <c r="D886" s="2" t="s">
        <v>369</v>
      </c>
      <c r="E886" s="2" t="s">
        <v>35</v>
      </c>
      <c r="F886" s="2" t="s">
        <v>15</v>
      </c>
      <c r="G886" s="2" t="s">
        <v>494</v>
      </c>
      <c r="H886" s="2" t="s">
        <v>495</v>
      </c>
      <c r="I886" s="2" t="str">
        <f>IFERROR(__xludf.DUMMYFUNCTION("GOOGLETRANSLATE(C886,""fr"",""en"")"),"It has been weeks since I send documents on the private space, by email, by Facebook ... No one receives anything, the different contact channels are returning the ball. Mutual Harmonie claims and gives the image of offering practical digital services but"&amp;" that does not follow behind. Neither in communication, nor in the reception of the certificates and documents requested to advance the teletransmission process. I work and am affiliated with the Safe de Brest, Finistère since February 2019. I have just t"&amp;"old me that I am still affiliated with the Security of Loire Atlantique, after a good dozen emails, sends mail, certificate, requests since weeks. Always waiting for someone to click on the simple ""Relaunch teletransmission"" button, but it unfortunately"&amp;" seems very difficult.")</f>
        <v>It has been weeks since I send documents on the private space, by email, by Facebook ... No one receives anything, the different contact channels are returning the ball. Mutual Harmonie claims and gives the image of offering practical digital services but that does not follow behind. Neither in communication, nor in the reception of the certificates and documents requested to advance the teletransmission process. I work and am affiliated with the Safe de Brest, Finistère since February 2019. I have just told me that I am still affiliated with the Security of Loire Atlantique, after a good dozen emails, sends mail, certificate, requests since weeks. Always waiting for someone to click on the simple "Relaunch teletransmission" button, but it unfortunately seems very difficult.</v>
      </c>
    </row>
    <row r="887" ht="15.75" customHeight="1">
      <c r="A887" s="2">
        <v>4.0</v>
      </c>
      <c r="B887" s="2" t="s">
        <v>2459</v>
      </c>
      <c r="C887" s="2" t="s">
        <v>2460</v>
      </c>
      <c r="D887" s="2" t="s">
        <v>13</v>
      </c>
      <c r="E887" s="2" t="s">
        <v>14</v>
      </c>
      <c r="F887" s="2" t="s">
        <v>15</v>
      </c>
      <c r="G887" s="2" t="s">
        <v>2461</v>
      </c>
      <c r="H887" s="2" t="s">
        <v>192</v>
      </c>
      <c r="I887" s="2" t="str">
        <f>IFERROR(__xludf.DUMMYFUNCTION("GOOGLETRANSLATE(C887,""fr"",""en"")"),"I am satisfied with the guarantees offered by Direct Insurance, on the other hand in the use of the site, I find counterproductive the fact of seeing very old contracts display, even for old cars, or deceased insured.")</f>
        <v>I am satisfied with the guarantees offered by Direct Insurance, on the other hand in the use of the site, I find counterproductive the fact of seeing very old contracts display, even for old cars, or deceased insured.</v>
      </c>
    </row>
    <row r="888" ht="15.75" customHeight="1">
      <c r="A888" s="2">
        <v>1.0</v>
      </c>
      <c r="B888" s="2" t="s">
        <v>2462</v>
      </c>
      <c r="C888" s="2" t="s">
        <v>2463</v>
      </c>
      <c r="D888" s="2" t="s">
        <v>43</v>
      </c>
      <c r="E888" s="2" t="s">
        <v>14</v>
      </c>
      <c r="F888" s="2" t="s">
        <v>15</v>
      </c>
      <c r="G888" s="2" t="s">
        <v>2125</v>
      </c>
      <c r="H888" s="2" t="s">
        <v>52</v>
      </c>
      <c r="I888" s="2" t="str">
        <f>IFERROR(__xludf.DUMMYFUNCTION("GOOGLETRANSLATE(C888,""fr"",""en"")"),"Incompetent and make us pay their error putting us in need by promising me the refund asking me to advance the costs and then send my invoice once the invoice has been received. Technical, before I pay was not a problem and once I paid and the bill being "&amp;"sent to them that becomes a bizarre problem I could have paid in several times when trying to find a solution according to my situation If he had not lied to me at the beginning, now I am forced to survive thanks to the Secours populaire and the Resto du "&amp;"Coeur my salary not allowing me to be attributed by 630 euros from a neck, their answer you would have Have repaired anyway, yes but not like his they must have a good salary at Olivier Insurance to be able to spend 630 euros in a snap.")</f>
        <v>Incompetent and make us pay their error putting us in need by promising me the refund asking me to advance the costs and then send my invoice once the invoice has been received. Technical, before I pay was not a problem and once I paid and the bill being sent to them that becomes a bizarre problem I could have paid in several times when trying to find a solution according to my situation If he had not lied to me at the beginning, now I am forced to survive thanks to the Secours populaire and the Resto du Coeur my salary not allowing me to be attributed by 630 euros from a neck, their answer you would have Have repaired anyway, yes but not like his they must have a good salary at Olivier Insurance to be able to spend 630 euros in a snap.</v>
      </c>
    </row>
    <row r="889" ht="15.75" customHeight="1">
      <c r="A889" s="2">
        <v>2.0</v>
      </c>
      <c r="B889" s="2" t="s">
        <v>2464</v>
      </c>
      <c r="C889" s="2" t="s">
        <v>2465</v>
      </c>
      <c r="D889" s="2" t="s">
        <v>1445</v>
      </c>
      <c r="E889" s="2" t="s">
        <v>56</v>
      </c>
      <c r="F889" s="2" t="s">
        <v>15</v>
      </c>
      <c r="G889" s="2" t="s">
        <v>1645</v>
      </c>
      <c r="H889" s="2" t="s">
        <v>192</v>
      </c>
      <c r="I889" s="2" t="str">
        <f>IFERROR(__xludf.DUMMYFUNCTION("GOOGLETRANSLATE(C889,""fr"",""en"")"),"Assistance 7 days a week is unreachable on Saturday.
Assuronline with whom I subscribed to the assistance is clearing up by saying that it is another company that manages assistance (World Assistance that is unreachable!)")</f>
        <v>Assistance 7 days a week is unreachable on Saturday.
Assuronline with whom I subscribed to the assistance is clearing up by saying that it is another company that manages assistance (World Assistance that is unreachable!)</v>
      </c>
    </row>
    <row r="890" ht="15.75" customHeight="1">
      <c r="A890" s="2">
        <v>1.0</v>
      </c>
      <c r="B890" s="2" t="s">
        <v>2466</v>
      </c>
      <c r="C890" s="2" t="s">
        <v>2467</v>
      </c>
      <c r="D890" s="2" t="s">
        <v>1218</v>
      </c>
      <c r="E890" s="2" t="s">
        <v>317</v>
      </c>
      <c r="F890" s="2" t="s">
        <v>15</v>
      </c>
      <c r="G890" s="2" t="s">
        <v>1416</v>
      </c>
      <c r="H890" s="2" t="s">
        <v>99</v>
      </c>
      <c r="I890" s="2" t="str">
        <f>IFERROR(__xludf.DUMMYFUNCTION("GOOGLETRANSLATE(C890,""fr"",""en"")"),"Hello
Lots of promise and little act or just in appearance.
In fact, almost all of the procedures can only be done by mail with postal deadlines and treatment, including the base: make a transfer
The message on customer area ""Make online payments"&amp;""" as on the magazine which prides itself on being a digital group not accompanied by a star to specify the only Profileo contract (a priori according to say Carac advisor contact 09/08/ 2021) for which has achieved that this feature promised by the autho"&amp;"rities of the mutuals and the advisers for more than five years has finally been set up.
But it is clear that despite the lifts the only answer we get in return is and still remains this day ""we are a mutual therefore we do not have the commitment to sp"&amp;"ecify to customers what our services covers or not"" covers ""
The insurer is very well informed of the differences and lack of deliberate information on his part.")</f>
        <v>Hello
Lots of promise and little act or just in appearance.
In fact, almost all of the procedures can only be done by mail with postal deadlines and treatment, including the base: make a transfer
The message on customer area "Make online payments" as on the magazine which prides itself on being a digital group not accompanied by a star to specify the only Profileo contract (a priori according to say Carac advisor contact 09/08/ 2021) for which has achieved that this feature promised by the authorities of the mutuals and the advisers for more than five years has finally been set up.
But it is clear that despite the lifts the only answer we get in return is and still remains this day "we are a mutual therefore we do not have the commitment to specify to customers what our services covers or not" covers "
The insurer is very well informed of the differences and lack of deliberate information on his part.</v>
      </c>
    </row>
    <row r="891" ht="15.75" customHeight="1">
      <c r="A891" s="2">
        <v>4.0</v>
      </c>
      <c r="B891" s="2" t="s">
        <v>2468</v>
      </c>
      <c r="C891" s="2" t="s">
        <v>2469</v>
      </c>
      <c r="D891" s="2" t="s">
        <v>43</v>
      </c>
      <c r="E891" s="2" t="s">
        <v>14</v>
      </c>
      <c r="F891" s="2" t="s">
        <v>15</v>
      </c>
      <c r="G891" s="2" t="s">
        <v>1145</v>
      </c>
      <c r="H891" s="2" t="s">
        <v>166</v>
      </c>
      <c r="I891" s="2" t="str">
        <f>IFERROR(__xludf.DUMMYFUNCTION("GOOGLETRANSLATE(C891,""fr"",""en"")"),"All the people I have had on the phone from the quote to the finalization of the contract are really pleasant, attentive and their explanations that are easy to understand.")</f>
        <v>All the people I have had on the phone from the quote to the finalization of the contract are really pleasant, attentive and their explanations that are easy to understand.</v>
      </c>
    </row>
    <row r="892" ht="15.75" customHeight="1">
      <c r="A892" s="2">
        <v>1.0</v>
      </c>
      <c r="B892" s="2" t="s">
        <v>2470</v>
      </c>
      <c r="C892" s="2" t="s">
        <v>2471</v>
      </c>
      <c r="D892" s="2" t="s">
        <v>19</v>
      </c>
      <c r="E892" s="2" t="s">
        <v>85</v>
      </c>
      <c r="F892" s="2" t="s">
        <v>15</v>
      </c>
      <c r="G892" s="2" t="s">
        <v>2472</v>
      </c>
      <c r="H892" s="2" t="s">
        <v>1050</v>
      </c>
      <c r="I892" s="2" t="str">
        <f>IFERROR(__xludf.DUMMYFUNCTION("GOOGLETRANSLATE(C892,""fr"",""en"")"),"Following a change in street numbering, it changes the 22 year contract for a new one that increases 25% without warning. Abusive, we really have the right to do this
They have just lost 2 contracts
")</f>
        <v>Following a change in street numbering, it changes the 22 year contract for a new one that increases 25% without warning. Abusive, we really have the right to do this
They have just lost 2 contracts
</v>
      </c>
    </row>
    <row r="893" ht="15.75" customHeight="1">
      <c r="A893" s="2">
        <v>4.0</v>
      </c>
      <c r="B893" s="2" t="s">
        <v>2473</v>
      </c>
      <c r="C893" s="2" t="s">
        <v>2474</v>
      </c>
      <c r="D893" s="2" t="s">
        <v>43</v>
      </c>
      <c r="E893" s="2" t="s">
        <v>14</v>
      </c>
      <c r="F893" s="2" t="s">
        <v>15</v>
      </c>
      <c r="G893" s="2" t="s">
        <v>1175</v>
      </c>
      <c r="H893" s="2" t="s">
        <v>166</v>
      </c>
      <c r="I893" s="2" t="str">
        <f>IFERROR(__xludf.DUMMYFUNCTION("GOOGLETRANSLATE(C893,""fr"",""en"")"),"Very satisfied with the speed and price for good coverage, I highly recommend this insurance and hope not to be disappointed since it is my first contract.")</f>
        <v>Very satisfied with the speed and price for good coverage, I highly recommend this insurance and hope not to be disappointed since it is my first contract.</v>
      </c>
    </row>
    <row r="894" ht="15.75" customHeight="1">
      <c r="A894" s="2">
        <v>1.0</v>
      </c>
      <c r="B894" s="2" t="s">
        <v>2475</v>
      </c>
      <c r="C894" s="2" t="s">
        <v>2476</v>
      </c>
      <c r="D894" s="2" t="s">
        <v>19</v>
      </c>
      <c r="E894" s="2" t="s">
        <v>85</v>
      </c>
      <c r="F894" s="2" t="s">
        <v>15</v>
      </c>
      <c r="G894" s="2" t="s">
        <v>2477</v>
      </c>
      <c r="H894" s="2" t="s">
        <v>335</v>
      </c>
      <c r="I894" s="2" t="str">
        <f>IFERROR(__xludf.DUMMYFUNCTION("GOOGLETRANSLATE(C894,""fr"",""en"")"),"The Macif is kind and courteous when you come to subscribe. The back of the decor is an insurer who does everything so as not to honor his obligations. With each claim: three trips to the Verdun agency (1 hour drive) where an advisor plays the moralizer r"&amp;"ather than helping his customers ... complaints not seriously taken into account, the last advisor clearly said to me ""If you are not satisfied with our services go elsewhere"" !!")</f>
        <v>The Macif is kind and courteous when you come to subscribe. The back of the decor is an insurer who does everything so as not to honor his obligations. With each claim: three trips to the Verdun agency (1 hour drive) where an advisor plays the moralizer rather than helping his customers ... complaints not seriously taken into account, the last advisor clearly said to me "If you are not satisfied with our services go elsewhere" !!</v>
      </c>
    </row>
    <row r="895" ht="15.75" customHeight="1">
      <c r="A895" s="2">
        <v>1.0</v>
      </c>
      <c r="B895" s="2" t="s">
        <v>2478</v>
      </c>
      <c r="C895" s="2" t="s">
        <v>2479</v>
      </c>
      <c r="D895" s="2" t="s">
        <v>597</v>
      </c>
      <c r="E895" s="2" t="s">
        <v>85</v>
      </c>
      <c r="F895" s="2" t="s">
        <v>15</v>
      </c>
      <c r="G895" s="2" t="s">
        <v>2480</v>
      </c>
      <c r="H895" s="2" t="s">
        <v>776</v>
      </c>
      <c r="I895" s="2" t="str">
        <f>IFERROR(__xludf.DUMMYFUNCTION("GOOGLETRANSLATE(C895,""fr"",""en"")"),"Everything is in options and it is ors of our disaster that we discovered that obviously we were not all covered ex -fire after lightning and we do not have the electrical damage guarantee. I think that the advisor that day was much more interested in sel"&amp;"ling us all her product as well as her accident insurance insurance rather than telling us about the options available to us")</f>
        <v>Everything is in options and it is ors of our disaster that we discovered that obviously we were not all covered ex -fire after lightning and we do not have the electrical damage guarantee. I think that the advisor that day was much more interested in selling us all her product as well as her accident insurance insurance rather than telling us about the options available to us</v>
      </c>
    </row>
    <row r="896" ht="15.75" customHeight="1">
      <c r="A896" s="2">
        <v>4.0</v>
      </c>
      <c r="B896" s="2" t="s">
        <v>2481</v>
      </c>
      <c r="C896" s="2" t="s">
        <v>2482</v>
      </c>
      <c r="D896" s="2" t="s">
        <v>13</v>
      </c>
      <c r="E896" s="2" t="s">
        <v>14</v>
      </c>
      <c r="F896" s="2" t="s">
        <v>15</v>
      </c>
      <c r="G896" s="2" t="s">
        <v>1331</v>
      </c>
      <c r="H896" s="2" t="s">
        <v>72</v>
      </c>
      <c r="I896" s="2" t="str">
        <f>IFERROR(__xludf.DUMMYFUNCTION("GOOGLETRANSLATE(C896,""fr"",""en"")"),"Price suits me ...
I am satisfied....
I would recommend it ....
Very easy to understand all the steps online ....
Satisfied .. very good")</f>
        <v>Price suits me ...
I am satisfied....
I would recommend it ....
Very easy to understand all the steps online ....
Satisfied .. very good</v>
      </c>
    </row>
    <row r="897" ht="15.75" customHeight="1">
      <c r="A897" s="2">
        <v>4.0</v>
      </c>
      <c r="B897" s="2" t="s">
        <v>2483</v>
      </c>
      <c r="C897" s="2" t="s">
        <v>2484</v>
      </c>
      <c r="D897" s="2" t="s">
        <v>43</v>
      </c>
      <c r="E897" s="2" t="s">
        <v>14</v>
      </c>
      <c r="F897" s="2" t="s">
        <v>15</v>
      </c>
      <c r="G897" s="2" t="s">
        <v>292</v>
      </c>
      <c r="H897" s="2" t="s">
        <v>293</v>
      </c>
      <c r="I897" s="2" t="str">
        <f>IFERROR(__xludf.DUMMYFUNCTION("GOOGLETRANSLATE(C897,""fr"",""en"")"),"Really overall satisfied with services, a little excessive price for a vehicle over 15 years old, but in an emergency and with a very limited budget for the purchase I did not have too much choice. Barely assured 3 months 2 repaired repair, the last of wh"&amp;"ich definitively, HS vehicle :-(. Why return all the documents when we already have a contract?")</f>
        <v>Really overall satisfied with services, a little excessive price for a vehicle over 15 years old, but in an emergency and with a very limited budget for the purchase I did not have too much choice. Barely assured 3 months 2 repaired repair, the last of which definitively, HS vehicle :-(. Why return all the documents when we already have a contract?</v>
      </c>
    </row>
    <row r="898" ht="15.75" customHeight="1">
      <c r="A898" s="2">
        <v>5.0</v>
      </c>
      <c r="B898" s="2" t="s">
        <v>2485</v>
      </c>
      <c r="C898" s="2" t="s">
        <v>2486</v>
      </c>
      <c r="D898" s="2" t="s">
        <v>13</v>
      </c>
      <c r="E898" s="2" t="s">
        <v>14</v>
      </c>
      <c r="F898" s="2" t="s">
        <v>15</v>
      </c>
      <c r="G898" s="2" t="s">
        <v>1175</v>
      </c>
      <c r="H898" s="2" t="s">
        <v>166</v>
      </c>
      <c r="I898" s="2" t="str">
        <f>IFERROR(__xludf.DUMMYFUNCTION("GOOGLETRANSLATE(C898,""fr"",""en"")"),"I am satisfied for the pleasant price of you!
Delighted to start my journey with the 1st car.
The options are adapted to my needs, it's easy to choose.")</f>
        <v>I am satisfied for the pleasant price of you!
Delighted to start my journey with the 1st car.
The options are adapted to my needs, it's easy to choose.</v>
      </c>
    </row>
    <row r="899" ht="15.75" customHeight="1">
      <c r="A899" s="2">
        <v>5.0</v>
      </c>
      <c r="B899" s="2" t="s">
        <v>2487</v>
      </c>
      <c r="C899" s="2" t="s">
        <v>2488</v>
      </c>
      <c r="D899" s="2" t="s">
        <v>97</v>
      </c>
      <c r="E899" s="2" t="s">
        <v>56</v>
      </c>
      <c r="F899" s="2" t="s">
        <v>15</v>
      </c>
      <c r="G899" s="2" t="s">
        <v>2489</v>
      </c>
      <c r="H899" s="2" t="s">
        <v>192</v>
      </c>
      <c r="I899" s="2" t="str">
        <f>IFERROR(__xludf.DUMMYFUNCTION("GOOGLETRANSLATE(C899,""fr"",""en"")"),"A file quickly completed on the website and yet I am not a ""computer pro"" .... when at the rate it is more than attractive I highly recommend")</f>
        <v>A file quickly completed on the website and yet I am not a "computer pro" .... when at the rate it is more than attractive I highly recommend</v>
      </c>
    </row>
    <row r="900" ht="15.75" customHeight="1">
      <c r="A900" s="2">
        <v>2.0</v>
      </c>
      <c r="B900" s="2" t="s">
        <v>2490</v>
      </c>
      <c r="C900" s="2" t="s">
        <v>2491</v>
      </c>
      <c r="D900" s="2" t="s">
        <v>19</v>
      </c>
      <c r="E900" s="2" t="s">
        <v>14</v>
      </c>
      <c r="F900" s="2" t="s">
        <v>15</v>
      </c>
      <c r="G900" s="2" t="s">
        <v>2492</v>
      </c>
      <c r="H900" s="2" t="s">
        <v>82</v>
      </c>
      <c r="I900" s="2" t="str">
        <f>IFERROR(__xludf.DUMMYFUNCTION("GOOGLETRANSLATE(C900,""fr"",""en"")"),"Hanging with a German driver, you are not wrong, he does not want to make an observation (Germany is not part of Europe for insurance), does not want to follow you to the gendarmerie, but for the Macif you are wrongly a hundred percent .... arrangement .."&amp;"..")</f>
        <v>Hanging with a German driver, you are not wrong, he does not want to make an observation (Germany is not part of Europe for insurance), does not want to follow you to the gendarmerie, but for the Macif you are wrongly a hundred percent .... arrangement ....</v>
      </c>
    </row>
    <row r="901" ht="15.75" customHeight="1">
      <c r="A901" s="2">
        <v>4.0</v>
      </c>
      <c r="B901" s="2" t="s">
        <v>2493</v>
      </c>
      <c r="C901" s="2" t="s">
        <v>2494</v>
      </c>
      <c r="D901" s="2" t="s">
        <v>13</v>
      </c>
      <c r="E901" s="2" t="s">
        <v>14</v>
      </c>
      <c r="F901" s="2" t="s">
        <v>15</v>
      </c>
      <c r="G901" s="2" t="s">
        <v>2495</v>
      </c>
      <c r="H901" s="2" t="s">
        <v>166</v>
      </c>
      <c r="I901" s="2" t="str">
        <f>IFERROR(__xludf.DUMMYFUNCTION("GOOGLETRANSLATE(C901,""fr"",""en"")"),"I am satisfied but difficult to reach you on Sunday. I was stolen my car and I can't reach you. Thanks for doing what's needed. Yours")</f>
        <v>I am satisfied but difficult to reach you on Sunday. I was stolen my car and I can't reach you. Thanks for doing what's needed. Yours</v>
      </c>
    </row>
    <row r="902" ht="15.75" customHeight="1">
      <c r="A902" s="2">
        <v>1.0</v>
      </c>
      <c r="B902" s="2" t="s">
        <v>2496</v>
      </c>
      <c r="C902" s="2" t="s">
        <v>2497</v>
      </c>
      <c r="D902" s="2" t="s">
        <v>308</v>
      </c>
      <c r="E902" s="2" t="s">
        <v>317</v>
      </c>
      <c r="F902" s="2" t="s">
        <v>15</v>
      </c>
      <c r="G902" s="2" t="s">
        <v>506</v>
      </c>
      <c r="H902" s="2" t="s">
        <v>229</v>
      </c>
      <c r="I902" s="2" t="str">
        <f>IFERROR(__xludf.DUMMYFUNCTION("GOOGLETRANSLATE(C902,""fr"",""en"")"),"hello the doctor stopped me 10 days for fatigue until December 11, 2016, I resumed work on December 12 and December 12 I received a letter from Allianz telling me that I will have to meet a doctor working for their group. So call this doctor and his secre"&amp;"tary told me you are summoned on December 20 and therefore 9 days after my recovery. I do not understand that we control after a recovery I understand during an stop but the opposite no. I pay 98 € per me I have never been on the way and they have a probl"&amp;"em for 10 x 40 € I no longer trust this insurance.")</f>
        <v>hello the doctor stopped me 10 days for fatigue until December 11, 2016, I resumed work on December 12 and December 12 I received a letter from Allianz telling me that I will have to meet a doctor working for their group. So call this doctor and his secretary told me you are summoned on December 20 and therefore 9 days after my recovery. I do not understand that we control after a recovery I understand during an stop but the opposite no. I pay 98 € per me I have never been on the way and they have a problem for 10 x 40 € I no longer trust this insurance.</v>
      </c>
    </row>
    <row r="903" ht="15.75" customHeight="1">
      <c r="A903" s="2">
        <v>4.0</v>
      </c>
      <c r="B903" s="2" t="s">
        <v>2498</v>
      </c>
      <c r="C903" s="2" t="s">
        <v>2499</v>
      </c>
      <c r="D903" s="2" t="s">
        <v>13</v>
      </c>
      <c r="E903" s="2" t="s">
        <v>14</v>
      </c>
      <c r="F903" s="2" t="s">
        <v>15</v>
      </c>
      <c r="G903" s="2" t="s">
        <v>856</v>
      </c>
      <c r="H903" s="2" t="s">
        <v>72</v>
      </c>
      <c r="I903" s="2" t="str">
        <f>IFERROR(__xludf.DUMMYFUNCTION("GOOGLETRANSLATE(C903,""fr"",""en"")"),"Very satisfied with the implementation of my car contract. I will not fail to advise direct insurance to my entourage.
The telephone reception and the explanations that have been given to me were made with great professionalism.")</f>
        <v>Very satisfied with the implementation of my car contract. I will not fail to advise direct insurance to my entourage.
The telephone reception and the explanations that have been given to me were made with great professionalism.</v>
      </c>
    </row>
    <row r="904" ht="15.75" customHeight="1">
      <c r="A904" s="2">
        <v>4.0</v>
      </c>
      <c r="B904" s="2" t="s">
        <v>2500</v>
      </c>
      <c r="C904" s="2" t="s">
        <v>2501</v>
      </c>
      <c r="D904" s="2" t="s">
        <v>97</v>
      </c>
      <c r="E904" s="2" t="s">
        <v>56</v>
      </c>
      <c r="F904" s="2" t="s">
        <v>15</v>
      </c>
      <c r="G904" s="2" t="s">
        <v>138</v>
      </c>
      <c r="H904" s="2" t="s">
        <v>72</v>
      </c>
      <c r="I904" s="2" t="str">
        <f>IFERROR(__xludf.DUMMYFUNCTION("GOOGLETRANSLATE(C904,""fr"",""en"")"),"Hello, Very welcome on the phone, very good recommendations, the website is fast, simple and very efficient, I recommend this insurance")</f>
        <v>Hello, Very welcome on the phone, very good recommendations, the website is fast, simple and very efficient, I recommend this insurance</v>
      </c>
    </row>
    <row r="905" ht="15.75" customHeight="1">
      <c r="A905" s="2">
        <v>5.0</v>
      </c>
      <c r="B905" s="2" t="s">
        <v>2502</v>
      </c>
      <c r="C905" s="2" t="s">
        <v>2503</v>
      </c>
      <c r="D905" s="2" t="s">
        <v>97</v>
      </c>
      <c r="E905" s="2" t="s">
        <v>56</v>
      </c>
      <c r="F905" s="2" t="s">
        <v>15</v>
      </c>
      <c r="G905" s="2" t="s">
        <v>689</v>
      </c>
      <c r="H905" s="2" t="s">
        <v>99</v>
      </c>
      <c r="I905" s="2" t="str">
        <f>IFERROR(__xludf.DUMMYFUNCTION("GOOGLETRANSLATE(C905,""fr"",""en"")"),"Very satisfied with the responsiveness and the offers offered by AMV, for good full insurance I can't wait to receive my green card. I recommend")</f>
        <v>Very satisfied with the responsiveness and the offers offered by AMV, for good full insurance I can't wait to receive my green card. I recommend</v>
      </c>
    </row>
    <row r="906" ht="15.75" customHeight="1">
      <c r="A906" s="2">
        <v>2.0</v>
      </c>
      <c r="B906" s="2" t="s">
        <v>2504</v>
      </c>
      <c r="C906" s="2" t="s">
        <v>2505</v>
      </c>
      <c r="D906" s="2" t="s">
        <v>13</v>
      </c>
      <c r="E906" s="2" t="s">
        <v>14</v>
      </c>
      <c r="F906" s="2" t="s">
        <v>15</v>
      </c>
      <c r="G906" s="2" t="s">
        <v>2506</v>
      </c>
      <c r="H906" s="2" t="s">
        <v>68</v>
      </c>
      <c r="I906" s="2" t="str">
        <f>IFERROR(__xludf.DUMMYFUNCTION("GOOGLETRANSLATE(C906,""fr"",""en"")"),"Hello
I am satisfied with the catch because I am already a customer with Direct Insurance with all my cars, currently I have two.
On the other hand I am very disappointed with the harassment of which I have been objects by your letters which do not matt"&amp;"er in my eyes, because if we decide to buy a car and to argue insurance what we are also able to follow The gray card documentation, it would be necessary to wait at least a week of the deadline to relaunch the person instead of sending him a letter each "&amp;"time I do not appreciate at all")</f>
        <v>Hello
I am satisfied with the catch because I am already a customer with Direct Insurance with all my cars, currently I have two.
On the other hand I am very disappointed with the harassment of which I have been objects by your letters which do not matter in my eyes, because if we decide to buy a car and to argue insurance what we are also able to follow The gray card documentation, it would be necessary to wait at least a week of the deadline to relaunch the person instead of sending him a letter each time I do not appreciate at all</v>
      </c>
    </row>
    <row r="907" ht="15.75" customHeight="1">
      <c r="A907" s="2">
        <v>1.0</v>
      </c>
      <c r="B907" s="2" t="s">
        <v>2507</v>
      </c>
      <c r="C907" s="2" t="s">
        <v>2508</v>
      </c>
      <c r="D907" s="2" t="s">
        <v>369</v>
      </c>
      <c r="E907" s="2" t="s">
        <v>35</v>
      </c>
      <c r="F907" s="2" t="s">
        <v>15</v>
      </c>
      <c r="G907" s="2" t="s">
        <v>1419</v>
      </c>
      <c r="H907" s="2" t="s">
        <v>16</v>
      </c>
      <c r="I907" s="2" t="str">
        <f>IFERROR(__xludf.DUMMYFUNCTION("GOOGLETRANSLATE(C907,""fr"",""en"")"),"Do not respond to our requests but applies the increases in contributions regularly. Very difficult to reach on the phone and does not take into account our remarks. I strongly advise against this mutual
")</f>
        <v>Do not respond to our requests but applies the increases in contributions regularly. Very difficult to reach on the phone and does not take into account our remarks. I strongly advise against this mutual
</v>
      </c>
    </row>
    <row r="908" ht="15.75" customHeight="1">
      <c r="A908" s="2">
        <v>3.0</v>
      </c>
      <c r="B908" s="2" t="s">
        <v>2509</v>
      </c>
      <c r="C908" s="2" t="s">
        <v>2510</v>
      </c>
      <c r="D908" s="2" t="s">
        <v>13</v>
      </c>
      <c r="E908" s="2" t="s">
        <v>14</v>
      </c>
      <c r="F908" s="2" t="s">
        <v>15</v>
      </c>
      <c r="G908" s="2" t="s">
        <v>99</v>
      </c>
      <c r="H908" s="2" t="s">
        <v>99</v>
      </c>
      <c r="I908" s="2" t="str">
        <f>IFERROR(__xludf.DUMMYFUNCTION("GOOGLETRANSLATE(C908,""fr"",""en"")"),"Simple and quick process but lacks information before entering the tunnel.
More detailed information, including legal/technical details should be presented optionally (link) before the form start.")</f>
        <v>Simple and quick process but lacks information before entering the tunnel.
More detailed information, including legal/technical details should be presented optionally (link) before the form start.</v>
      </c>
    </row>
    <row r="909" ht="15.75" customHeight="1">
      <c r="A909" s="2">
        <v>4.0</v>
      </c>
      <c r="B909" s="2" t="s">
        <v>2511</v>
      </c>
      <c r="C909" s="2" t="s">
        <v>2512</v>
      </c>
      <c r="D909" s="2" t="s">
        <v>13</v>
      </c>
      <c r="E909" s="2" t="s">
        <v>14</v>
      </c>
      <c r="F909" s="2" t="s">
        <v>15</v>
      </c>
      <c r="G909" s="2" t="s">
        <v>2506</v>
      </c>
      <c r="H909" s="2" t="s">
        <v>68</v>
      </c>
      <c r="I909" s="2" t="str">
        <f>IFERROR(__xludf.DUMMYFUNCTION("GOOGLETRANSLATE(C909,""fr"",""en"")"),"I am extremely satisfied with the advisor I had on the phone! It allowed me to make sure very quickly and without headache, I recommend!")</f>
        <v>I am extremely satisfied with the advisor I had on the phone! It allowed me to make sure very quickly and without headache, I recommend!</v>
      </c>
    </row>
    <row r="910" ht="15.75" customHeight="1">
      <c r="A910" s="2">
        <v>1.0</v>
      </c>
      <c r="B910" s="2" t="s">
        <v>2513</v>
      </c>
      <c r="C910" s="2" t="s">
        <v>2514</v>
      </c>
      <c r="D910" s="2" t="s">
        <v>308</v>
      </c>
      <c r="E910" s="2" t="s">
        <v>14</v>
      </c>
      <c r="F910" s="2" t="s">
        <v>15</v>
      </c>
      <c r="G910" s="2" t="s">
        <v>2515</v>
      </c>
      <c r="H910" s="2" t="s">
        <v>442</v>
      </c>
      <c r="I910" s="2" t="str">
        <f>IFERROR(__xludf.DUMMYFUNCTION("GOOGLETRANSLATE(C910,""fr"",""en"")"),"Very bad in after -sales service, does not inquire about the law and personal information. I ended up with 2 insurances for 2 months. They have terminated me and still haven't reimbursed me")</f>
        <v>Very bad in after -sales service, does not inquire about the law and personal information. I ended up with 2 insurances for 2 months. They have terminated me and still haven't reimbursed me</v>
      </c>
    </row>
    <row r="911" ht="15.75" customHeight="1">
      <c r="A911" s="2">
        <v>3.0</v>
      </c>
      <c r="B911" s="2" t="s">
        <v>2516</v>
      </c>
      <c r="C911" s="2" t="s">
        <v>2517</v>
      </c>
      <c r="D911" s="2" t="s">
        <v>55</v>
      </c>
      <c r="E911" s="2" t="s">
        <v>56</v>
      </c>
      <c r="F911" s="2" t="s">
        <v>15</v>
      </c>
      <c r="G911" s="2" t="s">
        <v>2518</v>
      </c>
      <c r="H911" s="2" t="s">
        <v>272</v>
      </c>
      <c r="I911" s="2" t="str">
        <f>IFERROR(__xludf.DUMMYFUNCTION("GOOGLETRANSLATE(C911,""fr"",""en"")"),"I hope not to have new complications ... Too bad not to have been able to settle the details of the file by telephone exchanges. Let's remain positive everything should normally operate")</f>
        <v>I hope not to have new complications ... Too bad not to have been able to settle the details of the file by telephone exchanges. Let's remain positive everything should normally operate</v>
      </c>
    </row>
    <row r="912" ht="15.75" customHeight="1">
      <c r="A912" s="2">
        <v>3.0</v>
      </c>
      <c r="B912" s="2" t="s">
        <v>2519</v>
      </c>
      <c r="C912" s="2" t="s">
        <v>2520</v>
      </c>
      <c r="D912" s="2" t="s">
        <v>19</v>
      </c>
      <c r="E912" s="2" t="s">
        <v>85</v>
      </c>
      <c r="F912" s="2" t="s">
        <v>15</v>
      </c>
      <c r="G912" s="2" t="s">
        <v>2506</v>
      </c>
      <c r="H912" s="2" t="s">
        <v>68</v>
      </c>
      <c r="I912" s="2" t="str">
        <f>IFERROR(__xludf.DUMMYFUNCTION("GOOGLETRANSLATE(C912,""fr"",""en"")"),"Hello,
Well a big water damage, assistance that tells me that they cannot intervene because it is August 15, 2020 and that it will be necessary to wait ... 2 days later to remind me and intervene gold for a pump of lifting ... if not called the firefight"&amp;"ers told me ... the firefighters ?? Sorry ??? An unreachable expert for 1 month, in order to ask him how to save furniture / walls before his arrival! Result he comes and tells us that we should not leave that like that and that he was going to have to go"&amp;" back in 1 month !!!
The Pompon: We have leaving the water open expressly because our neighbors came every day to water our plants and check our Maisôn. We had a flight on August 15 at 12 noon; Our alarm warned us, we reacted immediately, our neighbors c"&amp;"ame to cut the water in the afternoon. A leak that can happen during the day even if you work. Well, 25 cm of high water throughout the living room and the Macif response: you are physically absent for more than 7 days, you need to cut the water, we will "&amp;"not unindemize. Neither the untreated urgency agranating the deterioration of the whole room, nor the furniture, nothing !!!
We did everything, anticipate, an alarm, neighbors, a call for their bright assistance service. We pay for nothing in fact and I "&amp;"have been a member for 25 years !!!")</f>
        <v>Hello,
Well a big water damage, assistance that tells me that they cannot intervene because it is August 15, 2020 and that it will be necessary to wait ... 2 days later to remind me and intervene gold for a pump of lifting ... if not called the firefighters told me ... the firefighters ?? Sorry ??? An unreachable expert for 1 month, in order to ask him how to save furniture / walls before his arrival! Result he comes and tells us that we should not leave that like that and that he was going to have to go back in 1 month !!!
The Pompon: We have leaving the water open expressly because our neighbors came every day to water our plants and check our Maisôn. We had a flight on August 15 at 12 noon; Our alarm warned us, we reacted immediately, our neighbors came to cut the water in the afternoon. A leak that can happen during the day even if you work. Well, 25 cm of high water throughout the living room and the Macif response: you are physically absent for more than 7 days, you need to cut the water, we will not unindemize. Neither the untreated urgency agranating the deterioration of the whole room, nor the furniture, nothing !!!
We did everything, anticipate, an alarm, neighbors, a call for their bright assistance service. We pay for nothing in fact and I have been a member for 25 years !!!</v>
      </c>
    </row>
    <row r="913" ht="15.75" customHeight="1">
      <c r="A913" s="2">
        <v>2.0</v>
      </c>
      <c r="B913" s="2" t="s">
        <v>2521</v>
      </c>
      <c r="C913" s="2" t="s">
        <v>2522</v>
      </c>
      <c r="D913" s="2" t="s">
        <v>224</v>
      </c>
      <c r="E913" s="2" t="s">
        <v>35</v>
      </c>
      <c r="F913" s="2" t="s">
        <v>15</v>
      </c>
      <c r="G913" s="2" t="s">
        <v>1367</v>
      </c>
      <c r="H913" s="2" t="s">
        <v>118</v>
      </c>
      <c r="I913" s="2" t="str">
        <f>IFERROR(__xludf.DUMMYFUNCTION("GOOGLETRANSLATE(C913,""fr"",""en"")"),"Subscription of a health contract in 2019 for an implementation January 2020.
No follow -up of requests on the site.
No way to reach them by phone.
They are always busy and make you wait for hours.
I am tired of this lack of respect shown by this mutu"&amp;"al with these customers.
To forbid.
")</f>
        <v>Subscription of a health contract in 2019 for an implementation January 2020.
No follow -up of requests on the site.
No way to reach them by phone.
They are always busy and make you wait for hours.
I am tired of this lack of respect shown by this mutual with these customers.
To forbid.
</v>
      </c>
    </row>
    <row r="914" ht="15.75" customHeight="1">
      <c r="A914" s="2">
        <v>1.0</v>
      </c>
      <c r="B914" s="2" t="s">
        <v>2523</v>
      </c>
      <c r="C914" s="2" t="s">
        <v>2524</v>
      </c>
      <c r="D914" s="2" t="s">
        <v>106</v>
      </c>
      <c r="E914" s="2" t="s">
        <v>14</v>
      </c>
      <c r="F914" s="2" t="s">
        <v>15</v>
      </c>
      <c r="G914" s="2" t="s">
        <v>2525</v>
      </c>
      <c r="H914" s="2" t="s">
        <v>94</v>
      </c>
      <c r="I914" s="2" t="str">
        <f>IFERROR(__xludf.DUMMYFUNCTION("GOOGLETRANSLATE(C914,""fr"",""en"")"),"Discontent of the service I pay car insurance with the assistant option at zero km and I did not receive any help at the outcome I wanted my car to be repatriated to the nearest breakage and that also not possible in fact I have paid insurance to manage o"&amp;"n my own dear to me that the car is leaving. ALA CASSE AND I RELIED DIRECT WITH. Them")</f>
        <v>Discontent of the service I pay car insurance with the assistant option at zero km and I did not receive any help at the outcome I wanted my car to be repatriated to the nearest breakage and that also not possible in fact I have paid insurance to manage on my own dear to me that the car is leaving. ALA CASSE AND I RELIED DIRECT WITH. Them</v>
      </c>
    </row>
    <row r="915" ht="15.75" customHeight="1">
      <c r="A915" s="2">
        <v>1.0</v>
      </c>
      <c r="B915" s="2" t="s">
        <v>2526</v>
      </c>
      <c r="C915" s="2" t="s">
        <v>2527</v>
      </c>
      <c r="D915" s="2" t="s">
        <v>207</v>
      </c>
      <c r="E915" s="2" t="s">
        <v>35</v>
      </c>
      <c r="F915" s="2" t="s">
        <v>15</v>
      </c>
      <c r="G915" s="2" t="s">
        <v>1012</v>
      </c>
      <c r="H915" s="2" t="s">
        <v>197</v>
      </c>
      <c r="I915" s="2" t="str">
        <f>IFERROR(__xludf.DUMMYFUNCTION("GOOGLETRANSLATE(C915,""fr"",""en"")"),"They are unreachable on the phone the site never walks for two years I cannot connect and by email they undertake to treat the email within ten days and to provide an answer within two months
it is foutage of gu-leather !!!
 ")</f>
        <v>They are unreachable on the phone the site never walks for two years I cannot connect and by email they undertake to treat the email within ten days and to provide an answer within two months
it is foutage of gu-leather !!!
 </v>
      </c>
    </row>
    <row r="916" ht="15.75" customHeight="1">
      <c r="A916" s="2">
        <v>1.0</v>
      </c>
      <c r="B916" s="2" t="s">
        <v>2528</v>
      </c>
      <c r="C916" s="2" t="s">
        <v>2529</v>
      </c>
      <c r="D916" s="2" t="s">
        <v>352</v>
      </c>
      <c r="E916" s="2" t="s">
        <v>85</v>
      </c>
      <c r="F916" s="2" t="s">
        <v>15</v>
      </c>
      <c r="G916" s="2" t="s">
        <v>2530</v>
      </c>
      <c r="H916" s="2" t="s">
        <v>118</v>
      </c>
      <c r="I916" s="2" t="str">
        <f>IFERROR(__xludf.DUMMYFUNCTION("GOOGLETRANSLATE(C916,""fr"",""en"")"),"Ghost insurance")</f>
        <v>Ghost insurance</v>
      </c>
    </row>
    <row r="917" ht="15.75" customHeight="1">
      <c r="A917" s="2">
        <v>5.0</v>
      </c>
      <c r="B917" s="2" t="s">
        <v>2531</v>
      </c>
      <c r="C917" s="2" t="s">
        <v>2532</v>
      </c>
      <c r="D917" s="2" t="s">
        <v>43</v>
      </c>
      <c r="E917" s="2" t="s">
        <v>14</v>
      </c>
      <c r="F917" s="2" t="s">
        <v>15</v>
      </c>
      <c r="G917" s="2" t="s">
        <v>2023</v>
      </c>
      <c r="H917" s="2" t="s">
        <v>68</v>
      </c>
      <c r="I917" s="2" t="str">
        <f>IFERROR(__xludf.DUMMYFUNCTION("GOOGLETRANSLATE(C917,""fr"",""en"")"),"I am satisfied
Thanks very much
Reasonable price compared to other insurance that I consulted online
Already customer with Olivier Insurance
Have a good day")</f>
        <v>I am satisfied
Thanks very much
Reasonable price compared to other insurance that I consulted online
Already customer with Olivier Insurance
Have a good day</v>
      </c>
    </row>
    <row r="918" ht="15.75" customHeight="1">
      <c r="A918" s="2">
        <v>1.0</v>
      </c>
      <c r="B918" s="2" t="s">
        <v>2533</v>
      </c>
      <c r="C918" s="2" t="s">
        <v>2534</v>
      </c>
      <c r="D918" s="2" t="s">
        <v>80</v>
      </c>
      <c r="E918" s="2" t="s">
        <v>85</v>
      </c>
      <c r="F918" s="2" t="s">
        <v>15</v>
      </c>
      <c r="G918" s="2" t="s">
        <v>2535</v>
      </c>
      <c r="H918" s="2" t="s">
        <v>831</v>
      </c>
      <c r="I918" s="2" t="str">
        <f>IFERROR(__xludf.DUMMYFUNCTION("GOOGLETRANSLATE(C918,""fr"",""en"")"),"Hello, I was a customer at AXA (UAP at the time) from 1976 until at the beginning of this year.
I almost left them for the first time in 1982 in front of their higher price than competition.
To keep me, they aligned themselves on it.
Since that date, I"&amp;" had to regularly renegotiate to compensate for their higher price increase than the average.
In March 2012 I was overturned by a car. Serious accident, 9 months of hospitalization more than 1 year of work stoppage.
At the beginning, my file is very w"&amp;"ell followed by a competent person from AXA Paris.
In 2014 (normal deadlines in this case) I have to touch the balance of satisfactory compensation.
This is where everything skids:
The transaction minutes do not reach me
The person following my file"&amp;" disappears
When finally after several months I receive the transaction minutes, it does not correspond at all to what had been offered to me by email.
I finally take a lawyer who obtains the compensation proposed initially
And here is the apotheos"&amp;"is:
I claim the compensation provided for in the event of recourse to a lawyer from my agent who transmits to Paris.
NO ANSWER !!!
I leave Axa 2 months later.
No comments.
")</f>
        <v>Hello, I was a customer at AXA (UAP at the time) from 1976 until at the beginning of this year.
I almost left them for the first time in 1982 in front of their higher price than competition.
To keep me, they aligned themselves on it.
Since that date, I had to regularly renegotiate to compensate for their higher price increase than the average.
In March 2012 I was overturned by a car. Serious accident, 9 months of hospitalization more than 1 year of work stoppage.
At the beginning, my file is very well followed by a competent person from AXA Paris.
In 2014 (normal deadlines in this case) I have to touch the balance of satisfactory compensation.
This is where everything skids:
The transaction minutes do not reach me
The person following my file disappears
When finally after several months I receive the transaction minutes, it does not correspond at all to what had been offered to me by email.
I finally take a lawyer who obtains the compensation proposed initially
And here is the apotheosis:
I claim the compensation provided for in the event of recourse to a lawyer from my agent who transmits to Paris.
NO ANSWER !!!
I leave Axa 2 months later.
No comments.
</v>
      </c>
    </row>
    <row r="919" ht="15.75" customHeight="1">
      <c r="A919" s="2">
        <v>5.0</v>
      </c>
      <c r="B919" s="2" t="s">
        <v>2536</v>
      </c>
      <c r="C919" s="2" t="s">
        <v>2537</v>
      </c>
      <c r="D919" s="2" t="s">
        <v>55</v>
      </c>
      <c r="E919" s="2" t="s">
        <v>56</v>
      </c>
      <c r="F919" s="2" t="s">
        <v>15</v>
      </c>
      <c r="G919" s="2" t="s">
        <v>245</v>
      </c>
      <c r="H919" s="2" t="s">
        <v>217</v>
      </c>
      <c r="I919" s="2" t="str">
        <f>IFERROR(__xludf.DUMMYFUNCTION("GOOGLETRANSLATE(C919,""fr"",""en"")"),"I am satisfied with the service.
Very affordable insurance at the rate level
I recommend April Moto Insurance
very clear site even for computer beginners")</f>
        <v>I am satisfied with the service.
Very affordable insurance at the rate level
I recommend April Moto Insurance
very clear site even for computer beginners</v>
      </c>
    </row>
    <row r="920" ht="15.75" customHeight="1">
      <c r="A920" s="2">
        <v>5.0</v>
      </c>
      <c r="B920" s="2" t="s">
        <v>2538</v>
      </c>
      <c r="C920" s="2" t="s">
        <v>2539</v>
      </c>
      <c r="D920" s="2" t="s">
        <v>13</v>
      </c>
      <c r="E920" s="2" t="s">
        <v>14</v>
      </c>
      <c r="F920" s="2" t="s">
        <v>15</v>
      </c>
      <c r="G920" s="2" t="s">
        <v>2540</v>
      </c>
      <c r="H920" s="2" t="s">
        <v>1029</v>
      </c>
      <c r="I920" s="2" t="str">
        <f>IFERROR(__xludf.DUMMYFUNCTION("GOOGLETRANSLATE(C920,""fr"",""en"")"),"I am completely satisfied with the contract that I have just concluded with direct insurance and the conditions under which this subscription was made")</f>
        <v>I am completely satisfied with the contract that I have just concluded with direct insurance and the conditions under which this subscription was made</v>
      </c>
    </row>
    <row r="921" ht="15.75" customHeight="1">
      <c r="A921" s="2">
        <v>2.0</v>
      </c>
      <c r="B921" s="2" t="s">
        <v>2541</v>
      </c>
      <c r="C921" s="2" t="s">
        <v>2542</v>
      </c>
      <c r="D921" s="2" t="s">
        <v>13</v>
      </c>
      <c r="E921" s="2" t="s">
        <v>14</v>
      </c>
      <c r="F921" s="2" t="s">
        <v>15</v>
      </c>
      <c r="G921" s="2" t="s">
        <v>1568</v>
      </c>
      <c r="H921" s="2" t="s">
        <v>192</v>
      </c>
      <c r="I921" s="2" t="str">
        <f>IFERROR(__xludf.DUMMYFUNCTION("GOOGLETRANSLATE(C921,""fr"",""en"")"),"Increases of deadlines each year, I will see to negotiate with competition. Decided, you cannot keep and faithful to your customers.")</f>
        <v>Increases of deadlines each year, I will see to negotiate with competition. Decided, you cannot keep and faithful to your customers.</v>
      </c>
    </row>
    <row r="922" ht="15.75" customHeight="1">
      <c r="A922" s="2">
        <v>4.0</v>
      </c>
      <c r="B922" s="2" t="s">
        <v>2543</v>
      </c>
      <c r="C922" s="2" t="s">
        <v>2544</v>
      </c>
      <c r="D922" s="2" t="s">
        <v>43</v>
      </c>
      <c r="E922" s="2" t="s">
        <v>14</v>
      </c>
      <c r="F922" s="2" t="s">
        <v>15</v>
      </c>
      <c r="G922" s="2" t="s">
        <v>2545</v>
      </c>
      <c r="H922" s="2" t="s">
        <v>293</v>
      </c>
      <c r="I922" s="2" t="str">
        <f>IFERROR(__xludf.DUMMYFUNCTION("GOOGLETRANSLATE(C922,""fr"",""en"")"),"Really not bad, very good price but criterion for calculating fairly vague prices I find, from one day to the other the price of my quote changed a lot.")</f>
        <v>Really not bad, very good price but criterion for calculating fairly vague prices I find, from one day to the other the price of my quote changed a lot.</v>
      </c>
    </row>
    <row r="923" ht="15.75" customHeight="1">
      <c r="A923" s="2">
        <v>4.0</v>
      </c>
      <c r="B923" s="2" t="s">
        <v>2546</v>
      </c>
      <c r="C923" s="2" t="s">
        <v>2547</v>
      </c>
      <c r="D923" s="2" t="s">
        <v>13</v>
      </c>
      <c r="E923" s="2" t="s">
        <v>14</v>
      </c>
      <c r="F923" s="2" t="s">
        <v>15</v>
      </c>
      <c r="G923" s="2" t="s">
        <v>2548</v>
      </c>
      <c r="H923" s="2" t="s">
        <v>52</v>
      </c>
      <c r="I923" s="2" t="str">
        <f>IFERROR(__xludf.DUMMYFUNCTION("GOOGLETRANSLATE(C923,""fr"",""en"")"),"no problem.
The service is very good and the corresponding to the phone are very clear.
On the other hand, we are not told everything.
The amount of samples for example.")</f>
        <v>no problem.
The service is very good and the corresponding to the phone are very clear.
On the other hand, we are not told everything.
The amount of samples for example.</v>
      </c>
    </row>
    <row r="924" ht="15.75" customHeight="1">
      <c r="A924" s="2">
        <v>4.0</v>
      </c>
      <c r="B924" s="2" t="s">
        <v>2549</v>
      </c>
      <c r="C924" s="2" t="s">
        <v>2550</v>
      </c>
      <c r="D924" s="2" t="s">
        <v>43</v>
      </c>
      <c r="E924" s="2" t="s">
        <v>14</v>
      </c>
      <c r="F924" s="2" t="s">
        <v>15</v>
      </c>
      <c r="G924" s="2" t="s">
        <v>2506</v>
      </c>
      <c r="H924" s="2" t="s">
        <v>68</v>
      </c>
      <c r="I924" s="2" t="str">
        <f>IFERROR(__xludf.DUMMYFUNCTION("GOOGLETRANSLATE(C924,""fr"",""en"")"),"Clear information, speed to establish requests
Satisfactory contract and price. Quick demarchers.
Competent and pleasant staff on the phone.
")</f>
        <v>Clear information, speed to establish requests
Satisfactory contract and price. Quick demarchers.
Competent and pleasant staff on the phone.
</v>
      </c>
    </row>
    <row r="925" ht="15.75" customHeight="1">
      <c r="A925" s="2">
        <v>1.0</v>
      </c>
      <c r="B925" s="2" t="s">
        <v>2551</v>
      </c>
      <c r="C925" s="2" t="s">
        <v>2552</v>
      </c>
      <c r="D925" s="2" t="s">
        <v>278</v>
      </c>
      <c r="E925" s="2" t="s">
        <v>14</v>
      </c>
      <c r="F925" s="2" t="s">
        <v>15</v>
      </c>
      <c r="G925" s="2" t="s">
        <v>2553</v>
      </c>
      <c r="H925" s="2" t="s">
        <v>229</v>
      </c>
      <c r="I925" s="2" t="str">
        <f>IFERROR(__xludf.DUMMYFUNCTION("GOOGLETRANSLATE(C925,""fr"",""en"")"),"hello to all and to all, self -assurance to flee insured at the matmut for 10 years without any claim 8 months ago I get my car stolen from me, he is looking for pretexts not to pay, 15 days ago they have agreed to reimburse me I and give them the vehicle"&amp;" I always wait for my check, when I call them he tells me that my file and in progress. This insurance and a nightmare")</f>
        <v>hello to all and to all, self -assurance to flee insured at the matmut for 10 years without any claim 8 months ago I get my car stolen from me, he is looking for pretexts not to pay, 15 days ago they have agreed to reimburse me I and give them the vehicle I always wait for my check, when I call them he tells me that my file and in progress. This insurance and a nightmare</v>
      </c>
    </row>
    <row r="926" ht="15.75" customHeight="1">
      <c r="A926" s="2">
        <v>3.0</v>
      </c>
      <c r="B926" s="2" t="s">
        <v>2554</v>
      </c>
      <c r="C926" s="2" t="s">
        <v>2555</v>
      </c>
      <c r="D926" s="2" t="s">
        <v>224</v>
      </c>
      <c r="E926" s="2" t="s">
        <v>35</v>
      </c>
      <c r="F926" s="2" t="s">
        <v>15</v>
      </c>
      <c r="G926" s="2" t="s">
        <v>2556</v>
      </c>
      <c r="H926" s="2" t="s">
        <v>150</v>
      </c>
      <c r="I926" s="2" t="str">
        <f>IFERROR(__xludf.DUMMYFUNCTION("GOOGLETRANSLATE(C926,""fr"",""en"")"),"Hello,
Following a canvassing at home or we ask you lots of questions without telling you too much why I find myself paying for a mutual that I do not need for a year, or it is the bailiff !!
")</f>
        <v>Hello,
Following a canvassing at home or we ask you lots of questions without telling you too much why I find myself paying for a mutual that I do not need for a year, or it is the bailiff !!
</v>
      </c>
    </row>
    <row r="927" ht="15.75" customHeight="1">
      <c r="A927" s="2">
        <v>2.0</v>
      </c>
      <c r="B927" s="2" t="s">
        <v>2557</v>
      </c>
      <c r="C927" s="2" t="s">
        <v>2558</v>
      </c>
      <c r="D927" s="2" t="s">
        <v>156</v>
      </c>
      <c r="E927" s="2" t="s">
        <v>14</v>
      </c>
      <c r="F927" s="2" t="s">
        <v>15</v>
      </c>
      <c r="G927" s="2" t="s">
        <v>689</v>
      </c>
      <c r="H927" s="2" t="s">
        <v>99</v>
      </c>
      <c r="I927" s="2" t="str">
        <f>IFERROR(__xludf.DUMMYFUNCTION("GOOGLETRANSLATE(C927,""fr"",""en"")"),"Car flight this morning and I’m leaving me alone on a bp. The cigarette lighter served as a remote control to open the garage door. Cigarette lighter in the stolen car.
So they come back home when they want ..")</f>
        <v>Car flight this morning and I’m leaving me alone on a bp. The cigarette lighter served as a remote control to open the garage door. Cigarette lighter in the stolen car.
So they come back home when they want ..</v>
      </c>
    </row>
    <row r="928" ht="15.75" customHeight="1">
      <c r="A928" s="2">
        <v>5.0</v>
      </c>
      <c r="B928" s="2" t="s">
        <v>2559</v>
      </c>
      <c r="C928" s="2" t="s">
        <v>2560</v>
      </c>
      <c r="D928" s="2" t="s">
        <v>13</v>
      </c>
      <c r="E928" s="2" t="s">
        <v>14</v>
      </c>
      <c r="F928" s="2" t="s">
        <v>15</v>
      </c>
      <c r="G928" s="2" t="s">
        <v>1753</v>
      </c>
      <c r="H928" s="2" t="s">
        <v>72</v>
      </c>
      <c r="I928" s="2" t="str">
        <f>IFERROR(__xludf.DUMMYFUNCTION("GOOGLETRANSLATE(C928,""fr"",""en"")"),"I am satisfied with those that insurance offers price and security level as a young driver I find that prices are good for the advantages that there are")</f>
        <v>I am satisfied with those that insurance offers price and security level as a young driver I find that prices are good for the advantages that there are</v>
      </c>
    </row>
    <row r="929" ht="15.75" customHeight="1">
      <c r="A929" s="2">
        <v>5.0</v>
      </c>
      <c r="B929" s="2" t="s">
        <v>2561</v>
      </c>
      <c r="C929" s="2" t="s">
        <v>2562</v>
      </c>
      <c r="D929" s="2" t="s">
        <v>13</v>
      </c>
      <c r="E929" s="2" t="s">
        <v>14</v>
      </c>
      <c r="F929" s="2" t="s">
        <v>15</v>
      </c>
      <c r="G929" s="2" t="s">
        <v>1968</v>
      </c>
      <c r="H929" s="2" t="s">
        <v>68</v>
      </c>
      <c r="I929" s="2" t="str">
        <f>IFERROR(__xludf.DUMMYFUNCTION("GOOGLETRANSLATE(C929,""fr"",""en"")"),"Very well, I am satisfied with the answers provided.
Listening staff, very kind, very clear explanation.
Make the step, I advise it.")</f>
        <v>Very well, I am satisfied with the answers provided.
Listening staff, very kind, very clear explanation.
Make the step, I advise it.</v>
      </c>
    </row>
    <row r="930" ht="15.75" customHeight="1">
      <c r="A930" s="2">
        <v>1.0</v>
      </c>
      <c r="B930" s="2" t="s">
        <v>2563</v>
      </c>
      <c r="C930" s="2" t="s">
        <v>2564</v>
      </c>
      <c r="D930" s="2" t="s">
        <v>121</v>
      </c>
      <c r="E930" s="2" t="s">
        <v>85</v>
      </c>
      <c r="F930" s="2" t="s">
        <v>15</v>
      </c>
      <c r="G930" s="2" t="s">
        <v>2565</v>
      </c>
      <c r="H930" s="2" t="s">
        <v>123</v>
      </c>
      <c r="I930" s="2" t="str">
        <f>IFERROR(__xludf.DUMMYFUNCTION("GOOGLETRANSLATE(C930,""fr"",""en"")"),"Following a water damage which dates from more than 5 months and which damaged the bathroom parquet, I have still not received compensation to be able to change the parquet and the broken shower. They ask to change the shower before putting the prosecutio"&amp;"n when it is not possible and then change their mind. When I call them, it is not ashamed to tell me that my file does not advance because I have been forgotten or I must tell them to look at the expert reports they have ordered but that they do not Do no"&amp;"t read if I do not call them. They find that prices are too high and bring about experts to check the prices announced while I have been a customer at home for 20 years and that the amount (€ 4,000) is far from what I paid each year without ever having Da"&amp;"mage and that picking up for this seems strange to me because in addition it is their approved professionals who make the quotes.")</f>
        <v>Following a water damage which dates from more than 5 months and which damaged the bathroom parquet, I have still not received compensation to be able to change the parquet and the broken shower. They ask to change the shower before putting the prosecution when it is not possible and then change their mind. When I call them, it is not ashamed to tell me that my file does not advance because I have been forgotten or I must tell them to look at the expert reports they have ordered but that they do not Do not read if I do not call them. They find that prices are too high and bring about experts to check the prices announced while I have been a customer at home for 20 years and that the amount (€ 4,000) is far from what I paid each year without ever having Damage and that picking up for this seems strange to me because in addition it is their approved professionals who make the quotes.</v>
      </c>
    </row>
    <row r="931" ht="15.75" customHeight="1">
      <c r="A931" s="2">
        <v>1.0</v>
      </c>
      <c r="B931" s="2" t="s">
        <v>2566</v>
      </c>
      <c r="C931" s="2" t="s">
        <v>2567</v>
      </c>
      <c r="D931" s="2" t="s">
        <v>24</v>
      </c>
      <c r="E931" s="2" t="s">
        <v>25</v>
      </c>
      <c r="F931" s="2" t="s">
        <v>15</v>
      </c>
      <c r="G931" s="2" t="s">
        <v>2568</v>
      </c>
      <c r="H931" s="2" t="s">
        <v>831</v>
      </c>
      <c r="I931" s="2" t="str">
        <f>IFERROR(__xludf.DUMMYFUNCTION("GOOGLETRANSLATE(C931,""fr"",""en"")"),"A part of succession file in Belgium is linked to France through life insurance subscribed to Cardif (BNP Paribas). In Belgium, the notary in charge of the succession seems to have no authority to advance the file (according to numerous letters with the C"&amp;"ardif succession service). Likewise, myself, as an agent I have never obtained the slightest information, Cardif taking refuge behind the confidentiality obligations of insurers ... I also contacted, as well as our Belgian notary, the French notary based "&amp;"In Marseille but the exchanges were reduced to one or two evasive emails.
Since 2015 (although the death dates from April 2014), we are wading in this file. No information was sent to us on the part of Cardif for the reasons mentioned above and althoug"&amp;"h the file exists, nothing seems to be unlocked, nor advance in ... 2 years already.
Furthermore, we were discouraged with affirmations that only a judge could intervene in this file to communicate the beneficiaries, that the contract was not subject t"&amp;"o article 757b of the CGI the liberating of the inheritance asset in Belgium, etc.
We have been around since 2015 by saying that the beneficiaries will be warned in due time, but in 2 years no one has been contacted.
The elements that I held in the "&amp;"lifetime of the deceased (who was my life companion) made me decide to provide copy of my identity and send all the documents concerning me, but to date I have had no return whatever. Apart from a phone call from a collaborator who, in an atmosphere of se"&amp;"cret and suspicion (begging me at discretion and anonymity), worthy of a spy film for the Cold War Communique Customer service telephone numbers, where I don't get a response or always the same information.
I looked for information on the internet a li"&amp;"ttle in despair and what I gleaned there frightened me. There are many forums where the dissatisfied, all giving a very bad image of cardif are expressed.
Difficult however for me, as Belgian to find myself there in the authorities to contact.
I do "&amp;"not understand such a dysfunction knowing that a 2007 law requires the insurer to settle within a month, under penalty of penalties.
I no longer know what saint to dedicate me, nor to turn to me, would you have an idea of ​​the procedure that I should fo"&amp;"llow so that the necessary is finally done?
A big thank you for your answer. I hope with all my heart a relevant lighting.")</f>
        <v>A part of succession file in Belgium is linked to France through life insurance subscribed to Cardif (BNP Paribas). In Belgium, the notary in charge of the succession seems to have no authority to advance the file (according to numerous letters with the Cardif succession service). Likewise, myself, as an agent I have never obtained the slightest information, Cardif taking refuge behind the confidentiality obligations of insurers ... I also contacted, as well as our Belgian notary, the French notary based In Marseille but the exchanges were reduced to one or two evasive emails.
Since 2015 (although the death dates from April 2014), we are wading in this file. No information was sent to us on the part of Cardif for the reasons mentioned above and although the file exists, nothing seems to be unlocked, nor advance in ... 2 years already.
Furthermore, we were discouraged with affirmations that only a judge could intervene in this file to communicate the beneficiaries, that the contract was not subject to article 757b of the CGI the liberating of the inheritance asset in Belgium, etc.
We have been around since 2015 by saying that the beneficiaries will be warned in due time, but in 2 years no one has been contacted.
The elements that I held in the lifetime of the deceased (who was my life companion) made me decide to provide copy of my identity and send all the documents concerning me, but to date I have had no return whatever. Apart from a phone call from a collaborator who, in an atmosphere of secret and suspicion (begging me at discretion and anonymity), worthy of a spy film for the Cold War Communique Customer service telephone numbers, where I don't get a response or always the same information.
I looked for information on the internet a little in despair and what I gleaned there frightened me. There are many forums where the dissatisfied, all giving a very bad image of cardif are expressed.
Difficult however for me, as Belgian to find myself there in the authorities to contact.
I do not understand such a dysfunction knowing that a 2007 law requires the insurer to settle within a month, under penalty of penalties.
I no longer know what saint to dedicate me, nor to turn to me, would you have an idea of ​​the procedure that I should follow so that the necessary is finally done?
A big thank you for your answer. I hope with all my heart a relevant lighting.</v>
      </c>
    </row>
    <row r="932" ht="15.75" customHeight="1">
      <c r="A932" s="2">
        <v>5.0</v>
      </c>
      <c r="B932" s="2" t="s">
        <v>2569</v>
      </c>
      <c r="C932" s="2" t="s">
        <v>2570</v>
      </c>
      <c r="D932" s="2" t="s">
        <v>13</v>
      </c>
      <c r="E932" s="2" t="s">
        <v>14</v>
      </c>
      <c r="F932" s="2" t="s">
        <v>15</v>
      </c>
      <c r="G932" s="2" t="s">
        <v>322</v>
      </c>
      <c r="H932" s="2" t="s">
        <v>52</v>
      </c>
      <c r="I932" s="2" t="str">
        <f>IFERROR(__xludf.DUMMYFUNCTION("GOOGLETRANSLATE(C932,""fr"",""en"")"),"I am satisfied with the service, the prices of the ease of subscription for the user -friendliness of the site for the IHM implemented and for the analyzes and advice implemented and given")</f>
        <v>I am satisfied with the service, the prices of the ease of subscription for the user -friendliness of the site for the IHM implemented and for the analyzes and advice implemented and given</v>
      </c>
    </row>
    <row r="933" ht="15.75" customHeight="1">
      <c r="A933" s="2">
        <v>5.0</v>
      </c>
      <c r="B933" s="2" t="s">
        <v>2571</v>
      </c>
      <c r="C933" s="2" t="s">
        <v>2572</v>
      </c>
      <c r="D933" s="2" t="s">
        <v>34</v>
      </c>
      <c r="E933" s="2" t="s">
        <v>35</v>
      </c>
      <c r="F933" s="2" t="s">
        <v>15</v>
      </c>
      <c r="G933" s="2" t="s">
        <v>2573</v>
      </c>
      <c r="H933" s="2" t="s">
        <v>776</v>
      </c>
      <c r="I933" s="2" t="str">
        <f>IFERROR(__xludf.DUMMYFUNCTION("GOOGLETRANSLATE(C933,""fr"",""en"")"),"I highly recommend Erika for her professionalism, her welcome.")</f>
        <v>I highly recommend Erika for her professionalism, her welcome.</v>
      </c>
    </row>
    <row r="934" ht="15.75" customHeight="1">
      <c r="A934" s="2">
        <v>1.0</v>
      </c>
      <c r="B934" s="2" t="s">
        <v>2574</v>
      </c>
      <c r="C934" s="2" t="s">
        <v>2575</v>
      </c>
      <c r="D934" s="2" t="s">
        <v>2576</v>
      </c>
      <c r="E934" s="2" t="s">
        <v>112</v>
      </c>
      <c r="F934" s="2" t="s">
        <v>15</v>
      </c>
      <c r="G934" s="2" t="s">
        <v>2577</v>
      </c>
      <c r="H934" s="2" t="s">
        <v>201</v>
      </c>
      <c r="I934" s="2" t="str">
        <f>IFERROR(__xludf.DUMMYFUNCTION("GOOGLETRANSLATE(C934,""fr"",""en"")"),"Impossible to reach this ghost company ...
I renegotiated my mortgage loan and ask Metlife to resume my calculation base. No response for 1 month.
To make them react, I intend to oppose the samples and I suggest it, so you can be sure you are contacted "&amp;"...
I will quickly make my arrangements to change insurer.
")</f>
        <v>Impossible to reach this ghost company ...
I renegotiated my mortgage loan and ask Metlife to resume my calculation base. No response for 1 month.
To make them react, I intend to oppose the samples and I suggest it, so you can be sure you are contacted ...
I will quickly make my arrangements to change insurer.
</v>
      </c>
    </row>
    <row r="935" ht="15.75" customHeight="1">
      <c r="A935" s="2">
        <v>5.0</v>
      </c>
      <c r="B935" s="2" t="s">
        <v>2578</v>
      </c>
      <c r="C935" s="2" t="s">
        <v>2579</v>
      </c>
      <c r="D935" s="2" t="s">
        <v>97</v>
      </c>
      <c r="E935" s="2" t="s">
        <v>56</v>
      </c>
      <c r="F935" s="2" t="s">
        <v>15</v>
      </c>
      <c r="G935" s="2" t="s">
        <v>2048</v>
      </c>
      <c r="H935" s="2" t="s">
        <v>236</v>
      </c>
      <c r="I935" s="2" t="str">
        <f>IFERROR(__xludf.DUMMYFUNCTION("GOOGLETRANSLATE(C935,""fr"",""en"")"),"Here is a very good motorcycle insurance that I recommend
Fast practice with price often cheaper than others.
Very good speed to have them on the phone.")</f>
        <v>Here is a very good motorcycle insurance that I recommend
Fast practice with price often cheaper than others.
Very good speed to have them on the phone.</v>
      </c>
    </row>
    <row r="936" ht="15.75" customHeight="1">
      <c r="A936" s="2">
        <v>1.0</v>
      </c>
      <c r="B936" s="2" t="s">
        <v>2580</v>
      </c>
      <c r="C936" s="2" t="s">
        <v>2581</v>
      </c>
      <c r="D936" s="2" t="s">
        <v>365</v>
      </c>
      <c r="E936" s="2" t="s">
        <v>14</v>
      </c>
      <c r="F936" s="2" t="s">
        <v>15</v>
      </c>
      <c r="G936" s="2" t="s">
        <v>272</v>
      </c>
      <c r="H936" s="2" t="s">
        <v>272</v>
      </c>
      <c r="I936" s="2" t="str">
        <f>IFERROR(__xludf.DUMMYFUNCTION("GOOGLETRANSLATE(C936,""fr"",""en"")"),"Insured for 17 years at La Maif, they refused my reinsurance just after a stolement incident of my car. They made me no reason.")</f>
        <v>Insured for 17 years at La Maif, they refused my reinsurance just after a stolement incident of my car. They made me no reason.</v>
      </c>
    </row>
    <row r="937" ht="15.75" customHeight="1">
      <c r="A937" s="2">
        <v>5.0</v>
      </c>
      <c r="B937" s="2" t="s">
        <v>2582</v>
      </c>
      <c r="C937" s="2" t="s">
        <v>2583</v>
      </c>
      <c r="D937" s="2" t="s">
        <v>43</v>
      </c>
      <c r="E937" s="2" t="s">
        <v>14</v>
      </c>
      <c r="F937" s="2" t="s">
        <v>15</v>
      </c>
      <c r="G937" s="2" t="s">
        <v>715</v>
      </c>
      <c r="H937" s="2" t="s">
        <v>99</v>
      </c>
      <c r="I937" s="2" t="str">
        <f>IFERROR(__xludf.DUMMYFUNCTION("GOOGLETRANSLATE(C937,""fr"",""en"")"),"I am satisfied with the service
Prices suit me
It's simple and practical
There is always someone on the phone to answer the question clearly and precisely")</f>
        <v>I am satisfied with the service
Prices suit me
It's simple and practical
There is always someone on the phone to answer the question clearly and precisely</v>
      </c>
    </row>
    <row r="938" ht="15.75" customHeight="1">
      <c r="A938" s="2">
        <v>1.0</v>
      </c>
      <c r="B938" s="2" t="s">
        <v>2584</v>
      </c>
      <c r="C938" s="2" t="s">
        <v>2585</v>
      </c>
      <c r="D938" s="2" t="s">
        <v>183</v>
      </c>
      <c r="E938" s="2" t="s">
        <v>14</v>
      </c>
      <c r="F938" s="2" t="s">
        <v>15</v>
      </c>
      <c r="G938" s="2" t="s">
        <v>512</v>
      </c>
      <c r="H938" s="2" t="s">
        <v>319</v>
      </c>
      <c r="I938" s="2" t="str">
        <f>IFERROR(__xludf.DUMMYFUNCTION("GOOGLETRANSLATE(C938,""fr"",""en"")"),"Leak is the best solution.
For all people who wish to subscribe to this insurance I invite you to go your way
Even if the price is attractive the management conditions of pitiful customers
What are the reasons?
The surcharged numbers in case of "&amp;"management 0.80 per minute.
I had a non -responsible accident to make it short the bus back in a roundabout it collided with my car 3 times.
I call the assistance issue that tells me that he took my oral declaration into account and that I had to send"&amp;" the observation.
I quickly have as proof, here is the tracking.
Distributed
Boulogne Billancourt PPDC
92
Details of the routing.
The mail was given against signature of the recipient or his representative duly mandated.
To date no contact on"&amp;" the part of their services. My HS vehicle no solution.
To avoid you all surprises go for 3 years that I have been at the with without any delay in payment.
If I had the opportunity to put a negative note I would do it")</f>
        <v>Leak is the best solution.
For all people who wish to subscribe to this insurance I invite you to go your way
Even if the price is attractive the management conditions of pitiful customers
What are the reasons?
The surcharged numbers in case of management 0.80 per minute.
I had a non -responsible accident to make it short the bus back in a roundabout it collided with my car 3 times.
I call the assistance issue that tells me that he took my oral declaration into account and that I had to send the observation.
I quickly have as proof, here is the tracking.
Distributed
Boulogne Billancourt PPDC
92
Details of the routing.
The mail was given against signature of the recipient or his representative duly mandated.
To date no contact on the part of their services. My HS vehicle no solution.
To avoid you all surprises go for 3 years that I have been at the with without any delay in payment.
If I had the opportunity to put a negative note I would do it</v>
      </c>
    </row>
    <row r="939" ht="15.75" customHeight="1">
      <c r="A939" s="2">
        <v>1.0</v>
      </c>
      <c r="B939" s="2" t="s">
        <v>2586</v>
      </c>
      <c r="C939" s="2" t="s">
        <v>2587</v>
      </c>
      <c r="D939" s="2" t="s">
        <v>13</v>
      </c>
      <c r="E939" s="2" t="s">
        <v>14</v>
      </c>
      <c r="F939" s="2" t="s">
        <v>15</v>
      </c>
      <c r="G939" s="2" t="s">
        <v>2588</v>
      </c>
      <c r="H939" s="2" t="s">
        <v>422</v>
      </c>
      <c r="I939" s="2" t="str">
        <f>IFERROR(__xludf.DUMMYFUNCTION("GOOGLETRANSLATE(C939,""fr"",""en"")"),"Following an engine fire on a highway.
More than 2 hours of waiting in the rain before having a troubleshooting.
- disaster not taken care of while covered by insurance any risk.
- Immobilized vehicle 3 months by insurance.
- No loan vehicle while the"&amp;" option has been paid for 3 years.
- No towing of the non -rolling vehicle while 0km assistance has been paid for 3 years.
- Vehicle largely damaged by the approved garage without any compensation.
- Modification of the loss fire in frontal shock while"&amp;" the vehicle has no trace of shock
- No compensation while vehicles at all risk and 25% of the penalty while the disaster has not been taken care of.
Basically pay you, pay even more, always more and in exchange any guarantees")</f>
        <v>Following an engine fire on a highway.
More than 2 hours of waiting in the rain before having a troubleshooting.
- disaster not taken care of while covered by insurance any risk.
- Immobilized vehicle 3 months by insurance.
- No loan vehicle while the option has been paid for 3 years.
- No towing of the non -rolling vehicle while 0km assistance has been paid for 3 years.
- Vehicle largely damaged by the approved garage without any compensation.
- Modification of the loss fire in frontal shock while the vehicle has no trace of shock
- No compensation while vehicles at all risk and 25% of the penalty while the disaster has not been taken care of.
Basically pay you, pay even more, always more and in exchange any guarantees</v>
      </c>
    </row>
    <row r="940" ht="15.75" customHeight="1">
      <c r="A940" s="2">
        <v>1.0</v>
      </c>
      <c r="B940" s="2" t="s">
        <v>2589</v>
      </c>
      <c r="C940" s="2" t="s">
        <v>2590</v>
      </c>
      <c r="D940" s="2" t="s">
        <v>559</v>
      </c>
      <c r="E940" s="2" t="s">
        <v>317</v>
      </c>
      <c r="F940" s="2" t="s">
        <v>15</v>
      </c>
      <c r="G940" s="2" t="s">
        <v>1049</v>
      </c>
      <c r="H940" s="2" t="s">
        <v>1050</v>
      </c>
      <c r="I940" s="2" t="str">
        <f>IFERROR(__xludf.DUMMYFUNCTION("GOOGLETRANSLATE(C940,""fr"",""en"")"),"Work accident on February 5, 2015, Affilié Ag2r on April 1, 2014 following collective agreement. During my work stoppage, a heart attack in May 2016, put in ALD immediate. The cardiologist is no stop, being already as part of the AT. At consolidated on 12"&amp;"/31/2016 with IPP of 10%, put in disability 2 on 01/01/2017 for the heart. AG2R refuses management no work stopper for the heart. Certificate of the transmitted cardiologist, as well as medical invalidity file established by the security. No more news sin"&amp;"ce, unreachable by phone, no response to letters. With a salary of 3000 euros I only have 993 euros left, the charges remaining the same. Does their energy pass through cycling.
In the absence of news I will seize justice, asking for the advertising of t"&amp;"he debates. To ban !")</f>
        <v>Work accident on February 5, 2015, Affilié Ag2r on April 1, 2014 following collective agreement. During my work stoppage, a heart attack in May 2016, put in ALD immediate. The cardiologist is no stop, being already as part of the AT. At consolidated on 12/31/2016 with IPP of 10%, put in disability 2 on 01/01/2017 for the heart. AG2R refuses management no work stopper for the heart. Certificate of the transmitted cardiologist, as well as medical invalidity file established by the security. No more news since, unreachable by phone, no response to letters. With a salary of 3000 euros I only have 993 euros left, the charges remaining the same. Does their energy pass through cycling.
In the absence of news I will seize justice, asking for the advertising of the debates. To ban !</v>
      </c>
    </row>
    <row r="941" ht="15.75" customHeight="1">
      <c r="A941" s="2">
        <v>2.0</v>
      </c>
      <c r="B941" s="2" t="s">
        <v>2591</v>
      </c>
      <c r="C941" s="2" t="s">
        <v>2592</v>
      </c>
      <c r="D941" s="2" t="s">
        <v>80</v>
      </c>
      <c r="E941" s="2" t="s">
        <v>14</v>
      </c>
      <c r="F941" s="2" t="s">
        <v>15</v>
      </c>
      <c r="G941" s="2" t="s">
        <v>2593</v>
      </c>
      <c r="H941" s="2" t="s">
        <v>1029</v>
      </c>
      <c r="I941" s="2" t="str">
        <f>IFERROR(__xludf.DUMMYFUNCTION("GOOGLETRANSLATE(C941,""fr"",""en"")"),"On 04/09/2020, I decided to group 4 of my insurance contracts (2 cars and 2 homes) for a total amount of annual premiums of € 1348.
This subscription provided for the reimbursement of 3 months of premiums on the most expensive contract: € 630 or a sum of"&amp;" € 158 and this as part of a promotional offer resumed on the site: www.axa.fr/offre234. This site does not mention the deadline to be reimbursed.
However, the advisor clarified that this regulation would take place within 3 months, in December 2020!
My"&amp;" bank account has still not been credited on this date, in an email of response to my astonishment, this advisor now tells me that we must wait until the end of February 2021 !!!
Could IXA know cash problems? While containment periods prevent cars from c"&amp;"irculating normally?
Would the promotional operation 2.3,4 be a false advertisement?
In any case, I am very unhappy with the attitude of the AXA company whose behavior is not worthy of such a society.
In my professional life I always knew that it was i"&amp;"mportant to satisfy your client and especially to respect their commitments.
It only remains for me to orient myself towards another insurer as soon as possible.
")</f>
        <v>On 04/09/2020, I decided to group 4 of my insurance contracts (2 cars and 2 homes) for a total amount of annual premiums of € 1348.
This subscription provided for the reimbursement of 3 months of premiums on the most expensive contract: € 630 or a sum of € 158 and this as part of a promotional offer resumed on the site: www.axa.fr/offre234. This site does not mention the deadline to be reimbursed.
However, the advisor clarified that this regulation would take place within 3 months, in December 2020!
My bank account has still not been credited on this date, in an email of response to my astonishment, this advisor now tells me that we must wait until the end of February 2021 !!!
Could IXA know cash problems? While containment periods prevent cars from circulating normally?
Would the promotional operation 2.3,4 be a false advertisement?
In any case, I am very unhappy with the attitude of the AXA company whose behavior is not worthy of such a society.
In my professional life I always knew that it was important to satisfy your client and especially to respect their commitments.
It only remains for me to orient myself towards another insurer as soon as possible.
</v>
      </c>
    </row>
    <row r="942" ht="15.75" customHeight="1">
      <c r="A942" s="2">
        <v>4.0</v>
      </c>
      <c r="B942" s="2" t="s">
        <v>2594</v>
      </c>
      <c r="C942" s="2" t="s">
        <v>2595</v>
      </c>
      <c r="D942" s="2" t="s">
        <v>13</v>
      </c>
      <c r="E942" s="2" t="s">
        <v>14</v>
      </c>
      <c r="F942" s="2" t="s">
        <v>15</v>
      </c>
      <c r="G942" s="2" t="s">
        <v>2596</v>
      </c>
      <c r="H942" s="2" t="s">
        <v>52</v>
      </c>
      <c r="I942" s="2" t="str">
        <f>IFERROR(__xludf.DUMMYFUNCTION("GOOGLETRANSLATE(C942,""fr"",""en"")"),"Attractive price for the same level of guarantees, not yet tested the services but confident. Management in a few clicks from smartphone is a plus")</f>
        <v>Attractive price for the same level of guarantees, not yet tested the services but confident. Management in a few clicks from smartphone is a plus</v>
      </c>
    </row>
    <row r="943" ht="15.75" customHeight="1">
      <c r="A943" s="2">
        <v>2.0</v>
      </c>
      <c r="B943" s="2" t="s">
        <v>2597</v>
      </c>
      <c r="C943" s="2" t="s">
        <v>2598</v>
      </c>
      <c r="D943" s="2" t="s">
        <v>55</v>
      </c>
      <c r="E943" s="2" t="s">
        <v>56</v>
      </c>
      <c r="F943" s="2" t="s">
        <v>15</v>
      </c>
      <c r="G943" s="2" t="s">
        <v>2599</v>
      </c>
      <c r="H943" s="2" t="s">
        <v>118</v>
      </c>
      <c r="I943" s="2" t="str">
        <f>IFERROR(__xludf.DUMMYFUNCTION("GOOGLETRANSLATE(C943,""fr"",""en"")"),"Bonus 50 +3 years. Following traffic accident with third party responsible and body damage, I only have setbacks with them. Incompetent and fallacious expert, customer service who tells you what you want to hear but it remains static. The allowances (vehi"&amp;"cle, pilot equipment) do not talk about it ... There are also the 20 euro of contract modification or termination, it must be said where it is stipulated. https://www.april-moto.com/comment-resilir-votre-contrat-dassurance-moto-scooter-quad/")</f>
        <v>Bonus 50 +3 years. Following traffic accident with third party responsible and body damage, I only have setbacks with them. Incompetent and fallacious expert, customer service who tells you what you want to hear but it remains static. The allowances (vehicle, pilot equipment) do not talk about it ... There are also the 20 euro of contract modification or termination, it must be said where it is stipulated. https://www.april-moto.com/comment-resilir-votre-contrat-dassurance-moto-scooter-quad/</v>
      </c>
    </row>
    <row r="944" ht="15.75" customHeight="1">
      <c r="A944" s="2">
        <v>1.0</v>
      </c>
      <c r="B944" s="2" t="s">
        <v>2600</v>
      </c>
      <c r="C944" s="2" t="s">
        <v>2601</v>
      </c>
      <c r="D944" s="2" t="s">
        <v>365</v>
      </c>
      <c r="E944" s="2" t="s">
        <v>14</v>
      </c>
      <c r="F944" s="2" t="s">
        <v>15</v>
      </c>
      <c r="G944" s="2" t="s">
        <v>389</v>
      </c>
      <c r="H944" s="2" t="s">
        <v>150</v>
      </c>
      <c r="I944" s="2" t="str">
        <f>IFERROR(__xludf.DUMMYFUNCTION("GOOGLETRANSLATE(C944,""fr"",""en"")"),"After having been the victim of a registration usurpation, the MAIF asks me to reimburse the repair costs by applying a penalty when my old vehicle has not been accident because I am not the author of the facts, I will Having to resell my current vehicle "&amp;"to change your insurance to pay the right price, thank you again the MAIF for having given reason to the opposing party without waiting for the end of the police investigation, for the damages I have undergone.")</f>
        <v>After having been the victim of a registration usurpation, the MAIF asks me to reimburse the repair costs by applying a penalty when my old vehicle has not been accident because I am not the author of the facts, I will Having to resell my current vehicle to change your insurance to pay the right price, thank you again the MAIF for having given reason to the opposing party without waiting for the end of the police investigation, for the damages I have undergone.</v>
      </c>
    </row>
    <row r="945" ht="15.75" customHeight="1">
      <c r="A945" s="2">
        <v>4.0</v>
      </c>
      <c r="B945" s="2" t="s">
        <v>2602</v>
      </c>
      <c r="C945" s="2" t="s">
        <v>2603</v>
      </c>
      <c r="D945" s="2" t="s">
        <v>43</v>
      </c>
      <c r="E945" s="2" t="s">
        <v>14</v>
      </c>
      <c r="F945" s="2" t="s">
        <v>15</v>
      </c>
      <c r="G945" s="2" t="s">
        <v>1578</v>
      </c>
      <c r="H945" s="2" t="s">
        <v>68</v>
      </c>
      <c r="I945" s="2" t="str">
        <f>IFERROR(__xludf.DUMMYFUNCTION("GOOGLETRANSLATE(C945,""fr"",""en"")"),"Aurianne advisor at the top!
Unreadable documents on the application when signing, to review!
If not satisfied with the contract price, multi-auto option well given")</f>
        <v>Aurianne advisor at the top!
Unreadable documents on the application when signing, to review!
If not satisfied with the contract price, multi-auto option well given</v>
      </c>
    </row>
    <row r="946" ht="15.75" customHeight="1">
      <c r="A946" s="2">
        <v>3.0</v>
      </c>
      <c r="B946" s="2" t="s">
        <v>2604</v>
      </c>
      <c r="C946" s="2" t="s">
        <v>2605</v>
      </c>
      <c r="D946" s="2" t="s">
        <v>13</v>
      </c>
      <c r="E946" s="2" t="s">
        <v>14</v>
      </c>
      <c r="F946" s="2" t="s">
        <v>15</v>
      </c>
      <c r="G946" s="2" t="s">
        <v>793</v>
      </c>
      <c r="H946" s="2" t="s">
        <v>52</v>
      </c>
      <c r="I946" s="2" t="str">
        <f>IFERROR(__xludf.DUMMYFUNCTION("GOOGLETRANSLATE(C946,""fr"",""en"")"),"I have not yet been able to appreciate the responsiveness of your insurance, customer service has been good to register, I hope for just as responsive and kind the day I need you.
")</f>
        <v>I have not yet been able to appreciate the responsiveness of your insurance, customer service has been good to register, I hope for just as responsive and kind the day I need you.
</v>
      </c>
    </row>
    <row r="947" ht="15.75" customHeight="1">
      <c r="A947" s="2">
        <v>4.0</v>
      </c>
      <c r="B947" s="2" t="s">
        <v>2606</v>
      </c>
      <c r="C947" s="2" t="s">
        <v>2607</v>
      </c>
      <c r="D947" s="2" t="s">
        <v>43</v>
      </c>
      <c r="E947" s="2" t="s">
        <v>14</v>
      </c>
      <c r="F947" s="2" t="s">
        <v>15</v>
      </c>
      <c r="G947" s="2" t="s">
        <v>1278</v>
      </c>
      <c r="H947" s="2" t="s">
        <v>192</v>
      </c>
      <c r="I947" s="2" t="str">
        <f>IFERROR(__xludf.DUMMYFUNCTION("GOOGLETRANSLATE(C947,""fr"",""en"")"),"I am satisfied with the price practiced and the reactivity of your services at my request for a quote and therefore the conclusion of the contract which was done in stride.")</f>
        <v>I am satisfied with the price practiced and the reactivity of your services at my request for a quote and therefore the conclusion of the contract which was done in stride.</v>
      </c>
    </row>
    <row r="948" ht="15.75" customHeight="1">
      <c r="A948" s="2">
        <v>2.0</v>
      </c>
      <c r="B948" s="2" t="s">
        <v>2608</v>
      </c>
      <c r="C948" s="2" t="s">
        <v>2609</v>
      </c>
      <c r="D948" s="2" t="s">
        <v>106</v>
      </c>
      <c r="E948" s="2" t="s">
        <v>85</v>
      </c>
      <c r="F948" s="2" t="s">
        <v>15</v>
      </c>
      <c r="G948" s="2" t="s">
        <v>2610</v>
      </c>
      <c r="H948" s="2" t="s">
        <v>272</v>
      </c>
      <c r="I948" s="2" t="str">
        <f>IFERROR(__xludf.DUMMYFUNCTION("GOOGLETRANSLATE(C948,""fr"",""en"")"),"Owner insurance for 3 dwellings taken via agricultural credit.
Disastrous management of a disaster in early 2021 on one of the dwellings following a waterproofing problem of the roof of the condominium.
At our repeated requests for discussion on the dam"&amp;"age, we received a bouquet of flowers (delivered in the middle of summer in the disaster accommodation ... and unoccupied), then the absence of appointments or answers. In short, the rotting strategy. Our Crédit Agricole agency was scandalized.
Result: w"&amp;"e have stopped the contracts and switched to the MAIF - identical and better guarantees, the service to the insured will not be worse")</f>
        <v>Owner insurance for 3 dwellings taken via agricultural credit.
Disastrous management of a disaster in early 2021 on one of the dwellings following a waterproofing problem of the roof of the condominium.
At our repeated requests for discussion on the damage, we received a bouquet of flowers (delivered in the middle of summer in the disaster accommodation ... and unoccupied), then the absence of appointments or answers. In short, the rotting strategy. Our Crédit Agricole agency was scandalized.
Result: we have stopped the contracts and switched to the MAIF - identical and better guarantees, the service to the insured will not be worse</v>
      </c>
    </row>
    <row r="949" ht="15.75" customHeight="1">
      <c r="A949" s="2">
        <v>1.0</v>
      </c>
      <c r="B949" s="2" t="s">
        <v>2611</v>
      </c>
      <c r="C949" s="2" t="s">
        <v>2612</v>
      </c>
      <c r="D949" s="2" t="s">
        <v>195</v>
      </c>
      <c r="E949" s="2" t="s">
        <v>25</v>
      </c>
      <c r="F949" s="2" t="s">
        <v>15</v>
      </c>
      <c r="G949" s="2" t="s">
        <v>2020</v>
      </c>
      <c r="H949" s="2" t="s">
        <v>236</v>
      </c>
      <c r="I949" s="2" t="str">
        <f>IFERROR(__xludf.DUMMYFUNCTION("GOOGLETRANSLATE(C949,""fr"",""en"")"),"Hello, Following the death of my mother, I decided to reuse Euros funds, this one leads to remuneration at the final rate, the year of re -use and the year before in the case of death and re -use are on 2 years civil. Finally AFER paid 2019 but not 2018 ("&amp;"year of death) in contradiction with their general conditions dated January 2018. I sent a simple letter in April 2020, a recommended in August 2020, a second recommended in December 2020. No written response To date, just a phone call, in October, of a h"&amp;"urried person who told me to be in teleworking at home without the general conditions! Yet this person is of a specialized service ... in short, no confidence in this poorly managed organization.")</f>
        <v>Hello, Following the death of my mother, I decided to reuse Euros funds, this one leads to remuneration at the final rate, the year of re -use and the year before in the case of death and re -use are on 2 years civil. Finally AFER paid 2019 but not 2018 (year of death) in contradiction with their general conditions dated January 2018. I sent a simple letter in April 2020, a recommended in August 2020, a second recommended in December 2020. No written response To date, just a phone call, in October, of a hurried person who told me to be in teleworking at home without the general conditions! Yet this person is of a specialized service ... in short, no confidence in this poorly managed organization.</v>
      </c>
    </row>
    <row r="950" ht="15.75" customHeight="1">
      <c r="A950" s="2">
        <v>1.0</v>
      </c>
      <c r="B950" s="2" t="s">
        <v>2613</v>
      </c>
      <c r="C950" s="2" t="s">
        <v>2614</v>
      </c>
      <c r="D950" s="2" t="s">
        <v>1218</v>
      </c>
      <c r="E950" s="2" t="s">
        <v>317</v>
      </c>
      <c r="F950" s="2" t="s">
        <v>15</v>
      </c>
      <c r="G950" s="2" t="s">
        <v>2615</v>
      </c>
      <c r="H950" s="2" t="s">
        <v>131</v>
      </c>
      <c r="I950" s="2" t="str">
        <f>IFERROR(__xludf.DUMMYFUNCTION("GOOGLETRANSLATE(C950,""fr"",""en"")"),"Is it a serious organization?
To the liquidation of my mutualist retirement of the combatant (RMC) I opted on 05/14/2020 for the recovery of the capital. Unanswered I renewed my choice with RAR on 07/09/2020. These letters are without return to date. Is "&amp;"the Carac still confined or is it only temporary difficulties?")</f>
        <v>Is it a serious organization?
To the liquidation of my mutualist retirement of the combatant (RMC) I opted on 05/14/2020 for the recovery of the capital. Unanswered I renewed my choice with RAR on 07/09/2020. These letters are without return to date. Is the Carac still confined or is it only temporary difficulties?</v>
      </c>
    </row>
    <row r="951" ht="15.75" customHeight="1">
      <c r="A951" s="2">
        <v>5.0</v>
      </c>
      <c r="B951" s="2" t="s">
        <v>2616</v>
      </c>
      <c r="C951" s="2" t="s">
        <v>2617</v>
      </c>
      <c r="D951" s="2" t="s">
        <v>13</v>
      </c>
      <c r="E951" s="2" t="s">
        <v>14</v>
      </c>
      <c r="F951" s="2" t="s">
        <v>15</v>
      </c>
      <c r="G951" s="2" t="s">
        <v>1642</v>
      </c>
      <c r="H951" s="2" t="s">
        <v>146</v>
      </c>
      <c r="I951" s="2" t="str">
        <f>IFERROR(__xludf.DUMMYFUNCTION("GOOGLETRANSLATE(C951,""fr"",""en"")"),"Very well, very satisfied with the prices and services offered by your services, I recommend, fast and efficient, defying all competition., Nothing to complain about")</f>
        <v>Very well, very satisfied with the prices and services offered by your services, I recommend, fast and efficient, defying all competition., Nothing to complain about</v>
      </c>
    </row>
    <row r="952" ht="15.75" customHeight="1">
      <c r="A952" s="2">
        <v>4.0</v>
      </c>
      <c r="B952" s="2" t="s">
        <v>2618</v>
      </c>
      <c r="C952" s="2" t="s">
        <v>2619</v>
      </c>
      <c r="D952" s="2" t="s">
        <v>43</v>
      </c>
      <c r="E952" s="2" t="s">
        <v>14</v>
      </c>
      <c r="F952" s="2" t="s">
        <v>15</v>
      </c>
      <c r="G952" s="2" t="s">
        <v>425</v>
      </c>
      <c r="H952" s="2" t="s">
        <v>166</v>
      </c>
      <c r="I952" s="2" t="str">
        <f>IFERROR(__xludf.DUMMYFUNCTION("GOOGLETRANSLATE(C952,""fr"",""en"")"),"I am satisfied with the service, listening staff, reasonable price for a young driver.
The steps are fast and rather simple.
I highly recommend this insurance.")</f>
        <v>I am satisfied with the service, listening staff, reasonable price for a young driver.
The steps are fast and rather simple.
I highly recommend this insurance.</v>
      </c>
    </row>
    <row r="953" ht="15.75" customHeight="1">
      <c r="A953" s="2">
        <v>5.0</v>
      </c>
      <c r="B953" s="2" t="s">
        <v>2620</v>
      </c>
      <c r="C953" s="2" t="s">
        <v>2621</v>
      </c>
      <c r="D953" s="2" t="s">
        <v>352</v>
      </c>
      <c r="E953" s="2" t="s">
        <v>14</v>
      </c>
      <c r="F953" s="2" t="s">
        <v>15</v>
      </c>
      <c r="G953" s="2" t="s">
        <v>2622</v>
      </c>
      <c r="H953" s="2" t="s">
        <v>108</v>
      </c>
      <c r="I953" s="2" t="str">
        <f>IFERROR(__xludf.DUMMYFUNCTION("GOOGLETRANSLATE(C953,""fr"",""en"")"),"Hello,
Usually we give our opinion when it goes wrong.
But I came across so human advisers that I wanted to say it.
People close to us who accompany us and support us.
I am so reassured by their team.
Really I advise you everyone to compare all your "&amp;"contracts with what GMF offers
")</f>
        <v>Hello,
Usually we give our opinion when it goes wrong.
But I came across so human advisers that I wanted to say it.
People close to us who accompany us and support us.
I am so reassured by their team.
Really I advise you everyone to compare all your contracts with what GMF offers
</v>
      </c>
    </row>
    <row r="954" ht="15.75" customHeight="1">
      <c r="A954" s="2">
        <v>4.0</v>
      </c>
      <c r="B954" s="2" t="s">
        <v>2623</v>
      </c>
      <c r="C954" s="2" t="s">
        <v>2624</v>
      </c>
      <c r="D954" s="2" t="s">
        <v>352</v>
      </c>
      <c r="E954" s="2" t="s">
        <v>14</v>
      </c>
      <c r="F954" s="2" t="s">
        <v>15</v>
      </c>
      <c r="G954" s="2" t="s">
        <v>2031</v>
      </c>
      <c r="H954" s="2" t="s">
        <v>72</v>
      </c>
      <c r="I954" s="2" t="str">
        <f>IFERROR(__xludf.DUMMYFUNCTION("GOOGLETRANSLATE(C954,""fr"",""en"")"),"I am satisfied with the speed of file management and the ease of reaching customer service. Indeed, with regard to my documents and certificate frankly I am delighted because without moving, I can have them in the blink of an eye comparatively others, it'"&amp;"s great.")</f>
        <v>I am satisfied with the speed of file management and the ease of reaching customer service. Indeed, with regard to my documents and certificate frankly I am delighted because without moving, I can have them in the blink of an eye comparatively others, it's great.</v>
      </c>
    </row>
    <row r="955" ht="15.75" customHeight="1">
      <c r="A955" s="2">
        <v>1.0</v>
      </c>
      <c r="B955" s="2" t="s">
        <v>2625</v>
      </c>
      <c r="C955" s="2" t="s">
        <v>2626</v>
      </c>
      <c r="D955" s="2" t="s">
        <v>19</v>
      </c>
      <c r="E955" s="2" t="s">
        <v>317</v>
      </c>
      <c r="F955" s="2" t="s">
        <v>15</v>
      </c>
      <c r="G955" s="2" t="s">
        <v>859</v>
      </c>
      <c r="H955" s="2" t="s">
        <v>118</v>
      </c>
      <c r="I955" s="2" t="str">
        <f>IFERROR(__xludf.DUMMYFUNCTION("GOOGLETRANSLATE(C955,""fr"",""en"")"),"I have no excessive word in terms of mediocrity to judge the ""services"" of the Macif. For a disaster of disconcerting simplicity dating back more than a year ?? !! ..., they still have not compensated me, arguing constantly futile patterns so as not to "&amp;"have to pay. Worse still, they no longer even respond to my emails !!! ... When I was lucky to have an advisor on the phone (which is very rare), it is completely dilettante and contemptuous towards me. He tells everything and his opposite in the space of"&amp;" a few minutes. It's been cold in the back because for several decades that I have been insured at home, I have never seen this. It is a shame and I join almost all of the negative comments on the Macif.
The Macif no longer exists, it has given way to a "&amp;"kind of entrepreneurial magma which is absolutely nothing!
For the concern for efficiency, go your way !!
I will terminate all my contracts this week (7) and goodbye the Macif!
PS: the automated responses of the pseudo quality service, please also go y"&amp;"our way, you are useless !!!")</f>
        <v>I have no excessive word in terms of mediocrity to judge the "services" of the Macif. For a disaster of disconcerting simplicity dating back more than a year ?? !! ..., they still have not compensated me, arguing constantly futile patterns so as not to have to pay. Worse still, they no longer even respond to my emails !!! ... When I was lucky to have an advisor on the phone (which is very rare), it is completely dilettante and contemptuous towards me. He tells everything and his opposite in the space of a few minutes. It's been cold in the back because for several decades that I have been insured at home, I have never seen this. It is a shame and I join almost all of the negative comments on the Macif.
The Macif no longer exists, it has given way to a kind of entrepreneurial magma which is absolutely nothing!
For the concern for efficiency, go your way !!
I will terminate all my contracts this week (7) and goodbye the Macif!
PS: the automated responses of the pseudo quality service, please also go your way, you are useless !!!</v>
      </c>
    </row>
    <row r="956" ht="15.75" customHeight="1">
      <c r="A956" s="2">
        <v>4.0</v>
      </c>
      <c r="B956" s="2" t="s">
        <v>2627</v>
      </c>
      <c r="C956" s="2" t="s">
        <v>2628</v>
      </c>
      <c r="D956" s="2" t="s">
        <v>13</v>
      </c>
      <c r="E956" s="2" t="s">
        <v>14</v>
      </c>
      <c r="F956" s="2" t="s">
        <v>15</v>
      </c>
      <c r="G956" s="2" t="s">
        <v>1583</v>
      </c>
      <c r="H956" s="2" t="s">
        <v>52</v>
      </c>
      <c r="I956" s="2" t="str">
        <f>IFERROR(__xludf.DUMMYFUNCTION("GOOGLETRANSLATE(C956,""fr"",""en"")"),"I am satisfied with the service and the prices suit me.
I have not yet experienced disaster management.
I recommend direct insurance.")</f>
        <v>I am satisfied with the service and the prices suit me.
I have not yet experienced disaster management.
I recommend direct insurance.</v>
      </c>
    </row>
    <row r="957" ht="15.75" customHeight="1">
      <c r="A957" s="2">
        <v>1.0</v>
      </c>
      <c r="B957" s="2" t="s">
        <v>2629</v>
      </c>
      <c r="C957" s="2" t="s">
        <v>2630</v>
      </c>
      <c r="D957" s="2" t="s">
        <v>308</v>
      </c>
      <c r="E957" s="2" t="s">
        <v>14</v>
      </c>
      <c r="F957" s="2" t="s">
        <v>15</v>
      </c>
      <c r="G957" s="2" t="s">
        <v>2631</v>
      </c>
      <c r="H957" s="2" t="s">
        <v>752</v>
      </c>
      <c r="I957" s="2" t="str">
        <f>IFERROR(__xludf.DUMMYFUNCTION("GOOGLETRANSLATE(C957,""fr"",""en"")"),"I have never seen worse, it disgusts me to be insured. They hung up on me 2 times and I never manage to have them on the phone. I have paid for the contract since April, I just have the insurance card (it's not the right more license plate). Today they ha"&amp;"ve withdrawn the subsperts 3 times the price of the contract. Someone can explain the reason to me why it is all about this car insurance. It is from incompetent people who respond poorly on the phone or who never answer (it is the simplest for them). It "&amp;"is shame for Allianz, because we pay the price what they ask and we are badly welcomed")</f>
        <v>I have never seen worse, it disgusts me to be insured. They hung up on me 2 times and I never manage to have them on the phone. I have paid for the contract since April, I just have the insurance card (it's not the right more license plate). Today they have withdrawn the subsperts 3 times the price of the contract. Someone can explain the reason to me why it is all about this car insurance. It is from incompetent people who respond poorly on the phone or who never answer (it is the simplest for them). It is shame for Allianz, because we pay the price what they ask and we are badly welcomed</v>
      </c>
    </row>
    <row r="958" ht="15.75" customHeight="1">
      <c r="A958" s="2">
        <v>5.0</v>
      </c>
      <c r="B958" s="2" t="s">
        <v>2632</v>
      </c>
      <c r="C958" s="2" t="s">
        <v>2633</v>
      </c>
      <c r="D958" s="2" t="s">
        <v>80</v>
      </c>
      <c r="E958" s="2" t="s">
        <v>14</v>
      </c>
      <c r="F958" s="2" t="s">
        <v>15</v>
      </c>
      <c r="G958" s="2" t="s">
        <v>796</v>
      </c>
      <c r="H958" s="2" t="s">
        <v>272</v>
      </c>
      <c r="I958" s="2" t="str">
        <f>IFERROR(__xludf.DUMMYFUNCTION("GOOGLETRANSLATE(C958,""fr"",""en"")"),"Hello, very good insurance, as proof of all my vehicles (motorcycle scoot car insurance of all kinds I trust Axa. Thank you and all the staff from Axa Le Creusot are always at the, Listen Thank you all")</f>
        <v>Hello, very good insurance, as proof of all my vehicles (motorcycle scoot car insurance of all kinds I trust Axa. Thank you and all the staff from Axa Le Creusot are always at the, Listen Thank you all</v>
      </c>
    </row>
    <row r="959" ht="15.75" customHeight="1">
      <c r="A959" s="2">
        <v>3.0</v>
      </c>
      <c r="B959" s="2" t="s">
        <v>2634</v>
      </c>
      <c r="C959" s="2" t="s">
        <v>2635</v>
      </c>
      <c r="D959" s="2" t="s">
        <v>13</v>
      </c>
      <c r="E959" s="2" t="s">
        <v>14</v>
      </c>
      <c r="F959" s="2" t="s">
        <v>15</v>
      </c>
      <c r="G959" s="2" t="s">
        <v>538</v>
      </c>
      <c r="H959" s="2" t="s">
        <v>272</v>
      </c>
      <c r="I959" s="2" t="str">
        <f>IFERROR(__xludf.DUMMYFUNCTION("GOOGLETRANSLATE(C959,""fr"",""en"")"),"I am satisfied with the service and internet access and the responsiveness of the service. The portal is clear and accessible.
Simple and efficient service for registration")</f>
        <v>I am satisfied with the service and internet access and the responsiveness of the service. The portal is clear and accessible.
Simple and efficient service for registration</v>
      </c>
    </row>
    <row r="960" ht="15.75" customHeight="1">
      <c r="A960" s="2">
        <v>5.0</v>
      </c>
      <c r="B960" s="2" t="s">
        <v>2636</v>
      </c>
      <c r="C960" s="2" t="s">
        <v>2637</v>
      </c>
      <c r="D960" s="2" t="s">
        <v>43</v>
      </c>
      <c r="E960" s="2" t="s">
        <v>14</v>
      </c>
      <c r="F960" s="2" t="s">
        <v>15</v>
      </c>
      <c r="G960" s="2" t="s">
        <v>1416</v>
      </c>
      <c r="H960" s="2" t="s">
        <v>99</v>
      </c>
      <c r="I960" s="2" t="str">
        <f>IFERROR(__xludf.DUMMYFUNCTION("GOOGLETRANSLATE(C960,""fr"",""en"")"),"I am satisfied with my new contract.
very satisfactory price level and hoping that the insurance olive tree will be present over time.")</f>
        <v>I am satisfied with my new contract.
very satisfactory price level and hoping that the insurance olive tree will be present over time.</v>
      </c>
    </row>
    <row r="961" ht="15.75" customHeight="1">
      <c r="A961" s="2">
        <v>3.0</v>
      </c>
      <c r="B961" s="2" t="s">
        <v>2638</v>
      </c>
      <c r="C961" s="2" t="s">
        <v>2639</v>
      </c>
      <c r="D961" s="2" t="s">
        <v>43</v>
      </c>
      <c r="E961" s="2" t="s">
        <v>14</v>
      </c>
      <c r="F961" s="2" t="s">
        <v>15</v>
      </c>
      <c r="G961" s="2" t="s">
        <v>1055</v>
      </c>
      <c r="H961" s="2" t="s">
        <v>166</v>
      </c>
      <c r="I961" s="2" t="str">
        <f>IFERROR(__xludf.DUMMYFUNCTION("GOOGLETRANSLATE(C961,""fr"",""en"")"),"The subscription procedure is fast and clear. I quickly could find what I was looking for.
I am satisfied with the speed of subscription to an insurance contract.")</f>
        <v>The subscription procedure is fast and clear. I quickly could find what I was looking for.
I am satisfied with the speed of subscription to an insurance contract.</v>
      </c>
    </row>
    <row r="962" ht="15.75" customHeight="1">
      <c r="A962" s="2">
        <v>5.0</v>
      </c>
      <c r="B962" s="2" t="s">
        <v>2640</v>
      </c>
      <c r="C962" s="2" t="s">
        <v>2641</v>
      </c>
      <c r="D962" s="2" t="s">
        <v>43</v>
      </c>
      <c r="E962" s="2" t="s">
        <v>14</v>
      </c>
      <c r="F962" s="2" t="s">
        <v>15</v>
      </c>
      <c r="G962" s="2" t="s">
        <v>563</v>
      </c>
      <c r="H962" s="2" t="s">
        <v>68</v>
      </c>
      <c r="I962" s="2" t="str">
        <f>IFERROR(__xludf.DUMMYFUNCTION("GOOGLETRANSLATE(C962,""fr"",""en"")"),"Very satisfied with the operations via the Internet and telephone phone call.
Very attractive price and the possibility of groups several family members is very interesting")</f>
        <v>Very satisfied with the operations via the Internet and telephone phone call.
Very attractive price and the possibility of groups several family members is very interesting</v>
      </c>
    </row>
    <row r="963" ht="15.75" customHeight="1">
      <c r="A963" s="2">
        <v>4.0</v>
      </c>
      <c r="B963" s="2" t="s">
        <v>2642</v>
      </c>
      <c r="C963" s="2" t="s">
        <v>2643</v>
      </c>
      <c r="D963" s="2" t="s">
        <v>13</v>
      </c>
      <c r="E963" s="2" t="s">
        <v>14</v>
      </c>
      <c r="F963" s="2" t="s">
        <v>15</v>
      </c>
      <c r="G963" s="2" t="s">
        <v>242</v>
      </c>
      <c r="H963" s="2" t="s">
        <v>99</v>
      </c>
      <c r="I963" s="2" t="str">
        <f>IFERROR(__xludf.DUMMYFUNCTION("GOOGLETRANSLATE(C963,""fr"",""en"")"),"Hello,
I just registered, I would make you want, in a few months if the service suits me I would be delighted to put you 5 stars.")</f>
        <v>Hello,
I just registered, I would make you want, in a few months if the service suits me I would be delighted to put you 5 stars.</v>
      </c>
    </row>
    <row r="964" ht="15.75" customHeight="1">
      <c r="A964" s="2">
        <v>4.0</v>
      </c>
      <c r="B964" s="2" t="s">
        <v>2644</v>
      </c>
      <c r="C964" s="2" t="s">
        <v>2645</v>
      </c>
      <c r="D964" s="2" t="s">
        <v>338</v>
      </c>
      <c r="E964" s="2" t="s">
        <v>144</v>
      </c>
      <c r="F964" s="2" t="s">
        <v>15</v>
      </c>
      <c r="G964" s="2" t="s">
        <v>2646</v>
      </c>
      <c r="H964" s="2" t="s">
        <v>185</v>
      </c>
      <c r="I964" s="2" t="str">
        <f>IFERROR(__xludf.DUMMYFUNCTION("GOOGLETRANSLATE(C964,""fr"",""en"")"),"I’ve been a client for some time now. We have 4 dogs and 3 cats so let's say that we have mastered the subject of diseases/rbt ...
For my experience, I find that this insurer is not the worst. The formulas are correct - in any case the basic 3. After i"&amp;"t is true that the prices for full management are very expensive. After all depends on how we think of the insurance: for me it is a way to avoid default in the event of large veto costs. It is true that for small everyday boho, sometimes it is better to "&amp;"have the basic formula which reimburses only 60% but has no deductible only a formula reimbursing at 70 or 80 with frankness. Because if your pet is not often sick, there is indeed the risk of paying many months without use.
Regarding reimbursements I "&amp;"have never had a problem. The 48 -hour option is validated from the second animal ... The latest big costs: 8 -month -old kitten that caught a Coryza in pension. Between 2 emergency consultation in the middle of the night and a Sunday for respiratory dist"&amp;"ress, 4J of hospitalizations under respirator, multiple radios and a treatment of more than a month we had for more than 700 €. Our cat is ensured for a basic form, 60% reimbursement and without deductible. Health Vet has reimbursed in 48 hours almost € 4"&amp;"50. We had to justify that our cat was well up to date of vaccine, and that's it. Just call customer service.
Regarding customer service, it all depends on the person who responds. Not having a dedicated advisor is problematic, especially when you come"&amp;" across someone I don't care. But it remains rare. Overall there is not too much waiting.
For some negative comments, I would like to provide details:
- The best before subscribing is to read the general conditions. It helps to avoid disillusions
- n"&amp;"ot being able to break your contract before the anniversary is normal, it is the insurance code
- The increase in the premium is annual, and is also calculated that your animal is for insurance. For our often sick kitten, we pay more than for his boyfrie"&amp;"nd who is ever sick.
")</f>
        <v>I’ve been a client for some time now. We have 4 dogs and 3 cats so let's say that we have mastered the subject of diseases/rbt ...
For my experience, I find that this insurer is not the worst. The formulas are correct - in any case the basic 3. After it is true that the prices for full management are very expensive. After all depends on how we think of the insurance: for me it is a way to avoid default in the event of large veto costs. It is true that for small everyday boho, sometimes it is better to have the basic formula which reimburses only 60% but has no deductible only a formula reimbursing at 70 or 80 with frankness. Because if your pet is not often sick, there is indeed the risk of paying many months without use.
Regarding reimbursements I have never had a problem. The 48 -hour option is validated from the second animal ... The latest big costs: 8 -month -old kitten that caught a Coryza in pension. Between 2 emergency consultation in the middle of the night and a Sunday for respiratory distress, 4J of hospitalizations under respirator, multiple radios and a treatment of more than a month we had for more than 700 €. Our cat is ensured for a basic form, 60% reimbursement and without deductible. Health Vet has reimbursed in 48 hours almost € 450. We had to justify that our cat was well up to date of vaccine, and that's it. Just call customer service.
Regarding customer service, it all depends on the person who responds. Not having a dedicated advisor is problematic, especially when you come across someone I don't care. But it remains rare. Overall there is not too much waiting.
For some negative comments, I would like to provide details:
- The best before subscribing is to read the general conditions. It helps to avoid disillusions
- not being able to break your contract before the anniversary is normal, it is the insurance code
- The increase in the premium is annual, and is also calculated that your animal is for insurance. For our often sick kitten, we pay more than for his boyfriend who is ever sick.
</v>
      </c>
    </row>
    <row r="965" ht="15.75" customHeight="1">
      <c r="A965" s="2">
        <v>1.0</v>
      </c>
      <c r="B965" s="2" t="s">
        <v>2647</v>
      </c>
      <c r="C965" s="2" t="s">
        <v>2648</v>
      </c>
      <c r="D965" s="2" t="s">
        <v>13</v>
      </c>
      <c r="E965" s="2" t="s">
        <v>14</v>
      </c>
      <c r="F965" s="2" t="s">
        <v>15</v>
      </c>
      <c r="G965" s="2" t="s">
        <v>870</v>
      </c>
      <c r="H965" s="2" t="s">
        <v>192</v>
      </c>
      <c r="I965" s="2" t="str">
        <f>IFERROR(__xludf.DUMMYFUNCTION("GOOGLETRANSLATE(C965,""fr"",""en"")"),"Excessive price given the options
I intend to terminate my contract as soon as it will end and go to another insurance")</f>
        <v>Excessive price given the options
I intend to terminate my contract as soon as it will end and go to another insurance</v>
      </c>
    </row>
    <row r="966" ht="15.75" customHeight="1">
      <c r="A966" s="2">
        <v>3.0</v>
      </c>
      <c r="B966" s="2" t="s">
        <v>2649</v>
      </c>
      <c r="C966" s="2" t="s">
        <v>2650</v>
      </c>
      <c r="D966" s="2" t="s">
        <v>13</v>
      </c>
      <c r="E966" s="2" t="s">
        <v>14</v>
      </c>
      <c r="F966" s="2" t="s">
        <v>15</v>
      </c>
      <c r="G966" s="2" t="s">
        <v>166</v>
      </c>
      <c r="H966" s="2" t="s">
        <v>166</v>
      </c>
      <c r="I966" s="2" t="str">
        <f>IFERROR(__xludf.DUMMYFUNCTION("GOOGLETRANSLATE(C966,""fr"",""en"")"),"I am satisfied with the service
The price suits me
Simple and quick except on the phone
Apartment number problem not put on the Dhabitation lattesation")</f>
        <v>I am satisfied with the service
The price suits me
Simple and quick except on the phone
Apartment number problem not put on the Dhabitation lattesation</v>
      </c>
    </row>
    <row r="967" ht="15.75" customHeight="1">
      <c r="A967" s="2">
        <v>4.0</v>
      </c>
      <c r="B967" s="2" t="s">
        <v>2651</v>
      </c>
      <c r="C967" s="2" t="s">
        <v>2652</v>
      </c>
      <c r="D967" s="2" t="s">
        <v>43</v>
      </c>
      <c r="E967" s="2" t="s">
        <v>14</v>
      </c>
      <c r="F967" s="2" t="s">
        <v>15</v>
      </c>
      <c r="G967" s="2" t="s">
        <v>2653</v>
      </c>
      <c r="H967" s="2" t="s">
        <v>217</v>
      </c>
      <c r="I967" s="2" t="str">
        <f>IFERROR(__xludf.DUMMYFUNCTION("GOOGLETRANSLATE(C967,""fr"",""en"")"),"Very good approach by phone, super attentive are of enormous quality of professionalism I highly recommend, quality price and good understanding")</f>
        <v>Very good approach by phone, super attentive are of enormous quality of professionalism I highly recommend, quality price and good understanding</v>
      </c>
    </row>
    <row r="968" ht="15.75" customHeight="1">
      <c r="A968" s="2">
        <v>3.0</v>
      </c>
      <c r="B968" s="2" t="s">
        <v>2654</v>
      </c>
      <c r="C968" s="2" t="s">
        <v>2655</v>
      </c>
      <c r="D968" s="2" t="s">
        <v>13</v>
      </c>
      <c r="E968" s="2" t="s">
        <v>14</v>
      </c>
      <c r="F968" s="2" t="s">
        <v>15</v>
      </c>
      <c r="G968" s="2" t="s">
        <v>785</v>
      </c>
      <c r="H968" s="2" t="s">
        <v>192</v>
      </c>
      <c r="I968" s="2" t="str">
        <f>IFERROR(__xludf.DUMMYFUNCTION("GOOGLETRANSLATE(C968,""fr"",""en"")"),"A drop in quality from year to year, certainly linked to the fact that telephone platforms are now abroad, and therefore the distance create the lack of proximity to the customer. Whenever I wanted to obtain an information statement, whether on my persona"&amp;"l space or I am transmitted to me an unrelated number, or via the known phone numbers, I have always had to go by post. A shame in 2021 !! I change the company at the end of the year.")</f>
        <v>A drop in quality from year to year, certainly linked to the fact that telephone platforms are now abroad, and therefore the distance create the lack of proximity to the customer. Whenever I wanted to obtain an information statement, whether on my personal space or I am transmitted to me an unrelated number, or via the known phone numbers, I have always had to go by post. A shame in 2021 !! I change the company at the end of the year.</v>
      </c>
    </row>
    <row r="969" ht="15.75" customHeight="1">
      <c r="A969" s="2">
        <v>5.0</v>
      </c>
      <c r="B969" s="2" t="s">
        <v>2656</v>
      </c>
      <c r="C969" s="2" t="s">
        <v>2657</v>
      </c>
      <c r="D969" s="2" t="s">
        <v>43</v>
      </c>
      <c r="E969" s="2" t="s">
        <v>14</v>
      </c>
      <c r="F969" s="2" t="s">
        <v>15</v>
      </c>
      <c r="G969" s="2" t="s">
        <v>2658</v>
      </c>
      <c r="H969" s="2" t="s">
        <v>293</v>
      </c>
      <c r="I969" s="2" t="str">
        <f>IFERROR(__xludf.DUMMYFUNCTION("GOOGLETRANSLATE(C969,""fr"",""en"")"),"This insurance was advised to me. The person I had on the phone was very kind and gave me the necessary information. I recommend !!")</f>
        <v>This insurance was advised to me. The person I had on the phone was very kind and gave me the necessary information. I recommend !!</v>
      </c>
    </row>
    <row r="970" ht="15.75" customHeight="1">
      <c r="A970" s="2">
        <v>1.0</v>
      </c>
      <c r="B970" s="2" t="s">
        <v>452</v>
      </c>
      <c r="C970" s="2" t="s">
        <v>2659</v>
      </c>
      <c r="D970" s="2" t="s">
        <v>224</v>
      </c>
      <c r="E970" s="2" t="s">
        <v>35</v>
      </c>
      <c r="F970" s="2" t="s">
        <v>15</v>
      </c>
      <c r="G970" s="2" t="s">
        <v>2660</v>
      </c>
      <c r="H970" s="2" t="s">
        <v>103</v>
      </c>
      <c r="I970" s="2" t="str">
        <f>IFERROR(__xludf.DUMMYFUNCTION("GOOGLETRANSLATE(C970,""fr"",""en"")"),"Impossible to cancel the insurance of I do not know what else because I do not find any documents and certainly subscribes by phone more than doubtful on a aged person. Despite an termination email sent as indicated by an advisor when receiving the contri"&amp;"bution call that is suddenly more valid.")</f>
        <v>Impossible to cancel the insurance of I do not know what else because I do not find any documents and certainly subscribes by phone more than doubtful on a aged person. Despite an termination email sent as indicated by an advisor when receiving the contribution call that is suddenly more valid.</v>
      </c>
    </row>
    <row r="971" ht="15.75" customHeight="1">
      <c r="A971" s="2">
        <v>5.0</v>
      </c>
      <c r="B971" s="2" t="s">
        <v>2661</v>
      </c>
      <c r="C971" s="2" t="s">
        <v>2662</v>
      </c>
      <c r="D971" s="2" t="s">
        <v>43</v>
      </c>
      <c r="E971" s="2" t="s">
        <v>14</v>
      </c>
      <c r="F971" s="2" t="s">
        <v>15</v>
      </c>
      <c r="G971" s="2" t="s">
        <v>1108</v>
      </c>
      <c r="H971" s="2" t="s">
        <v>192</v>
      </c>
      <c r="I971" s="2" t="str">
        <f>IFERROR(__xludf.DUMMYFUNCTION("GOOGLETRANSLATE(C971,""fr"",""en"")"),"I am delighted with your services, the professionalism of your advisers and the ease with which it is possible to change insurance. Thank you")</f>
        <v>I am delighted with your services, the professionalism of your advisers and the ease with which it is possible to change insurance. Thank you</v>
      </c>
    </row>
    <row r="972" ht="15.75" customHeight="1">
      <c r="A972" s="2">
        <v>1.0</v>
      </c>
      <c r="B972" s="2" t="s">
        <v>2663</v>
      </c>
      <c r="C972" s="2" t="s">
        <v>2664</v>
      </c>
      <c r="D972" s="2" t="s">
        <v>106</v>
      </c>
      <c r="E972" s="2" t="s">
        <v>14</v>
      </c>
      <c r="F972" s="2" t="s">
        <v>15</v>
      </c>
      <c r="G972" s="2" t="s">
        <v>609</v>
      </c>
      <c r="H972" s="2" t="s">
        <v>217</v>
      </c>
      <c r="I972" s="2" t="str">
        <f>IFERROR(__xludf.DUMMYFUNCTION("GOOGLETRANSLATE(C972,""fr"",""en"")"),"It's been since the end of August 2021 that my car was stolen, to date so on November 04, 2021 I am still not was reimbursed and the advisor who this charge of my file tells me either to wait or do not answer. I find myself without a car to circulate and "&amp;"without reimbursement to buy me a car !!! Pacifica to flee, take classic insurance with a physical advisor because to avoid me by phone and by email it's going for two seconds ...")</f>
        <v>It's been since the end of August 2021 that my car was stolen, to date so on November 04, 2021 I am still not was reimbursed and the advisor who this charge of my file tells me either to wait or do not answer. I find myself without a car to circulate and without reimbursement to buy me a car !!! Pacifica to flee, take classic insurance with a physical advisor because to avoid me by phone and by email it's going for two seconds ...</v>
      </c>
    </row>
    <row r="973" ht="15.75" customHeight="1">
      <c r="A973" s="2">
        <v>2.0</v>
      </c>
      <c r="B973" s="2" t="s">
        <v>2665</v>
      </c>
      <c r="C973" s="2" t="s">
        <v>2666</v>
      </c>
      <c r="D973" s="2" t="s">
        <v>43</v>
      </c>
      <c r="E973" s="2" t="s">
        <v>14</v>
      </c>
      <c r="F973" s="2" t="s">
        <v>15</v>
      </c>
      <c r="G973" s="2" t="s">
        <v>2667</v>
      </c>
      <c r="H973" s="2" t="s">
        <v>371</v>
      </c>
      <c r="I973" s="2" t="str">
        <f>IFERROR(__xludf.DUMMYFUNCTION("GOOGLETRANSLATE(C973,""fr"",""en"")"),"To avoid absolutely")</f>
        <v>To avoid absolutely</v>
      </c>
    </row>
    <row r="974" ht="15.75" customHeight="1">
      <c r="A974" s="2">
        <v>4.0</v>
      </c>
      <c r="B974" s="2" t="s">
        <v>2668</v>
      </c>
      <c r="C974" s="2" t="s">
        <v>2669</v>
      </c>
      <c r="D974" s="2" t="s">
        <v>224</v>
      </c>
      <c r="E974" s="2" t="s">
        <v>35</v>
      </c>
      <c r="F974" s="2" t="s">
        <v>15</v>
      </c>
      <c r="G974" s="2" t="s">
        <v>646</v>
      </c>
      <c r="H974" s="2" t="s">
        <v>52</v>
      </c>
      <c r="I974" s="2" t="str">
        <f>IFERROR(__xludf.DUMMYFUNCTION("GOOGLETRANSLATE(C974,""fr"",""en"")"),"Very good telephone contact, clear and precise response to my request for information on the amounts for the care of hospitalization. A little disappointed on the care for a single room in case of hospitalization.")</f>
        <v>Very good telephone contact, clear and precise response to my request for information on the amounts for the care of hospitalization. A little disappointed on the care for a single room in case of hospitalization.</v>
      </c>
    </row>
    <row r="975" ht="15.75" customHeight="1">
      <c r="A975" s="2">
        <v>1.0</v>
      </c>
      <c r="B975" s="2" t="s">
        <v>2670</v>
      </c>
      <c r="C975" s="2" t="s">
        <v>2671</v>
      </c>
      <c r="D975" s="2" t="s">
        <v>179</v>
      </c>
      <c r="E975" s="2" t="s">
        <v>14</v>
      </c>
      <c r="F975" s="2" t="s">
        <v>15</v>
      </c>
      <c r="G975" s="2" t="s">
        <v>465</v>
      </c>
      <c r="H975" s="2" t="s">
        <v>158</v>
      </c>
      <c r="I975" s="2" t="str">
        <f>IFERROR(__xludf.DUMMYFUNCTION("GOOGLETRANSLATE(C975,""fr"",""en"")"),"Future customer at Eurofil I canceled my contract after a telephone harassment (7 calls just this Tuesday, November 10) while my contract started on November 1, so no emergency character.
Result, one client less for 1 car and 2 next.")</f>
        <v>Future customer at Eurofil I canceled my contract after a telephone harassment (7 calls just this Tuesday, November 10) while my contract started on November 1, so no emergency character.
Result, one client less for 1 car and 2 next.</v>
      </c>
    </row>
    <row r="976" ht="15.75" customHeight="1">
      <c r="A976" s="2">
        <v>4.0</v>
      </c>
      <c r="B976" s="2" t="s">
        <v>2672</v>
      </c>
      <c r="C976" s="2" t="s">
        <v>2673</v>
      </c>
      <c r="D976" s="2" t="s">
        <v>224</v>
      </c>
      <c r="E976" s="2" t="s">
        <v>35</v>
      </c>
      <c r="F976" s="2" t="s">
        <v>15</v>
      </c>
      <c r="G976" s="2" t="s">
        <v>2674</v>
      </c>
      <c r="H976" s="2" t="s">
        <v>335</v>
      </c>
      <c r="I976" s="2" t="str">
        <f>IFERROR(__xludf.DUMMYFUNCTION("GOOGLETRANSLATE(C976,""fr"",""en"")"),"Erika advisor very available and listening to my request, well in his position, he should have more people of this level to reassure customers")</f>
        <v>Erika advisor very available and listening to my request, well in his position, he should have more people of this level to reassure customers</v>
      </c>
    </row>
    <row r="977" ht="15.75" customHeight="1">
      <c r="A977" s="2">
        <v>1.0</v>
      </c>
      <c r="B977" s="2" t="s">
        <v>2675</v>
      </c>
      <c r="C977" s="2" t="s">
        <v>2676</v>
      </c>
      <c r="D977" s="2" t="s">
        <v>13</v>
      </c>
      <c r="E977" s="2" t="s">
        <v>14</v>
      </c>
      <c r="F977" s="2" t="s">
        <v>15</v>
      </c>
      <c r="G977" s="2" t="s">
        <v>480</v>
      </c>
      <c r="H977" s="2" t="s">
        <v>52</v>
      </c>
      <c r="I977" s="2" t="str">
        <f>IFERROR(__xludf.DUMMYFUNCTION("GOOGLETRANSLATE(C977,""fr"",""en"")"),"Price increase while the health crisis prevents us from driving.
Not even a gesture you prefer to increase the price.
             ")</f>
        <v>Price increase while the health crisis prevents us from driving.
Not even a gesture you prefer to increase the price.
             </v>
      </c>
    </row>
    <row r="978" ht="15.75" customHeight="1">
      <c r="A978" s="2">
        <v>3.0</v>
      </c>
      <c r="B978" s="2" t="s">
        <v>2677</v>
      </c>
      <c r="C978" s="2" t="s">
        <v>2678</v>
      </c>
      <c r="D978" s="2" t="s">
        <v>352</v>
      </c>
      <c r="E978" s="2" t="s">
        <v>14</v>
      </c>
      <c r="F978" s="2" t="s">
        <v>15</v>
      </c>
      <c r="G978" s="2" t="s">
        <v>586</v>
      </c>
      <c r="H978" s="2" t="s">
        <v>72</v>
      </c>
      <c r="I978" s="2" t="str">
        <f>IFERROR(__xludf.DUMMYFUNCTION("GOOGLETRANSLATE(C978,""fr"",""en"")"),"Good price for the home but not for the automobile.
Good level of guarantees
Extremely difficult sinister service (impossible) to join and agency advisers cannot take over in place of the telephone service: it is a shame, having a local agency loses its"&amp;" interest.")</f>
        <v>Good price for the home but not for the automobile.
Good level of guarantees
Extremely difficult sinister service (impossible) to join and agency advisers cannot take over in place of the telephone service: it is a shame, having a local agency loses its interest.</v>
      </c>
    </row>
    <row r="979" ht="15.75" customHeight="1">
      <c r="A979" s="2">
        <v>4.0</v>
      </c>
      <c r="B979" s="2" t="s">
        <v>2679</v>
      </c>
      <c r="C979" s="2" t="s">
        <v>2680</v>
      </c>
      <c r="D979" s="2" t="s">
        <v>13</v>
      </c>
      <c r="E979" s="2" t="s">
        <v>14</v>
      </c>
      <c r="F979" s="2" t="s">
        <v>15</v>
      </c>
      <c r="G979" s="2" t="s">
        <v>878</v>
      </c>
      <c r="H979" s="2" t="s">
        <v>52</v>
      </c>
      <c r="I979" s="2" t="str">
        <f>IFERROR(__xludf.DUMMYFUNCTION("GOOGLETRANSLATE(C979,""fr"",""en"")"),"Hello,
I cannot put 5 stars because your site have many bugs and when I try to send you a support email the answer is not tamed
Yours
Yoann")</f>
        <v>Hello,
I cannot put 5 stars because your site have many bugs and when I try to send you a support email the answer is not tamed
Yours
Yoann</v>
      </c>
    </row>
    <row r="980" ht="15.75" customHeight="1">
      <c r="A980" s="2">
        <v>4.0</v>
      </c>
      <c r="B980" s="2" t="s">
        <v>2681</v>
      </c>
      <c r="C980" s="2" t="s">
        <v>2682</v>
      </c>
      <c r="D980" s="2" t="s">
        <v>55</v>
      </c>
      <c r="E980" s="2" t="s">
        <v>56</v>
      </c>
      <c r="F980" s="2" t="s">
        <v>15</v>
      </c>
      <c r="G980" s="2" t="s">
        <v>767</v>
      </c>
      <c r="H980" s="2" t="s">
        <v>272</v>
      </c>
      <c r="I980" s="2" t="str">
        <f>IFERROR(__xludf.DUMMYFUNCTION("GOOGLETRANSLATE(C980,""fr"",""en"")"),"Guaranteed customer satisfaction, thank you. April Moto online is very practical to use. Very well, I strongly recommend this insurance agency.")</f>
        <v>Guaranteed customer satisfaction, thank you. April Moto online is very practical to use. Very well, I strongly recommend this insurance agency.</v>
      </c>
    </row>
    <row r="981" ht="15.75" customHeight="1">
      <c r="A981" s="2">
        <v>1.0</v>
      </c>
      <c r="B981" s="2" t="s">
        <v>2683</v>
      </c>
      <c r="C981" s="2" t="s">
        <v>2684</v>
      </c>
      <c r="D981" s="2" t="s">
        <v>930</v>
      </c>
      <c r="E981" s="2" t="s">
        <v>56</v>
      </c>
      <c r="F981" s="2" t="s">
        <v>15</v>
      </c>
      <c r="G981" s="2" t="s">
        <v>2685</v>
      </c>
      <c r="H981" s="2" t="s">
        <v>268</v>
      </c>
      <c r="I981" s="2" t="str">
        <f>IFERROR(__xludf.DUMMYFUNCTION("GOOGLETRANSLATE(C981,""fr"",""en"")"),"I did not be reimbursed in a non -responsible accident. I pay more than 500 euros per year and I am asked to bring my motorcycle more than 25 km from my home for a turn signal and a license plate")</f>
        <v>I did not be reimbursed in a non -responsible accident. I pay more than 500 euros per year and I am asked to bring my motorcycle more than 25 km from my home for a turn signal and a license plate</v>
      </c>
    </row>
    <row r="982" ht="15.75" customHeight="1">
      <c r="A982" s="2">
        <v>5.0</v>
      </c>
      <c r="B982" s="2" t="s">
        <v>2686</v>
      </c>
      <c r="C982" s="2" t="s">
        <v>2687</v>
      </c>
      <c r="D982" s="2" t="s">
        <v>97</v>
      </c>
      <c r="E982" s="2" t="s">
        <v>56</v>
      </c>
      <c r="F982" s="2" t="s">
        <v>15</v>
      </c>
      <c r="G982" s="2" t="s">
        <v>2688</v>
      </c>
      <c r="H982" s="2" t="s">
        <v>272</v>
      </c>
      <c r="I982" s="2" t="str">
        <f>IFERROR(__xludf.DUMMYFUNCTION("GOOGLETRANSLATE(C982,""fr"",""en"")"),"Better than in terms of, simple and quick! Cheap, see the cheapest insurance on the market thank you again to the whole team.
Cordially . Gisèle Mouton of 61.")</f>
        <v>Better than in terms of, simple and quick! Cheap, see the cheapest insurance on the market thank you again to the whole team.
Cordially . Gisèle Mouton of 61.</v>
      </c>
    </row>
    <row r="983" ht="15.75" customHeight="1">
      <c r="A983" s="2">
        <v>1.0</v>
      </c>
      <c r="B983" s="2" t="s">
        <v>2689</v>
      </c>
      <c r="C983" s="2" t="s">
        <v>2690</v>
      </c>
      <c r="D983" s="2" t="s">
        <v>121</v>
      </c>
      <c r="E983" s="2" t="s">
        <v>85</v>
      </c>
      <c r="F983" s="2" t="s">
        <v>15</v>
      </c>
      <c r="G983" s="2" t="s">
        <v>176</v>
      </c>
      <c r="H983" s="2" t="s">
        <v>99</v>
      </c>
      <c r="I983" s="2" t="str">
        <f>IFERROR(__xludf.DUMMYFUNCTION("GOOGLETRANSLATE(C983,""fr"",""en"")"),"Problem of the loss of then the month of November and still not compensated when I have already settled all the invoices from work I had a big concern with the expert who very unpleasant and bad chicken no response from the insurance despite my plants wit"&amp;"h regard to his behavior so I strongly advise against it.")</f>
        <v>Problem of the loss of then the month of November and still not compensated when I have already settled all the invoices from work I had a big concern with the expert who very unpleasant and bad chicken no response from the insurance despite my plants with regard to his behavior so I strongly advise against it.</v>
      </c>
    </row>
    <row r="984" ht="15.75" customHeight="1">
      <c r="A984" s="2">
        <v>1.0</v>
      </c>
      <c r="B984" s="2" t="s">
        <v>2691</v>
      </c>
      <c r="C984" s="2" t="s">
        <v>2692</v>
      </c>
      <c r="D984" s="2" t="s">
        <v>13</v>
      </c>
      <c r="E984" s="2" t="s">
        <v>14</v>
      </c>
      <c r="F984" s="2" t="s">
        <v>15</v>
      </c>
      <c r="G984" s="2" t="s">
        <v>1690</v>
      </c>
      <c r="H984" s="2" t="s">
        <v>335</v>
      </c>
      <c r="I984" s="2" t="str">
        <f>IFERROR(__xludf.DUMMYFUNCTION("GOOGLETRANSLATE(C984,""fr"",""en"")"),"Following the hanging of 1 sidewalk Invoice from the Garage 878th franchise 320th The insurance should have paid 499th since I am all risks but no it reimburses 179th the rest to my charge
I have been at Direct Insurance for 12 years without only one sin"&amp;"ister and problem for 499th! ! !")</f>
        <v>Following the hanging of 1 sidewalk Invoice from the Garage 878th franchise 320th The insurance should have paid 499th since I am all risks but no it reimburses 179th the rest to my charge
I have been at Direct Insurance for 12 years without only one sinister and problem for 499th! ! !</v>
      </c>
    </row>
    <row r="985" ht="15.75" customHeight="1">
      <c r="A985" s="2">
        <v>5.0</v>
      </c>
      <c r="B985" s="2" t="s">
        <v>2693</v>
      </c>
      <c r="C985" s="2" t="s">
        <v>2694</v>
      </c>
      <c r="D985" s="2" t="s">
        <v>13</v>
      </c>
      <c r="E985" s="2" t="s">
        <v>14</v>
      </c>
      <c r="F985" s="2" t="s">
        <v>15</v>
      </c>
      <c r="G985" s="2" t="s">
        <v>870</v>
      </c>
      <c r="H985" s="2" t="s">
        <v>192</v>
      </c>
      <c r="I985" s="2" t="str">
        <f>IFERROR(__xludf.DUMMYFUNCTION("GOOGLETRANSLATE(C985,""fr"",""en"")"),"I am very satisfied with services, listening, responsiveness.
The agents are always available and your offers are always competitive")</f>
        <v>I am very satisfied with services, listening, responsiveness.
The agents are always available and your offers are always competitive</v>
      </c>
    </row>
    <row r="986" ht="15.75" customHeight="1">
      <c r="A986" s="2">
        <v>2.0</v>
      </c>
      <c r="B986" s="2" t="s">
        <v>2695</v>
      </c>
      <c r="C986" s="2" t="s">
        <v>2696</v>
      </c>
      <c r="D986" s="2" t="s">
        <v>365</v>
      </c>
      <c r="E986" s="2" t="s">
        <v>85</v>
      </c>
      <c r="F986" s="2" t="s">
        <v>15</v>
      </c>
      <c r="G986" s="2" t="s">
        <v>2697</v>
      </c>
      <c r="H986" s="2" t="s">
        <v>293</v>
      </c>
      <c r="I986" s="2" t="str">
        <f>IFERROR(__xludf.DUMMYFUNCTION("GOOGLETRANSLATE(C986,""fr"",""en"")"),"Hello,
Insured at MAIF for all my insurances throughout my career, I can only confirm the spectacular degradation of the loss management service.
Return to all of the dysfunctions that have led to unacceptable inconvenience and deadlines would be far to"&amp;"o long here.
Concretely, no follow -up is provided by the MAIF services that should be contacted systematically so that an advisor tells you that he will relaunch the mandated expertise platform (which has become impossible to obtain information directly"&amp;"). Today the only explanations obtained are limited to saying that it is procedures that impose such operation or that all French experts work like that.
To summarize, today October 30, 2021, for a water damage declared on January 13, 2021, the mandate e"&amp;"xpert platform (after having forgotten to do so before recovery from us with a advisor who had the obligance To call them during our telephone conversation) a second expertise company (the first having failed in its leak detection mandate on June 7, 2021)"&amp;" for an appointment in mid-December.
This mandate follows the destructive search for the leak and its repair carried out more than a month ago (September 20, 2021) in accordance with the first quote (plumber) that we provided on February 16, 2021.
The o"&amp;"bjective seems to be to verify the compliance of the quote from the plating (August 21 and September 24) and the plumber (quotes of detailed origin) that we provided for subsequent repairs.
 The false ceiling is open in several places and the apparent gl"&amp;"ass wool and degraded by the leak lets small pieces on the ground. The accommodation is therefore not really habitable.
However, the icing on the cake remains to come. Added to the turpitudes of the last telephone communication with the advisor in charge"&amp;" of the file which, by confirming that the intervention period of the expertise company is quite reasonable and its essential execution, invites us to climb the openings From the ceiling by ourselves with cardboard to be able to reside in the house and th"&amp;"en hang up on the nose, specifying that now all communication would be made in writing.
So, indeed, we do not have the same values. The conversations of our calls for maif having been recorded, these are able to indicate to anyone who would like to hear "&amp;"how it works today (this was not the case in the past) MAIF (at least for its management of a claim). This seems to join the opinions consulted here and the very low note obtained even seems too high. Also note that my motivations to intervene here are th"&amp;"ose of a member of an allegedly mutualist insurance company. We can now doubt it.
It should still be noted that most advisers on the phone seem to do their best to the extent of the means made available to them, even apologizing in the name of the MAIF f"&amp;"or the breaches indicated and even gives explanations on current operation (Platform of expertise in turn mandating expertise companies to get there and the procedures they must comply with). However, the last telephone intervention with the person respon"&amp;"sible for the file is rather reminiscent of a scuttle of the image of the Maif.")</f>
        <v>Hello,
Insured at MAIF for all my insurances throughout my career, I can only confirm the spectacular degradation of the loss management service.
Return to all of the dysfunctions that have led to unacceptable inconvenience and deadlines would be far too long here.
Concretely, no follow -up is provided by the MAIF services that should be contacted systematically so that an advisor tells you that he will relaunch the mandated expertise platform (which has become impossible to obtain information directly). Today the only explanations obtained are limited to saying that it is procedures that impose such operation or that all French experts work like that.
To summarize, today October 30, 2021, for a water damage declared on January 13, 2021, the mandate expert platform (after having forgotten to do so before recovery from us with a advisor who had the obligance To call them during our telephone conversation) a second expertise company (the first having failed in its leak detection mandate on June 7, 2021) for an appointment in mid-December.
This mandate follows the destructive search for the leak and its repair carried out more than a month ago (September 20, 2021) in accordance with the first quote (plumber) that we provided on February 16, 2021.
The objective seems to be to verify the compliance of the quote from the plating (August 21 and September 24) and the plumber (quotes of detailed origin) that we provided for subsequent repairs.
 The false ceiling is open in several places and the apparent glass wool and degraded by the leak lets small pieces on the ground. The accommodation is therefore not really habitable.
However, the icing on the cake remains to come. Added to the turpitudes of the last telephone communication with the advisor in charge of the file which, by confirming that the intervention period of the expertise company is quite reasonable and its essential execution, invites us to climb the openings From the ceiling by ourselves with cardboard to be able to reside in the house and then hang up on the nose, specifying that now all communication would be made in writing.
So, indeed, we do not have the same values. The conversations of our calls for maif having been recorded, these are able to indicate to anyone who would like to hear how it works today (this was not the case in the past) MAIF (at least for its management of a claim). This seems to join the opinions consulted here and the very low note obtained even seems too high. Also note that my motivations to intervene here are those of a member of an allegedly mutualist insurance company. We can now doubt it.
It should still be noted that most advisers on the phone seem to do their best to the extent of the means made available to them, even apologizing in the name of the MAIF for the breaches indicated and even gives explanations on current operation (Platform of expertise in turn mandating expertise companies to get there and the procedures they must comply with). However, the last telephone intervention with the person responsible for the file is rather reminiscent of a scuttle of the image of the Maif.</v>
      </c>
    </row>
    <row r="987" ht="15.75" customHeight="1">
      <c r="A987" s="2">
        <v>3.0</v>
      </c>
      <c r="B987" s="2" t="s">
        <v>2698</v>
      </c>
      <c r="C987" s="2" t="s">
        <v>2699</v>
      </c>
      <c r="D987" s="2" t="s">
        <v>156</v>
      </c>
      <c r="E987" s="2" t="s">
        <v>85</v>
      </c>
      <c r="F987" s="2" t="s">
        <v>15</v>
      </c>
      <c r="G987" s="2" t="s">
        <v>2700</v>
      </c>
      <c r="H987" s="2" t="s">
        <v>268</v>
      </c>
      <c r="I987" s="2" t="str">
        <f>IFERROR(__xludf.DUMMYFUNCTION("GOOGLETRANSLATE(C987,""fr"",""en"")"),"What is funny is that the MAAF is ready to take it as a new customer with 2 claims while I am already there and that they have sent me an termination letter because 2 claims is too much. ..")</f>
        <v>What is funny is that the MAAF is ready to take it as a new customer with 2 claims while I am already there and that they have sent me an termination letter because 2 claims is too much. ..</v>
      </c>
    </row>
    <row r="988" ht="15.75" customHeight="1">
      <c r="A988" s="2">
        <v>2.0</v>
      </c>
      <c r="B988" s="2" t="s">
        <v>2701</v>
      </c>
      <c r="C988" s="2" t="s">
        <v>2702</v>
      </c>
      <c r="D988" s="2" t="s">
        <v>365</v>
      </c>
      <c r="E988" s="2" t="s">
        <v>14</v>
      </c>
      <c r="F988" s="2" t="s">
        <v>15</v>
      </c>
      <c r="G988" s="2" t="s">
        <v>2703</v>
      </c>
      <c r="H988" s="2" t="s">
        <v>495</v>
      </c>
      <c r="I988" s="2" t="str">
        <f>IFERROR(__xludf.DUMMYFUNCTION("GOOGLETRANSLATE(C988,""fr"",""en"")"),"Yesterday morning, a suspension spring made the soul on my wife's vehicle, broken net. The vehicle being still rolling, we brought it to the garage by our own means. Very stressed due to a very important professional appointment, my wife wondered how to b"&amp;"e on time at the said appointment. In the immediate vicinity of our mechanic is a Leclerc center where we were able to rent a substitution vehicle at the minimum price. I have just made a phone call to our local delegation which hastened to rebuild the ca"&amp;"ll to the assistance center which, of course, is an entity outside the MAIF. My request was simple, the car rental fees were borne by our contract (which includes 0 km assistance, and the provision of a rescue car). Answer: No. Why ? We should have relate"&amp;"d to the Maif assistance which has conventions with rental companies. Ok, but the car being in the pâté, and the first hertz being 15/20 km how to do it? ... We would have put a taxi at your disposal. Ah!? And of course despite the heaviness of the proced"&amp;"ures and the deadlines that all this induces my wife would have been punctual on the appointment (pro) important quoted above? Silence of the interlocutor. I asked him if our conversation was recorded, a negative response. Too bad, so please bring them ba"&amp;"ck the following consideration ""The maif is becoming a real umbrella merchant on the days of great sun"".
All this knowing that we have chosen the lower -end vehicle at the lowest price ...
This is the second ""adventure"" of this type that we have thi"&amp;"s year with Maif (look for my nickname on this forum and you will see that the first was not bad either ...)
In short, a militant insurer? Activist for what? Militant for whom? No doubt for better remuneration for his staff manager at the expense of his "&amp;"members ...
")</f>
        <v>Yesterday morning, a suspension spring made the soul on my wife's vehicle, broken net. The vehicle being still rolling, we brought it to the garage by our own means. Very stressed due to a very important professional appointment, my wife wondered how to be on time at the said appointment. In the immediate vicinity of our mechanic is a Leclerc center where we were able to rent a substitution vehicle at the minimum price. I have just made a phone call to our local delegation which hastened to rebuild the call to the assistance center which, of course, is an entity outside the MAIF. My request was simple, the car rental fees were borne by our contract (which includes 0 km assistance, and the provision of a rescue car). Answer: No. Why ? We should have related to the Maif assistance which has conventions with rental companies. Ok, but the car being in the pâté, and the first hertz being 15/20 km how to do it? ... We would have put a taxi at your disposal. Ah!? And of course despite the heaviness of the procedures and the deadlines that all this induces my wife would have been punctual on the appointment (pro) important quoted above? Silence of the interlocutor. I asked him if our conversation was recorded, a negative response. Too bad, so please bring them back the following consideration "The maif is becoming a real umbrella merchant on the days of great sun".
All this knowing that we have chosen the lower -end vehicle at the lowest price ...
This is the second "adventure" of this type that we have this year with Maif (look for my nickname on this forum and you will see that the first was not bad either ...)
In short, a militant insurer? Activist for what? Militant for whom? No doubt for better remuneration for his staff manager at the expense of his members ...
</v>
      </c>
    </row>
    <row r="989" ht="15.75" customHeight="1">
      <c r="A989" s="2">
        <v>3.0</v>
      </c>
      <c r="B989" s="2" t="s">
        <v>2704</v>
      </c>
      <c r="C989" s="2" t="s">
        <v>2705</v>
      </c>
      <c r="D989" s="2" t="s">
        <v>13</v>
      </c>
      <c r="E989" s="2" t="s">
        <v>14</v>
      </c>
      <c r="F989" s="2" t="s">
        <v>15</v>
      </c>
      <c r="G989" s="2" t="s">
        <v>98</v>
      </c>
      <c r="H989" s="2" t="s">
        <v>99</v>
      </c>
      <c r="I989" s="2" t="str">
        <f>IFERROR(__xludf.DUMMYFUNCTION("GOOGLETRANSLATE(C989,""fr"",""en"")"),"I am satisfied with the price and the warranty I think it was for me a good choice of insurance and I would be a must that this insurance and its guarantees be applying")</f>
        <v>I am satisfied with the price and the warranty I think it was for me a good choice of insurance and I would be a must that this insurance and its guarantees be applying</v>
      </c>
    </row>
    <row r="990" ht="15.75" customHeight="1">
      <c r="A990" s="2">
        <v>4.0</v>
      </c>
      <c r="B990" s="2" t="s">
        <v>2706</v>
      </c>
      <c r="C990" s="2" t="s">
        <v>2707</v>
      </c>
      <c r="D990" s="2" t="s">
        <v>13</v>
      </c>
      <c r="E990" s="2" t="s">
        <v>14</v>
      </c>
      <c r="F990" s="2" t="s">
        <v>15</v>
      </c>
      <c r="G990" s="2" t="s">
        <v>1278</v>
      </c>
      <c r="H990" s="2" t="s">
        <v>192</v>
      </c>
      <c r="I990" s="2" t="str">
        <f>IFERROR(__xludf.DUMMYFUNCTION("GOOGLETRANSLATE(C990,""fr"",""en"")"),"No unpleasant surprises with this insurance, I am satisfied with the services.
I intend to keep all of my cars.")</f>
        <v>No unpleasant surprises with this insurance, I am satisfied with the services.
I intend to keep all of my cars.</v>
      </c>
    </row>
    <row r="991" ht="15.75" customHeight="1">
      <c r="A991" s="2">
        <v>2.0</v>
      </c>
      <c r="B991" s="2" t="s">
        <v>2708</v>
      </c>
      <c r="C991" s="2" t="s">
        <v>2709</v>
      </c>
      <c r="D991" s="2" t="s">
        <v>13</v>
      </c>
      <c r="E991" s="2" t="s">
        <v>14</v>
      </c>
      <c r="F991" s="2" t="s">
        <v>15</v>
      </c>
      <c r="G991" s="2" t="s">
        <v>606</v>
      </c>
      <c r="H991" s="2" t="s">
        <v>272</v>
      </c>
      <c r="I991" s="2" t="str">
        <f>IFERROR(__xludf.DUMMYFUNCTION("GOOGLETRANSLATE(C991,""fr"",""en"")"),"I do not suck at all I wanted to retract me for my contrastation and these very complicated I have limited
To subscribe it takes 5 min to terminate these a whole story
")</f>
        <v>I do not suck at all I wanted to retract me for my contrastation and these very complicated I have limited
To subscribe it takes 5 min to terminate these a whole story
</v>
      </c>
    </row>
    <row r="992" ht="15.75" customHeight="1">
      <c r="A992" s="2">
        <v>3.0</v>
      </c>
      <c r="B992" s="2" t="s">
        <v>2710</v>
      </c>
      <c r="C992" s="2" t="s">
        <v>2711</v>
      </c>
      <c r="D992" s="2" t="s">
        <v>129</v>
      </c>
      <c r="E992" s="2" t="s">
        <v>35</v>
      </c>
      <c r="F992" s="2" t="s">
        <v>15</v>
      </c>
      <c r="G992" s="2" t="s">
        <v>569</v>
      </c>
      <c r="H992" s="2" t="s">
        <v>217</v>
      </c>
      <c r="I992" s="2" t="str">
        <f>IFERROR(__xludf.DUMMYFUNCTION("GOOGLETRANSLATE(C992,""fr"",""en"")"),"Nothing to say to customer service or reimbursement deadlines which are rather impeccable on this side. But mutual a little expensive to consider reimbursement rates.")</f>
        <v>Nothing to say to customer service or reimbursement deadlines which are rather impeccable on this side. But mutual a little expensive to consider reimbursement rates.</v>
      </c>
    </row>
    <row r="993" ht="15.75" customHeight="1">
      <c r="A993" s="2">
        <v>1.0</v>
      </c>
      <c r="B993" s="2" t="s">
        <v>2712</v>
      </c>
      <c r="C993" s="2" t="s">
        <v>2713</v>
      </c>
      <c r="D993" s="2" t="s">
        <v>308</v>
      </c>
      <c r="E993" s="2" t="s">
        <v>317</v>
      </c>
      <c r="F993" s="2" t="s">
        <v>15</v>
      </c>
      <c r="G993" s="2" t="s">
        <v>2714</v>
      </c>
      <c r="H993" s="2" t="s">
        <v>313</v>
      </c>
      <c r="I993" s="2" t="str">
        <f>IFERROR(__xludf.DUMMYFUNCTION("GOOGLETRANSLATE(C993,""fr"",""en"")"),"No worries to collect money every month, on the other hand when you declare a sick leave compensated by the security, the doctor's reason is not valid for Allianz? insurance not to be in a financial galley, given the comments I am not the only one to be d"&amp;"issatisfied. On the phone, the person did not understand my file and let me hear that I have an unjustified sickness stop and that the reason is normal in my state, congratulations for your professionalism ????")</f>
        <v>No worries to collect money every month, on the other hand when you declare a sick leave compensated by the security, the doctor's reason is not valid for Allianz? insurance not to be in a financial galley, given the comments I am not the only one to be dissatisfied. On the phone, the person did not understand my file and let me hear that I have an unjustified sickness stop and that the reason is normal in my state, congratulations for your professionalism ????</v>
      </c>
    </row>
    <row r="994" ht="15.75" customHeight="1">
      <c r="A994" s="2">
        <v>5.0</v>
      </c>
      <c r="B994" s="2" t="s">
        <v>2715</v>
      </c>
      <c r="C994" s="2" t="s">
        <v>2716</v>
      </c>
      <c r="D994" s="2" t="s">
        <v>55</v>
      </c>
      <c r="E994" s="2" t="s">
        <v>56</v>
      </c>
      <c r="F994" s="2" t="s">
        <v>15</v>
      </c>
      <c r="G994" s="2" t="s">
        <v>1583</v>
      </c>
      <c r="H994" s="2" t="s">
        <v>52</v>
      </c>
      <c r="I994" s="2" t="str">
        <f>IFERROR(__xludf.DUMMYFUNCTION("GOOGLETRANSLATE(C994,""fr"",""en"")"),"You are very interesting for the taken, now I am waiting to see when I need you. I hope it will never happen. But your inscription is very simple and everything is well detailed")</f>
        <v>You are very interesting for the taken, now I am waiting to see when I need you. I hope it will never happen. But your inscription is very simple and everything is well detailed</v>
      </c>
    </row>
    <row r="995" ht="15.75" customHeight="1">
      <c r="A995" s="2">
        <v>1.0</v>
      </c>
      <c r="B995" s="2" t="s">
        <v>2717</v>
      </c>
      <c r="C995" s="2" t="s">
        <v>2718</v>
      </c>
      <c r="D995" s="2" t="s">
        <v>156</v>
      </c>
      <c r="E995" s="2" t="s">
        <v>14</v>
      </c>
      <c r="F995" s="2" t="s">
        <v>15</v>
      </c>
      <c r="G995" s="2" t="s">
        <v>2020</v>
      </c>
      <c r="H995" s="2" t="s">
        <v>236</v>
      </c>
      <c r="I995" s="2" t="str">
        <f>IFERROR(__xludf.DUMMYFUNCTION("GOOGLETRANSLATE(C995,""fr"",""en"")"),"Hello customer for many years the maaf has become a deplorable insurer and employment of highly incompetent personnel I strongly advise against who wishes to join this pseudo insurance. .. avoided ;-)")</f>
        <v>Hello customer for many years the maaf has become a deplorable insurer and employment of highly incompetent personnel I strongly advise against who wishes to join this pseudo insurance. .. avoided ;-)</v>
      </c>
    </row>
    <row r="996" ht="15.75" customHeight="1">
      <c r="A996" s="2">
        <v>2.0</v>
      </c>
      <c r="B996" s="2" t="s">
        <v>2719</v>
      </c>
      <c r="C996" s="2" t="s">
        <v>2720</v>
      </c>
      <c r="D996" s="2" t="s">
        <v>34</v>
      </c>
      <c r="E996" s="2" t="s">
        <v>35</v>
      </c>
      <c r="F996" s="2" t="s">
        <v>15</v>
      </c>
      <c r="G996" s="2" t="s">
        <v>2721</v>
      </c>
      <c r="H996" s="2" t="s">
        <v>118</v>
      </c>
      <c r="I996" s="2" t="str">
        <f>IFERROR(__xludf.DUMMYFUNCTION("GOOGLETRANSLATE(C996,""fr"",""en"")"),"Hello, I intervene because I am exasperated by the excesses of the treatment of my reimbursements and others. I have always sent all the documents by my personal space but suddenly I am answered by email without the possibility of responding to my towers,"&amp;" that they must be returned by mail. I have never received an agreement for prior understanding when I make a request (so I imagine and I consider to be granted if I am not answered ... Anyway my reimbursement will not succeed) . Following various exchang"&amp;"es by email via my personal space and telephone calls ... Today after several attempts at telephone calls (10 minutes of waiting to come across an answering machine to announce that no one can manage your call), after The 4th attempts, I come across an ad"&amp;"visor. She hangs up on me after that I expressed the object of my insistence and the accumulation of my dissatisfaction. She reminds me by simulating a technical problem on the telephone line and ends up not recalling ... When finally after X attempts, I "&amp;"come across the very competent Julien. He will do everything to understand my requests at his level, but no way for him to take on the contact fields with my company. Rés me reminded me (this is not the case for all the advisers I have previously had who "&amp;"had been committed to it) and guaranteed me that my reimbursements were treated as a priority and would reach me in the weekend or Next week ... It will still be necessary that the follow-up of his work is bearing fruit! We'll see that! It is strongly irr"&amp;"itating and frustrating not to be able to directly attach our own mutual (too many intermediaries has never been effective). No possibility of having an urgent response. When I called to ask for the terms of termination of my contract, an advisor replied "&amp;"that I had to do my procedures for two months the date of the endorsement of my initial contract (I had found this very surprising and I I expressed it but she certified her statements!) At the agreed time, I regain contact but here I am told that it was "&amp;"on the date of membership therefore delay exceeded then I am engaged despite my will until the end December of the calendar year. I hope to get out of this nightmare quickly ...")</f>
        <v>Hello, I intervene because I am exasperated by the excesses of the treatment of my reimbursements and others. I have always sent all the documents by my personal space but suddenly I am answered by email without the possibility of responding to my towers, that they must be returned by mail. I have never received an agreement for prior understanding when I make a request (so I imagine and I consider to be granted if I am not answered ... Anyway my reimbursement will not succeed) . Following various exchanges by email via my personal space and telephone calls ... Today after several attempts at telephone calls (10 minutes of waiting to come across an answering machine to announce that no one can manage your call), after The 4th attempts, I come across an advisor. She hangs up on me after that I expressed the object of my insistence and the accumulation of my dissatisfaction. She reminds me by simulating a technical problem on the telephone line and ends up not recalling ... When finally after X attempts, I come across the very competent Julien. He will do everything to understand my requests at his level, but no way for him to take on the contact fields with my company. Rés me reminded me (this is not the case for all the advisers I have previously had who had been committed to it) and guaranteed me that my reimbursements were treated as a priority and would reach me in the weekend or Next week ... It will still be necessary that the follow-up of his work is bearing fruit! We'll see that! It is strongly irritating and frustrating not to be able to directly attach our own mutual (too many intermediaries has never been effective). No possibility of having an urgent response. When I called to ask for the terms of termination of my contract, an advisor replied that I had to do my procedures for two months the date of the endorsement of my initial contract (I had found this very surprising and I I expressed it but she certified her statements!) At the agreed time, I regain contact but here I am told that it was on the date of membership therefore delay exceeded then I am engaged despite my will until the end December of the calendar year. I hope to get out of this nightmare quickly ...</v>
      </c>
    </row>
    <row r="997" ht="15.75" customHeight="1">
      <c r="A997" s="2">
        <v>1.0</v>
      </c>
      <c r="B997" s="2" t="s">
        <v>2722</v>
      </c>
      <c r="C997" s="2" t="s">
        <v>2723</v>
      </c>
      <c r="D997" s="2" t="s">
        <v>24</v>
      </c>
      <c r="E997" s="2" t="s">
        <v>25</v>
      </c>
      <c r="F997" s="2" t="s">
        <v>15</v>
      </c>
      <c r="G997" s="2" t="s">
        <v>2724</v>
      </c>
      <c r="H997" s="2" t="s">
        <v>776</v>
      </c>
      <c r="I997" s="2" t="str">
        <f>IFERROR(__xludf.DUMMYFUNCTION("GOOGLETRANSLATE(C997,""fr"",""en"")"),"Avoid to manage your life insurance. My wife's grandmother died in March and 6 months after the file is still not settled. File received late and containing errors (incorrect share) impossible to have someone competent on the phone, we just have a desk se"&amp;"rvice that cannot do much and tells you to wait.")</f>
        <v>Avoid to manage your life insurance. My wife's grandmother died in March and 6 months after the file is still not settled. File received late and containing errors (incorrect share) impossible to have someone competent on the phone, we just have a desk service that cannot do much and tells you to wait.</v>
      </c>
    </row>
    <row r="998" ht="15.75" customHeight="1">
      <c r="A998" s="2">
        <v>1.0</v>
      </c>
      <c r="B998" s="2" t="s">
        <v>2725</v>
      </c>
      <c r="C998" s="2" t="s">
        <v>2726</v>
      </c>
      <c r="D998" s="2" t="s">
        <v>80</v>
      </c>
      <c r="E998" s="2" t="s">
        <v>317</v>
      </c>
      <c r="F998" s="2" t="s">
        <v>15</v>
      </c>
      <c r="G998" s="2" t="s">
        <v>547</v>
      </c>
      <c r="H998" s="2" t="s">
        <v>272</v>
      </c>
      <c r="I998" s="2" t="str">
        <f>IFERROR(__xludf.DUMMYFUNCTION("GOOGLETRANSLATE(C998,""fr"",""en"")"),"Waiting for a cure package for 8 weeks I say well ""package"" apparently he false grandparents and elsewhere in order to obtain your rights for me I have just asked for an audit from this company to flee")</f>
        <v>Waiting for a cure package for 8 weeks I say well "package" apparently he false grandparents and elsewhere in order to obtain your rights for me I have just asked for an audit from this company to flee</v>
      </c>
    </row>
    <row r="999" ht="15.75" customHeight="1">
      <c r="A999" s="2">
        <v>3.0</v>
      </c>
      <c r="B999" s="2" t="s">
        <v>2727</v>
      </c>
      <c r="C999" s="2" t="s">
        <v>2728</v>
      </c>
      <c r="D999" s="2" t="s">
        <v>352</v>
      </c>
      <c r="E999" s="2" t="s">
        <v>14</v>
      </c>
      <c r="F999" s="2" t="s">
        <v>15</v>
      </c>
      <c r="G999" s="2" t="s">
        <v>1996</v>
      </c>
      <c r="H999" s="2" t="s">
        <v>99</v>
      </c>
      <c r="I999" s="2" t="str">
        <f>IFERROR(__xludf.DUMMYFUNCTION("GOOGLETRANSLATE(C999,""fr"",""en"")"),"I am satisfied with the service. Distance operations are of great help, especially in times that run! I have nothing else to declare")</f>
        <v>I am satisfied with the service. Distance operations are of great help, especially in times that run! I have nothing else to declare</v>
      </c>
    </row>
    <row r="1000" ht="15.75" customHeight="1">
      <c r="A1000" s="2">
        <v>4.0</v>
      </c>
      <c r="B1000" s="2" t="s">
        <v>2729</v>
      </c>
      <c r="C1000" s="2" t="s">
        <v>2730</v>
      </c>
      <c r="D1000" s="2" t="s">
        <v>43</v>
      </c>
      <c r="E1000" s="2" t="s">
        <v>14</v>
      </c>
      <c r="F1000" s="2" t="s">
        <v>15</v>
      </c>
      <c r="G1000" s="2" t="s">
        <v>560</v>
      </c>
      <c r="H1000" s="2" t="s">
        <v>192</v>
      </c>
      <c r="I1000" s="2" t="str">
        <f>IFERROR(__xludf.DUMMYFUNCTION("GOOGLETRANSLATE(C1000,""fr"",""en"")"),"The advisor was very kind, answered all my questions and knew how to find me to find the right formula. The site is very well done, but the help of this person was decisive. Cheer")</f>
        <v>The advisor was very kind, answered all my questions and knew how to find me to find the right formula. The site is very well done, but the help of this person was decisive. Cheer</v>
      </c>
    </row>
    <row r="1001" ht="15.75" customHeight="1">
      <c r="A1001" s="2">
        <v>5.0</v>
      </c>
      <c r="B1001" s="2" t="s">
        <v>2731</v>
      </c>
      <c r="C1001" s="2" t="s">
        <v>2732</v>
      </c>
      <c r="D1001" s="2" t="s">
        <v>224</v>
      </c>
      <c r="E1001" s="2" t="s">
        <v>35</v>
      </c>
      <c r="F1001" s="2" t="s">
        <v>15</v>
      </c>
      <c r="G1001" s="2" t="s">
        <v>2733</v>
      </c>
      <c r="H1001" s="2" t="s">
        <v>293</v>
      </c>
      <c r="I1001" s="2" t="str">
        <f>IFERROR(__xludf.DUMMYFUNCTION("GOOGLETRANSLATE(C1001,""fr"",""en"")"),"Mr. Pape during our telephone interview was very competent, professional and very attentive, he quickly solved my request and solved my problem I thank him.
Guillotin")</f>
        <v>Mr. Pape during our telephone interview was very competent, professional and very attentive, he quickly solved my request and solved my problem I thank him.
Guillotin</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2022-12-16T15:48:21Z</dcterms:created>
</cp:coreProperties>
</file>